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aveExternalLinkValues="0" defaultThemeVersion="124226"/>
  <mc:AlternateContent xmlns:mc="http://schemas.openxmlformats.org/markup-compatibility/2006">
    <mc:Choice Requires="x15">
      <x15ac:absPath xmlns:x15ac="http://schemas.microsoft.com/office/spreadsheetml/2010/11/ac" url="I:\Websites\Pscweb\utilities\electric\20docs\2003504\"/>
    </mc:Choice>
  </mc:AlternateContent>
  <bookViews>
    <workbookView xWindow="0" yWindow="0" windowWidth="19125" windowHeight="11520" tabRatio="599"/>
  </bookViews>
  <sheets>
    <sheet name="3.1p1" sheetId="258" r:id="rId1"/>
    <sheet name="3.1p2" sheetId="259" r:id="rId2"/>
    <sheet name="3.1p3" sheetId="260" r:id="rId3"/>
    <sheet name="3.2" sheetId="143" r:id="rId4"/>
    <sheet name="3.3" sheetId="251" r:id="rId5"/>
    <sheet name="3.3.1" sheetId="250" r:id="rId6"/>
    <sheet name="3.4" sheetId="189" r:id="rId7"/>
    <sheet name="3.5" sheetId="249" r:id="rId8"/>
    <sheet name="3.6" sheetId="252" r:id="rId9"/>
    <sheet name="3.7" sheetId="181" r:id="rId10"/>
    <sheet name="3.7.1-4" sheetId="180" r:id="rId11"/>
    <sheet name="3.8" sheetId="178" r:id="rId12"/>
    <sheet name="3.8.1-4" sheetId="179" r:id="rId13"/>
    <sheet name="3.9" sheetId="213" r:id="rId14"/>
    <sheet name="3.10" sheetId="214" r:id="rId15"/>
    <sheet name="3.11" sheetId="159" r:id="rId16"/>
    <sheet name="3.11.1" sheetId="215" r:id="rId17"/>
    <sheet name="3.12" sheetId="246" r:id="rId18"/>
    <sheet name="3.12.1" sheetId="245" r:id="rId19"/>
    <sheet name="3.12.2" sheetId="247" r:id="rId20"/>
    <sheet name="3.12.3" sheetId="248" r:id="rId21"/>
    <sheet name="3.13" sheetId="244" r:id="rId22"/>
    <sheet name="3.14" sheetId="220" r:id="rId23"/>
    <sheet name="3.15" sheetId="222" r:id="rId24"/>
    <sheet name="3.16" sheetId="216" r:id="rId25"/>
    <sheet name="3.17" sheetId="219" r:id="rId26"/>
    <sheet name="3.18" sheetId="253" r:id="rId27"/>
    <sheet name="3.19" sheetId="254" r:id="rId28"/>
    <sheet name="3.19.1" sheetId="255" r:id="rId29"/>
    <sheet name="3.20" sheetId="256" r:id="rId30"/>
    <sheet name="3.20.1" sheetId="257" r:id="rId31"/>
    <sheet name="3.21p1" sheetId="261" r:id="rId32"/>
    <sheet name="3.21p2" sheetId="262" r:id="rId33"/>
    <sheet name="3.21p3" sheetId="263" r:id="rId34"/>
  </sheets>
  <externalReferences>
    <externalReference r:id="rId35"/>
  </externalReferences>
  <definedNames>
    <definedName name="\0">#REF!</definedName>
    <definedName name="\A">#REF!</definedName>
    <definedName name="\C">#REF!</definedName>
    <definedName name="\D">#REF!</definedName>
    <definedName name="\F">#REF!</definedName>
    <definedName name="\L">#REF!</definedName>
    <definedName name="\M">#REF!</definedName>
    <definedName name="\P">#REF!</definedName>
    <definedName name="\R">#REF!</definedName>
    <definedName name="\S">#REF!</definedName>
    <definedName name="\V">#REF!</definedName>
    <definedName name="\X">#REF!</definedName>
    <definedName name="\Z">#REF!</definedName>
    <definedName name="_1">#REF!</definedName>
    <definedName name="_adv1">#REF!</definedName>
    <definedName name="_Fill" hidden="1">#REF!</definedName>
    <definedName name="A">#REF!</definedName>
    <definedName name="AP">#REF!</definedName>
    <definedName name="B">#REF!</definedName>
    <definedName name="C_">#REF!</definedName>
    <definedName name="CODE">#REF!</definedName>
    <definedName name="COG">#REF!</definedName>
    <definedName name="COGA">#REF!</definedName>
    <definedName name="COGB">#REF!</definedName>
    <definedName name="CONS">#REF!</definedName>
    <definedName name="CONS2">#REF!</definedName>
    <definedName name="CREDITA">#REF!</definedName>
    <definedName name="CREDITB">#REF!</definedName>
    <definedName name="CWC">#REF!</definedName>
    <definedName name="CWCB">#REF!</definedName>
    <definedName name="D">#REF!</definedName>
    <definedName name="D_O">#REF!</definedName>
    <definedName name="DEPREC">#REF!</definedName>
    <definedName name="ECON">#REF!</definedName>
    <definedName name="ECONB">#REF!</definedName>
    <definedName name="FranchiseTax">[1]Variables!$B$28</definedName>
    <definedName name="GAS">#REF!</definedName>
    <definedName name="GRCF">#REF!</definedName>
    <definedName name="HARDWARE">#REF!</definedName>
    <definedName name="HD">#REF!</definedName>
    <definedName name="INFL">#REF!</definedName>
    <definedName name="INSA">#REF!</definedName>
    <definedName name="int">#REF!</definedName>
    <definedName name="KEY">#REF!</definedName>
    <definedName name="LABEL">#REF!</definedName>
    <definedName name="LEARN">#REF!</definedName>
    <definedName name="M_S">#REF!</definedName>
    <definedName name="MAC">#REF!</definedName>
    <definedName name="MAIN">#REF!</definedName>
    <definedName name="NetToGross">[1]Variables!$B$25</definedName>
    <definedName name="NGV">#REF!</definedName>
    <definedName name="noi">#REF!</definedName>
    <definedName name="noib">#REF!</definedName>
    <definedName name="O_M">#REF!</definedName>
    <definedName name="PLANTC">#REF!</definedName>
    <definedName name="PRINT">#REF!</definedName>
    <definedName name="_xlnm.Print_Titles" localSheetId="3">'3.2'!$A:$D,'3.2'!$1:$3</definedName>
    <definedName name="_xlnm.Print_Titles" localSheetId="10">'3.7.1-4'!$1:$8</definedName>
    <definedName name="_xlnm.Print_Titles" localSheetId="12">'3.8.1-4'!$1:$8</definedName>
    <definedName name="PRINTER">#REF!</definedName>
    <definedName name="PUCFees">[1]Variables!$B$31</definedName>
    <definedName name="QPRINT">#REF!</definedName>
    <definedName name="RATE">#REF!</definedName>
    <definedName name="rb">#REF!</definedName>
    <definedName name="ResourceSupplier">[1]Variables!$B$30</definedName>
    <definedName name="RevenueTax">[1]Variables!$B$29</definedName>
    <definedName name="revreq">#REF!</definedName>
    <definedName name="ror">#REF!</definedName>
    <definedName name="SCHALL">#REF!</definedName>
    <definedName name="SOFT">#REF!</definedName>
    <definedName name="SQZ">#REF!</definedName>
    <definedName name="TAX">#REF!</definedName>
    <definedName name="UncollectibleAccounts">[1]Variables!$B$27</definedName>
    <definedName name="ZCURT">#REF!</definedName>
    <definedName name="ZHERE">#REF!</definedName>
    <definedName name="ZINC">#REF!</definedName>
    <definedName name="ZLOOP">#REF!</definedName>
    <definedName name="ZLRNG">#REF!</definedName>
    <definedName name="ZMAKE">#REF!</definedName>
    <definedName name="ZMMENU">#REF!</definedName>
    <definedName name="ZROW">#REF!</definedName>
    <definedName name="ZSKIP">#REF!</definedName>
  </definedNames>
  <calcPr calcId="162913"/>
</workbook>
</file>

<file path=xl/calcChain.xml><?xml version="1.0" encoding="utf-8"?>
<calcChain xmlns="http://schemas.openxmlformats.org/spreadsheetml/2006/main">
  <c r="K3" i="250" l="1"/>
  <c r="K3" i="255"/>
  <c r="G3" i="257"/>
  <c r="G3" i="215"/>
  <c r="E3" i="179"/>
  <c r="E3" i="180"/>
  <c r="X18" i="143" l="1"/>
  <c r="G21" i="257" l="1"/>
  <c r="G19" i="257"/>
  <c r="G17" i="257"/>
  <c r="I22" i="256"/>
  <c r="I29" i="257"/>
  <c r="I24" i="257"/>
  <c r="I25" i="257" s="1"/>
  <c r="G30" i="255" l="1"/>
  <c r="G18" i="254" s="1"/>
  <c r="G25" i="254"/>
  <c r="G23" i="254"/>
  <c r="G22" i="254"/>
  <c r="G24" i="254" s="1"/>
  <c r="G26" i="254" s="1"/>
  <c r="G27" i="254" s="1"/>
  <c r="E29" i="257" s="1"/>
  <c r="G29" i="257" s="1"/>
  <c r="K24" i="255"/>
  <c r="G13" i="254" s="1"/>
  <c r="I13" i="255"/>
  <c r="I14" i="255" s="1"/>
  <c r="I15" i="255" l="1"/>
  <c r="I16" i="255" s="1"/>
  <c r="I17" i="255" s="1"/>
  <c r="I18" i="255" s="1"/>
  <c r="I19" i="255" s="1"/>
  <c r="I20" i="255" s="1"/>
  <c r="I21" i="255" s="1"/>
  <c r="I22" i="255" s="1"/>
  <c r="I23" i="255" s="1"/>
  <c r="I24" i="255" s="1"/>
  <c r="I25" i="255" s="1"/>
  <c r="I26" i="255" s="1"/>
  <c r="I27" i="255" s="1"/>
  <c r="I28" i="255" s="1"/>
  <c r="M13" i="254"/>
  <c r="M18" i="254"/>
  <c r="V27" i="143" s="1"/>
  <c r="M24" i="255" l="1"/>
  <c r="G14" i="254" s="1"/>
  <c r="G22" i="253"/>
  <c r="G13" i="253" s="1"/>
  <c r="M13" i="253" s="1"/>
  <c r="U56" i="143" s="1"/>
  <c r="U57" i="143" s="1"/>
  <c r="V57" i="143"/>
  <c r="U48" i="143"/>
  <c r="V25" i="143"/>
  <c r="U25" i="143"/>
  <c r="V13" i="143"/>
  <c r="U13" i="143"/>
  <c r="E24" i="252"/>
  <c r="E26" i="252" s="1"/>
  <c r="E23" i="252"/>
  <c r="G16" i="252"/>
  <c r="M14" i="252"/>
  <c r="M16" i="252" s="1"/>
  <c r="M15" i="252"/>
  <c r="M14" i="254" l="1"/>
  <c r="G15" i="254"/>
  <c r="U58" i="143"/>
  <c r="U30" i="143"/>
  <c r="U29" i="143" s="1"/>
  <c r="U34" i="143" s="1"/>
  <c r="U35" i="143" s="1"/>
  <c r="V30" i="143"/>
  <c r="V29" i="143" s="1"/>
  <c r="V34" i="143" s="1"/>
  <c r="V35" i="143" s="1"/>
  <c r="M14" i="219"/>
  <c r="E25" i="257" s="1"/>
  <c r="M12" i="219"/>
  <c r="E24" i="257" s="1"/>
  <c r="E26" i="257" s="1"/>
  <c r="G26" i="257" s="1"/>
  <c r="G32" i="257" s="1"/>
  <c r="G22" i="256" s="1"/>
  <c r="G26" i="256" s="1"/>
  <c r="M15" i="254" l="1"/>
  <c r="V40" i="143"/>
  <c r="V48" i="143" s="1"/>
  <c r="V58" i="143" s="1"/>
  <c r="G28" i="256"/>
  <c r="G13" i="256" s="1"/>
  <c r="M13" i="256" s="1"/>
  <c r="W56" i="143" s="1"/>
  <c r="G16" i="256"/>
  <c r="M16" i="256" s="1"/>
  <c r="W27" i="143" s="1"/>
  <c r="M14" i="222"/>
  <c r="S52" i="143" s="1"/>
  <c r="M13" i="222"/>
  <c r="S50" i="143" s="1"/>
  <c r="M12" i="222"/>
  <c r="S37" i="143" s="1"/>
  <c r="M15" i="222" l="1"/>
  <c r="G23" i="214"/>
  <c r="G24" i="214" s="1"/>
  <c r="G15" i="214" s="1"/>
  <c r="G19" i="213"/>
  <c r="G21" i="213" s="1"/>
  <c r="G12" i="213" s="1"/>
  <c r="E27" i="252"/>
  <c r="G18" i="252" s="1"/>
  <c r="M14" i="249"/>
  <c r="I11" i="143" s="1"/>
  <c r="G24" i="189"/>
  <c r="G14" i="189" s="1"/>
  <c r="M14" i="189" s="1"/>
  <c r="H12" i="143" s="1"/>
  <c r="M18" i="252" l="1"/>
  <c r="M19" i="252" s="1"/>
  <c r="J12" i="143" s="1"/>
  <c r="J13" i="143" s="1"/>
  <c r="G19" i="252"/>
  <c r="M13" i="250"/>
  <c r="M11" i="250"/>
  <c r="K15" i="250"/>
  <c r="M15" i="250" s="1"/>
  <c r="K14" i="250"/>
  <c r="M14" i="250" s="1"/>
  <c r="K13" i="250"/>
  <c r="K11" i="250"/>
  <c r="J57" i="143"/>
  <c r="J48" i="143"/>
  <c r="J58" i="143" s="1"/>
  <c r="J25" i="143"/>
  <c r="M17" i="250" l="1"/>
  <c r="G13" i="251" s="1"/>
  <c r="M13" i="251" s="1"/>
  <c r="G12" i="143" s="1"/>
  <c r="J30" i="143"/>
  <c r="J29" i="143" s="1"/>
  <c r="J34" i="143" s="1"/>
  <c r="J35" i="143" s="1"/>
  <c r="R27" i="143"/>
  <c r="Q18" i="244"/>
  <c r="K18" i="244"/>
  <c r="K16" i="244"/>
  <c r="Q16" i="244" s="1"/>
  <c r="K15" i="244"/>
  <c r="Q15" i="244" s="1"/>
  <c r="Q24" i="143" s="1"/>
  <c r="K14" i="244"/>
  <c r="Q14" i="244" s="1"/>
  <c r="Q21" i="143" s="1"/>
  <c r="P21" i="143"/>
  <c r="S21" i="248"/>
  <c r="S19" i="248"/>
  <c r="S17" i="248"/>
  <c r="S15" i="248"/>
  <c r="M23" i="248"/>
  <c r="O23" i="248" s="1"/>
  <c r="U23" i="248" s="1"/>
  <c r="M22" i="248"/>
  <c r="O22" i="248" s="1"/>
  <c r="U22" i="248" s="1"/>
  <c r="M21" i="248"/>
  <c r="O21" i="248" s="1"/>
  <c r="M20" i="248"/>
  <c r="O20" i="248" s="1"/>
  <c r="U20" i="248" s="1"/>
  <c r="M19" i="248"/>
  <c r="O19" i="248" s="1"/>
  <c r="U19" i="248" s="1"/>
  <c r="M18" i="248"/>
  <c r="O18" i="248" s="1"/>
  <c r="U18" i="248" s="1"/>
  <c r="M17" i="248"/>
  <c r="O17" i="248" s="1"/>
  <c r="U17" i="248" s="1"/>
  <c r="M16" i="248"/>
  <c r="O16" i="248" s="1"/>
  <c r="U16" i="248" s="1"/>
  <c r="M15" i="248"/>
  <c r="O15" i="248" s="1"/>
  <c r="M14" i="248"/>
  <c r="O14" i="248" s="1"/>
  <c r="U14" i="248" s="1"/>
  <c r="M13" i="248"/>
  <c r="O13" i="248" s="1"/>
  <c r="U13" i="248" s="1"/>
  <c r="S43" i="247"/>
  <c r="S40" i="247"/>
  <c r="S35" i="247"/>
  <c r="S33" i="247"/>
  <c r="S28" i="247"/>
  <c r="S26" i="247"/>
  <c r="S24" i="247"/>
  <c r="S21" i="247"/>
  <c r="S19" i="247"/>
  <c r="S18" i="247"/>
  <c r="S15" i="247"/>
  <c r="S13" i="247"/>
  <c r="M45" i="247"/>
  <c r="O45" i="247" s="1"/>
  <c r="U45" i="247" s="1"/>
  <c r="M44" i="247"/>
  <c r="O44" i="247" s="1"/>
  <c r="U44" i="247" s="1"/>
  <c r="M43" i="247"/>
  <c r="O43" i="247" s="1"/>
  <c r="U43" i="247" s="1"/>
  <c r="M42" i="247"/>
  <c r="O42" i="247" s="1"/>
  <c r="M41" i="247"/>
  <c r="O41" i="247" s="1"/>
  <c r="U41" i="247" s="1"/>
  <c r="M40" i="247"/>
  <c r="O40" i="247" s="1"/>
  <c r="M39" i="247"/>
  <c r="O39" i="247" s="1"/>
  <c r="U39" i="247" s="1"/>
  <c r="M38" i="247"/>
  <c r="O38" i="247" s="1"/>
  <c r="M37" i="247"/>
  <c r="O37" i="247" s="1"/>
  <c r="M36" i="247"/>
  <c r="O36" i="247" s="1"/>
  <c r="U36" i="247" s="1"/>
  <c r="M35" i="247"/>
  <c r="O35" i="247" s="1"/>
  <c r="M34" i="247"/>
  <c r="O34" i="247" s="1"/>
  <c r="U34" i="247" s="1"/>
  <c r="M33" i="247"/>
  <c r="O33" i="247" s="1"/>
  <c r="M32" i="247"/>
  <c r="O32" i="247" s="1"/>
  <c r="M31" i="247"/>
  <c r="O31" i="247" s="1"/>
  <c r="U31" i="247" s="1"/>
  <c r="M30" i="247"/>
  <c r="O30" i="247" s="1"/>
  <c r="U30" i="247" s="1"/>
  <c r="M29" i="247"/>
  <c r="O29" i="247" s="1"/>
  <c r="U29" i="247" s="1"/>
  <c r="M28" i="247"/>
  <c r="O28" i="247" s="1"/>
  <c r="U28" i="247" s="1"/>
  <c r="M27" i="247"/>
  <c r="O27" i="247" s="1"/>
  <c r="U27" i="247" s="1"/>
  <c r="M26" i="247"/>
  <c r="O26" i="247" s="1"/>
  <c r="U26" i="247" s="1"/>
  <c r="M25" i="247"/>
  <c r="O25" i="247" s="1"/>
  <c r="U25" i="247" s="1"/>
  <c r="M24" i="247"/>
  <c r="O24" i="247" s="1"/>
  <c r="U24" i="247" s="1"/>
  <c r="M23" i="247"/>
  <c r="O23" i="247" s="1"/>
  <c r="U23" i="247" s="1"/>
  <c r="M22" i="247"/>
  <c r="O22" i="247" s="1"/>
  <c r="U22" i="247" s="1"/>
  <c r="M21" i="247"/>
  <c r="O21" i="247" s="1"/>
  <c r="U21" i="247" s="1"/>
  <c r="M20" i="247"/>
  <c r="O20" i="247" s="1"/>
  <c r="U20" i="247" s="1"/>
  <c r="M19" i="247"/>
  <c r="O19" i="247" s="1"/>
  <c r="U19" i="247" s="1"/>
  <c r="M18" i="247"/>
  <c r="O18" i="247" s="1"/>
  <c r="M17" i="247"/>
  <c r="O17" i="247" s="1"/>
  <c r="U17" i="247" s="1"/>
  <c r="M16" i="247"/>
  <c r="O16" i="247" s="1"/>
  <c r="U16" i="247" s="1"/>
  <c r="M15" i="247"/>
  <c r="O15" i="247" s="1"/>
  <c r="U15" i="247" s="1"/>
  <c r="M14" i="247"/>
  <c r="O14" i="247" s="1"/>
  <c r="U14" i="247" s="1"/>
  <c r="M13" i="247"/>
  <c r="O13" i="247" s="1"/>
  <c r="S47" i="245"/>
  <c r="S45" i="245"/>
  <c r="S43" i="245"/>
  <c r="S41" i="245"/>
  <c r="S39" i="245"/>
  <c r="S38" i="245"/>
  <c r="S36" i="245"/>
  <c r="S34" i="245"/>
  <c r="S33" i="245"/>
  <c r="S31" i="245"/>
  <c r="S28" i="245"/>
  <c r="M48" i="245"/>
  <c r="O48" i="245" s="1"/>
  <c r="U48" i="245" s="1"/>
  <c r="M47" i="245"/>
  <c r="O47" i="245" s="1"/>
  <c r="M46" i="245"/>
  <c r="O46" i="245" s="1"/>
  <c r="U46" i="245" s="1"/>
  <c r="M15" i="245"/>
  <c r="O15" i="245" s="1"/>
  <c r="U15" i="245" s="1"/>
  <c r="G14" i="245"/>
  <c r="G50" i="245" s="1"/>
  <c r="G44" i="246"/>
  <c r="S13" i="245"/>
  <c r="M45" i="246"/>
  <c r="O45" i="246" s="1"/>
  <c r="U45" i="246" s="1"/>
  <c r="G43" i="246"/>
  <c r="M43" i="246" s="1"/>
  <c r="O43" i="246" s="1"/>
  <c r="U43" i="246" s="1"/>
  <c r="G42" i="246"/>
  <c r="M42" i="246" s="1"/>
  <c r="O42" i="246" s="1"/>
  <c r="U42" i="246" s="1"/>
  <c r="G41" i="246"/>
  <c r="M41" i="246" s="1"/>
  <c r="O41" i="246" s="1"/>
  <c r="U41" i="246" s="1"/>
  <c r="M40" i="246"/>
  <c r="O40" i="246" s="1"/>
  <c r="U40" i="246" s="1"/>
  <c r="G39" i="246"/>
  <c r="M39" i="246" s="1"/>
  <c r="O39" i="246" s="1"/>
  <c r="U39" i="246" s="1"/>
  <c r="M38" i="246"/>
  <c r="O38" i="246" s="1"/>
  <c r="U38" i="246" s="1"/>
  <c r="G37" i="246"/>
  <c r="M37" i="246" s="1"/>
  <c r="O37" i="246" s="1"/>
  <c r="U37" i="246" s="1"/>
  <c r="M36" i="246"/>
  <c r="O36" i="246" s="1"/>
  <c r="U36" i="246" s="1"/>
  <c r="G35" i="246"/>
  <c r="M35" i="246" s="1"/>
  <c r="O35" i="246" s="1"/>
  <c r="U35" i="246" s="1"/>
  <c r="M34" i="246"/>
  <c r="O34" i="246" s="1"/>
  <c r="U34" i="246" s="1"/>
  <c r="G34" i="246"/>
  <c r="G33" i="246"/>
  <c r="M33" i="246" s="1"/>
  <c r="O33" i="246" s="1"/>
  <c r="U33" i="246" s="1"/>
  <c r="G32" i="246"/>
  <c r="M32" i="246" s="1"/>
  <c r="O32" i="246" s="1"/>
  <c r="U32" i="246" s="1"/>
  <c r="M31" i="246"/>
  <c r="O31" i="246" s="1"/>
  <c r="U31" i="246" s="1"/>
  <c r="G30" i="246"/>
  <c r="M30" i="246" s="1"/>
  <c r="O30" i="246" s="1"/>
  <c r="U30" i="246" s="1"/>
  <c r="G29" i="246"/>
  <c r="M29" i="246" s="1"/>
  <c r="O29" i="246" s="1"/>
  <c r="U29" i="246" s="1"/>
  <c r="G28" i="246"/>
  <c r="M28" i="246" s="1"/>
  <c r="O28" i="246" s="1"/>
  <c r="U28" i="246" s="1"/>
  <c r="M27" i="246"/>
  <c r="O27" i="246" s="1"/>
  <c r="U27" i="246" s="1"/>
  <c r="G26" i="246"/>
  <c r="M26" i="246" s="1"/>
  <c r="O26" i="246" s="1"/>
  <c r="U26" i="246" s="1"/>
  <c r="G25" i="246"/>
  <c r="M25" i="246" s="1"/>
  <c r="O25" i="246" s="1"/>
  <c r="U25" i="246" s="1"/>
  <c r="G24" i="246"/>
  <c r="M24" i="246" s="1"/>
  <c r="O24" i="246" s="1"/>
  <c r="U24" i="246" s="1"/>
  <c r="G23" i="246"/>
  <c r="M23" i="246" s="1"/>
  <c r="O23" i="246" s="1"/>
  <c r="U23" i="246" s="1"/>
  <c r="G22" i="246"/>
  <c r="M22" i="246" s="1"/>
  <c r="O22" i="246" s="1"/>
  <c r="U22" i="246" s="1"/>
  <c r="G21" i="246"/>
  <c r="M21" i="246" s="1"/>
  <c r="O21" i="246" s="1"/>
  <c r="U21" i="246" s="1"/>
  <c r="M20" i="246"/>
  <c r="O20" i="246" s="1"/>
  <c r="U20" i="246" s="1"/>
  <c r="G19" i="246"/>
  <c r="M19" i="246" s="1"/>
  <c r="O19" i="246" s="1"/>
  <c r="U19" i="246" s="1"/>
  <c r="G18" i="246"/>
  <c r="M18" i="246" s="1"/>
  <c r="O18" i="246" s="1"/>
  <c r="U18" i="246" s="1"/>
  <c r="M17" i="246"/>
  <c r="O17" i="246" s="1"/>
  <c r="U17" i="246" s="1"/>
  <c r="G16" i="246"/>
  <c r="M16" i="246" s="1"/>
  <c r="O16" i="246" s="1"/>
  <c r="U16" i="246" s="1"/>
  <c r="M15" i="246"/>
  <c r="O15" i="246" s="1"/>
  <c r="U15" i="246" s="1"/>
  <c r="P15" i="143" s="1"/>
  <c r="G14" i="246"/>
  <c r="M14" i="246" s="1"/>
  <c r="O14" i="246" s="1"/>
  <c r="U14" i="246" s="1"/>
  <c r="G13" i="246"/>
  <c r="M13" i="246" s="1"/>
  <c r="O13" i="246" s="1"/>
  <c r="U13" i="246" s="1"/>
  <c r="M24" i="245"/>
  <c r="O24" i="245" s="1"/>
  <c r="U24" i="245" s="1"/>
  <c r="M23" i="245"/>
  <c r="O23" i="245" s="1"/>
  <c r="U23" i="245" s="1"/>
  <c r="M41" i="245"/>
  <c r="O41" i="245" s="1"/>
  <c r="U41" i="245" s="1"/>
  <c r="M40" i="245"/>
  <c r="O40" i="245" s="1"/>
  <c r="U40" i="245" s="1"/>
  <c r="M39" i="245"/>
  <c r="O39" i="245" s="1"/>
  <c r="U39" i="245" s="1"/>
  <c r="M38" i="245"/>
  <c r="O38" i="245" s="1"/>
  <c r="U38" i="245" s="1"/>
  <c r="M37" i="245"/>
  <c r="O37" i="245" s="1"/>
  <c r="U37" i="245" s="1"/>
  <c r="M34" i="245"/>
  <c r="O34" i="245" s="1"/>
  <c r="U34" i="245" s="1"/>
  <c r="M32" i="245"/>
  <c r="O32" i="245" s="1"/>
  <c r="U32" i="245" s="1"/>
  <c r="M28" i="245"/>
  <c r="O28" i="245" s="1"/>
  <c r="U28" i="245" s="1"/>
  <c r="M27" i="245"/>
  <c r="O27" i="245" s="1"/>
  <c r="U27" i="245" s="1"/>
  <c r="M22" i="245"/>
  <c r="O22" i="245" s="1"/>
  <c r="U22" i="245" s="1"/>
  <c r="M21" i="245"/>
  <c r="O21" i="245" s="1"/>
  <c r="U21" i="245" s="1"/>
  <c r="M19" i="245"/>
  <c r="O19" i="245" s="1"/>
  <c r="U19" i="245" s="1"/>
  <c r="M18" i="245"/>
  <c r="O18" i="245" s="1"/>
  <c r="U18" i="245" s="1"/>
  <c r="M16" i="245"/>
  <c r="O16" i="245" s="1"/>
  <c r="U16" i="245" s="1"/>
  <c r="P19" i="143" s="1"/>
  <c r="M14" i="245"/>
  <c r="O14" i="245" s="1"/>
  <c r="U14" i="245" s="1"/>
  <c r="M13" i="245"/>
  <c r="O13" i="245" s="1"/>
  <c r="M45" i="245"/>
  <c r="O45" i="245" s="1"/>
  <c r="U45" i="245" s="1"/>
  <c r="M44" i="245"/>
  <c r="O44" i="245" s="1"/>
  <c r="U44" i="245" s="1"/>
  <c r="M43" i="245"/>
  <c r="O43" i="245" s="1"/>
  <c r="U43" i="245" s="1"/>
  <c r="M42" i="245"/>
  <c r="O42" i="245" s="1"/>
  <c r="U42" i="245" s="1"/>
  <c r="M36" i="245"/>
  <c r="O36" i="245" s="1"/>
  <c r="U36" i="245" s="1"/>
  <c r="M35" i="245"/>
  <c r="O35" i="245" s="1"/>
  <c r="U35" i="245" s="1"/>
  <c r="M33" i="245"/>
  <c r="O33" i="245" s="1"/>
  <c r="M31" i="245"/>
  <c r="O31" i="245" s="1"/>
  <c r="U31" i="245" s="1"/>
  <c r="M30" i="245"/>
  <c r="O30" i="245" s="1"/>
  <c r="U30" i="245" s="1"/>
  <c r="M29" i="245"/>
  <c r="O29" i="245" s="1"/>
  <c r="U29" i="245" s="1"/>
  <c r="M26" i="245"/>
  <c r="O26" i="245" s="1"/>
  <c r="U26" i="245" s="1"/>
  <c r="M25" i="245"/>
  <c r="O25" i="245" s="1"/>
  <c r="U25" i="245" s="1"/>
  <c r="M20" i="245"/>
  <c r="O20" i="245" s="1"/>
  <c r="U20" i="245" s="1"/>
  <c r="M17" i="245"/>
  <c r="O17" i="245" s="1"/>
  <c r="U17" i="245" s="1"/>
  <c r="P17" i="143" l="1"/>
  <c r="O50" i="245"/>
  <c r="O28" i="248" s="1"/>
  <c r="G47" i="246"/>
  <c r="M50" i="245"/>
  <c r="U18" i="247"/>
  <c r="O25" i="248"/>
  <c r="O30" i="248" s="1"/>
  <c r="U47" i="245"/>
  <c r="U33" i="245"/>
  <c r="P20" i="143" s="1"/>
  <c r="U15" i="248"/>
  <c r="U25" i="248" s="1"/>
  <c r="U30" i="248" s="1"/>
  <c r="U21" i="248"/>
  <c r="U37" i="247"/>
  <c r="U42" i="247"/>
  <c r="U33" i="247"/>
  <c r="U35" i="247"/>
  <c r="U40" i="247"/>
  <c r="U32" i="247"/>
  <c r="U38" i="247"/>
  <c r="P24" i="143" s="1"/>
  <c r="O47" i="247"/>
  <c r="O29" i="248" s="1"/>
  <c r="U13" i="247"/>
  <c r="M44" i="246"/>
  <c r="U13" i="245"/>
  <c r="P22" i="143" l="1"/>
  <c r="U50" i="245"/>
  <c r="U28" i="248" s="1"/>
  <c r="U47" i="247"/>
  <c r="U29" i="248" s="1"/>
  <c r="O44" i="246"/>
  <c r="M47" i="246"/>
  <c r="U44" i="246" l="1"/>
  <c r="O47" i="246"/>
  <c r="O27" i="248" s="1"/>
  <c r="O32" i="248" s="1"/>
  <c r="U47" i="246" l="1"/>
  <c r="U27" i="248" s="1"/>
  <c r="U32" i="248" s="1"/>
  <c r="P18" i="143"/>
  <c r="Q57" i="143"/>
  <c r="Q48" i="143"/>
  <c r="Q25" i="143"/>
  <c r="Q13" i="143"/>
  <c r="G21" i="216"/>
  <c r="G15" i="216"/>
  <c r="G23" i="216" s="1"/>
  <c r="M20" i="216"/>
  <c r="M19" i="216"/>
  <c r="M18" i="216"/>
  <c r="M17" i="216"/>
  <c r="T41" i="143" s="1"/>
  <c r="M14" i="216"/>
  <c r="T52" i="143" s="1"/>
  <c r="M13" i="216"/>
  <c r="T56" i="143" s="1"/>
  <c r="M57" i="143"/>
  <c r="M48" i="143"/>
  <c r="M13" i="143"/>
  <c r="I57" i="143"/>
  <c r="I48" i="143"/>
  <c r="I25" i="143"/>
  <c r="I13" i="143"/>
  <c r="K57" i="143"/>
  <c r="K48" i="143"/>
  <c r="K13" i="143"/>
  <c r="L57" i="143"/>
  <c r="L48" i="143"/>
  <c r="L13" i="143"/>
  <c r="H2" i="143"/>
  <c r="M21" i="216" l="1"/>
  <c r="Q58" i="143"/>
  <c r="I30" i="143"/>
  <c r="Q30" i="143"/>
  <c r="Q29" i="143" s="1"/>
  <c r="Q34" i="143" s="1"/>
  <c r="Q35" i="143" s="1"/>
  <c r="K58" i="143"/>
  <c r="I58" i="143"/>
  <c r="M58" i="143"/>
  <c r="I29" i="143"/>
  <c r="I34" i="143" s="1"/>
  <c r="I35" i="143" s="1"/>
  <c r="L58" i="143"/>
  <c r="G12" i="220"/>
  <c r="G15" i="220" s="1"/>
  <c r="G16" i="220" l="1"/>
  <c r="M16" i="220" s="1"/>
  <c r="R52" i="143" s="1"/>
  <c r="M15" i="220"/>
  <c r="R45" i="143" s="1"/>
  <c r="B208" i="179"/>
  <c r="B212" i="179" s="1"/>
  <c r="K20" i="178"/>
  <c r="K21" i="178" s="1"/>
  <c r="D212" i="179" s="1"/>
  <c r="D212" i="180"/>
  <c r="C202" i="179" l="1"/>
  <c r="C172" i="179"/>
  <c r="D172" i="179" s="1"/>
  <c r="F172" i="179" s="1"/>
  <c r="C142" i="179"/>
  <c r="C128" i="179"/>
  <c r="C110" i="179"/>
  <c r="C89" i="179"/>
  <c r="D89" i="179" s="1"/>
  <c r="F89" i="179" s="1"/>
  <c r="C74" i="179"/>
  <c r="C59" i="179"/>
  <c r="C45" i="179"/>
  <c r="C31" i="179"/>
  <c r="D31" i="179" s="1"/>
  <c r="F31" i="179" s="1"/>
  <c r="C17" i="179"/>
  <c r="C9" i="179"/>
  <c r="C47" i="179"/>
  <c r="C197" i="179"/>
  <c r="D197" i="179" s="1"/>
  <c r="F197" i="179" s="1"/>
  <c r="C170" i="179"/>
  <c r="C140" i="179"/>
  <c r="C126" i="179"/>
  <c r="C105" i="179"/>
  <c r="D105" i="179" s="1"/>
  <c r="F105" i="179" s="1"/>
  <c r="C86" i="179"/>
  <c r="C73" i="179"/>
  <c r="C58" i="179"/>
  <c r="C43" i="179"/>
  <c r="D43" i="179" s="1"/>
  <c r="F43" i="179" s="1"/>
  <c r="C29" i="179"/>
  <c r="C15" i="179"/>
  <c r="D15" i="179" s="1"/>
  <c r="F15" i="179" s="1"/>
  <c r="C133" i="179"/>
  <c r="C79" i="179"/>
  <c r="D79" i="179" s="1"/>
  <c r="F79" i="179" s="1"/>
  <c r="C35" i="179"/>
  <c r="C112" i="179"/>
  <c r="C190" i="179"/>
  <c r="C165" i="179"/>
  <c r="D165" i="179" s="1"/>
  <c r="F165" i="179" s="1"/>
  <c r="C138" i="179"/>
  <c r="C124" i="179"/>
  <c r="C104" i="179"/>
  <c r="D104" i="179" s="1"/>
  <c r="F104" i="179" s="1"/>
  <c r="C83" i="179"/>
  <c r="D83" i="179" s="1"/>
  <c r="F83" i="179" s="1"/>
  <c r="C70" i="179"/>
  <c r="D70" i="179" s="1"/>
  <c r="F70" i="179" s="1"/>
  <c r="C57" i="179"/>
  <c r="D57" i="179" s="1"/>
  <c r="F57" i="179" s="1"/>
  <c r="C42" i="179"/>
  <c r="D42" i="179" s="1"/>
  <c r="F42" i="179" s="1"/>
  <c r="C27" i="179"/>
  <c r="D27" i="179" s="1"/>
  <c r="F27" i="179" s="1"/>
  <c r="C13" i="179"/>
  <c r="D13" i="179" s="1"/>
  <c r="F13" i="179" s="1"/>
  <c r="C181" i="179"/>
  <c r="C117" i="179"/>
  <c r="D117" i="179" s="1"/>
  <c r="F117" i="179" s="1"/>
  <c r="C65" i="179"/>
  <c r="C22" i="179"/>
  <c r="C61" i="179"/>
  <c r="C188" i="179"/>
  <c r="D188" i="179" s="1"/>
  <c r="F188" i="179" s="1"/>
  <c r="C158" i="179"/>
  <c r="C137" i="179"/>
  <c r="C122" i="179"/>
  <c r="C98" i="179"/>
  <c r="D98" i="179" s="1"/>
  <c r="F98" i="179" s="1"/>
  <c r="C82" i="179"/>
  <c r="D82" i="179" s="1"/>
  <c r="F82" i="179" s="1"/>
  <c r="C67" i="179"/>
  <c r="C54" i="179"/>
  <c r="C41" i="179"/>
  <c r="D41" i="179" s="1"/>
  <c r="F41" i="179" s="1"/>
  <c r="C26" i="179"/>
  <c r="C11" i="179"/>
  <c r="C152" i="179"/>
  <c r="C93" i="179"/>
  <c r="C50" i="179"/>
  <c r="D50" i="179" s="1"/>
  <c r="F50" i="179" s="1"/>
  <c r="C90" i="179"/>
  <c r="C33" i="179"/>
  <c r="C184" i="179"/>
  <c r="D184" i="179" s="1"/>
  <c r="F184" i="179" s="1"/>
  <c r="C156" i="179"/>
  <c r="C136" i="179"/>
  <c r="C121" i="179"/>
  <c r="C97" i="179"/>
  <c r="D97" i="179" s="1"/>
  <c r="F97" i="179" s="1"/>
  <c r="C81" i="179"/>
  <c r="D81" i="179" s="1"/>
  <c r="F81" i="179" s="1"/>
  <c r="C66" i="179"/>
  <c r="C51" i="179"/>
  <c r="C38" i="179"/>
  <c r="C25" i="179"/>
  <c r="D25" i="179" s="1"/>
  <c r="F25" i="179" s="1"/>
  <c r="C10" i="179"/>
  <c r="C206" i="179"/>
  <c r="C177" i="179"/>
  <c r="D177" i="179" s="1"/>
  <c r="F177" i="179" s="1"/>
  <c r="C149" i="179"/>
  <c r="D149" i="179" s="1"/>
  <c r="F149" i="179" s="1"/>
  <c r="C130" i="179"/>
  <c r="C114" i="179"/>
  <c r="D114" i="179" s="1"/>
  <c r="F114" i="179" s="1"/>
  <c r="C91" i="179"/>
  <c r="D91" i="179" s="1"/>
  <c r="F91" i="179" s="1"/>
  <c r="C77" i="179"/>
  <c r="D77" i="179" s="1"/>
  <c r="F77" i="179" s="1"/>
  <c r="C63" i="179"/>
  <c r="D63" i="179" s="1"/>
  <c r="F63" i="179" s="1"/>
  <c r="C49" i="179"/>
  <c r="D49" i="179" s="1"/>
  <c r="F49" i="179" s="1"/>
  <c r="C34" i="179"/>
  <c r="D34" i="179" s="1"/>
  <c r="F34" i="179" s="1"/>
  <c r="C19" i="179"/>
  <c r="D19" i="179" s="1"/>
  <c r="F19" i="179" s="1"/>
  <c r="C204" i="179"/>
  <c r="C174" i="179"/>
  <c r="C145" i="179"/>
  <c r="C129" i="179"/>
  <c r="D129" i="179" s="1"/>
  <c r="F129" i="179" s="1"/>
  <c r="C75" i="179"/>
  <c r="C18" i="179"/>
  <c r="D124" i="179"/>
  <c r="F124" i="179" s="1"/>
  <c r="D9" i="179"/>
  <c r="F9" i="179" s="1"/>
  <c r="D22" i="179"/>
  <c r="F22" i="179" s="1"/>
  <c r="D29" i="179"/>
  <c r="F29" i="179" s="1"/>
  <c r="D35" i="179"/>
  <c r="F35" i="179" s="1"/>
  <c r="D58" i="179"/>
  <c r="F58" i="179" s="1"/>
  <c r="D65" i="179"/>
  <c r="F65" i="179" s="1"/>
  <c r="D73" i="179"/>
  <c r="F73" i="179" s="1"/>
  <c r="D86" i="179"/>
  <c r="F86" i="179" s="1"/>
  <c r="D93" i="179"/>
  <c r="F93" i="179" s="1"/>
  <c r="D126" i="179"/>
  <c r="F126" i="179" s="1"/>
  <c r="D133" i="179"/>
  <c r="F133" i="179" s="1"/>
  <c r="D140" i="179"/>
  <c r="F140" i="179" s="1"/>
  <c r="D152" i="179"/>
  <c r="F152" i="179" s="1"/>
  <c r="D170" i="179"/>
  <c r="F170" i="179" s="1"/>
  <c r="D181" i="179"/>
  <c r="F181" i="179" s="1"/>
  <c r="D10" i="179"/>
  <c r="F10" i="179" s="1"/>
  <c r="D45" i="179"/>
  <c r="F45" i="179" s="1"/>
  <c r="D59" i="179"/>
  <c r="F59" i="179" s="1"/>
  <c r="D66" i="179"/>
  <c r="F66" i="179" s="1"/>
  <c r="D74" i="179"/>
  <c r="F74" i="179" s="1"/>
  <c r="D110" i="179"/>
  <c r="F110" i="179" s="1"/>
  <c r="D121" i="179"/>
  <c r="F121" i="179" s="1"/>
  <c r="D128" i="179"/>
  <c r="F128" i="179" s="1"/>
  <c r="D136" i="179"/>
  <c r="F136" i="179" s="1"/>
  <c r="D142" i="179"/>
  <c r="F142" i="179" s="1"/>
  <c r="D156" i="179"/>
  <c r="F156" i="179" s="1"/>
  <c r="D130" i="179"/>
  <c r="F130" i="179" s="1"/>
  <c r="D138" i="179"/>
  <c r="F138" i="179" s="1"/>
  <c r="D190" i="179"/>
  <c r="F190" i="179" s="1"/>
  <c r="D206" i="179"/>
  <c r="F206" i="179" s="1"/>
  <c r="D17" i="179"/>
  <c r="F17" i="179" s="1"/>
  <c r="D38" i="179"/>
  <c r="F38" i="179" s="1"/>
  <c r="D51" i="179"/>
  <c r="F51" i="179" s="1"/>
  <c r="D11" i="179"/>
  <c r="F11" i="179" s="1"/>
  <c r="D18" i="179"/>
  <c r="F18" i="179" s="1"/>
  <c r="D26" i="179"/>
  <c r="F26" i="179" s="1"/>
  <c r="D33" i="179"/>
  <c r="F33" i="179" s="1"/>
  <c r="D47" i="179"/>
  <c r="F47" i="179" s="1"/>
  <c r="D54" i="179"/>
  <c r="F54" i="179" s="1"/>
  <c r="D61" i="179"/>
  <c r="F61" i="179" s="1"/>
  <c r="D67" i="179"/>
  <c r="F67" i="179" s="1"/>
  <c r="D75" i="179"/>
  <c r="F75" i="179" s="1"/>
  <c r="D90" i="179"/>
  <c r="F90" i="179" s="1"/>
  <c r="D112" i="179"/>
  <c r="F112" i="179" s="1"/>
  <c r="D122" i="179"/>
  <c r="F122" i="179" s="1"/>
  <c r="D137" i="179"/>
  <c r="F137" i="179" s="1"/>
  <c r="D145" i="179"/>
  <c r="F145" i="179" s="1"/>
  <c r="D158" i="179"/>
  <c r="F158" i="179" s="1"/>
  <c r="D174" i="179"/>
  <c r="F174" i="179" s="1"/>
  <c r="D202" i="179"/>
  <c r="F202" i="179" s="1"/>
  <c r="D204" i="179"/>
  <c r="F204" i="179" s="1"/>
  <c r="C210" i="179"/>
  <c r="D210" i="179" s="1"/>
  <c r="C203" i="179"/>
  <c r="D203" i="179" s="1"/>
  <c r="F203" i="179" s="1"/>
  <c r="C199" i="179"/>
  <c r="D199" i="179" s="1"/>
  <c r="F199" i="179" s="1"/>
  <c r="C195" i="179"/>
  <c r="D195" i="179" s="1"/>
  <c r="F195" i="179" s="1"/>
  <c r="C191" i="179"/>
  <c r="D191" i="179" s="1"/>
  <c r="F191" i="179" s="1"/>
  <c r="C187" i="179"/>
  <c r="D187" i="179" s="1"/>
  <c r="F187" i="179" s="1"/>
  <c r="C183" i="179"/>
  <c r="D183" i="179" s="1"/>
  <c r="F183" i="179" s="1"/>
  <c r="C179" i="179"/>
  <c r="D179" i="179" s="1"/>
  <c r="F179" i="179" s="1"/>
  <c r="C175" i="179"/>
  <c r="D175" i="179" s="1"/>
  <c r="F175" i="179" s="1"/>
  <c r="C171" i="179"/>
  <c r="D171" i="179" s="1"/>
  <c r="F171" i="179" s="1"/>
  <c r="C167" i="179"/>
  <c r="D167" i="179" s="1"/>
  <c r="F167" i="179" s="1"/>
  <c r="C163" i="179"/>
  <c r="D163" i="179" s="1"/>
  <c r="F163" i="179" s="1"/>
  <c r="C159" i="179"/>
  <c r="D159" i="179" s="1"/>
  <c r="F159" i="179" s="1"/>
  <c r="C155" i="179"/>
  <c r="D155" i="179" s="1"/>
  <c r="F155" i="179" s="1"/>
  <c r="C151" i="179"/>
  <c r="D151" i="179" s="1"/>
  <c r="F151" i="179" s="1"/>
  <c r="C147" i="179"/>
  <c r="D147" i="179" s="1"/>
  <c r="F147" i="179" s="1"/>
  <c r="C143" i="179"/>
  <c r="D143" i="179" s="1"/>
  <c r="F143" i="179" s="1"/>
  <c r="C139" i="179"/>
  <c r="D139" i="179" s="1"/>
  <c r="F139" i="179" s="1"/>
  <c r="C135" i="179"/>
  <c r="D135" i="179" s="1"/>
  <c r="F135" i="179" s="1"/>
  <c r="C131" i="179"/>
  <c r="D131" i="179" s="1"/>
  <c r="F131" i="179" s="1"/>
  <c r="C127" i="179"/>
  <c r="D127" i="179" s="1"/>
  <c r="F127" i="179" s="1"/>
  <c r="C123" i="179"/>
  <c r="D123" i="179" s="1"/>
  <c r="F123" i="179" s="1"/>
  <c r="C119" i="179"/>
  <c r="D119" i="179" s="1"/>
  <c r="F119" i="179" s="1"/>
  <c r="C115" i="179"/>
  <c r="D115" i="179" s="1"/>
  <c r="F115" i="179" s="1"/>
  <c r="C111" i="179"/>
  <c r="D111" i="179" s="1"/>
  <c r="F111" i="179" s="1"/>
  <c r="C107" i="179"/>
  <c r="D107" i="179" s="1"/>
  <c r="F107" i="179" s="1"/>
  <c r="C103" i="179"/>
  <c r="D103" i="179" s="1"/>
  <c r="F103" i="179" s="1"/>
  <c r="C99" i="179"/>
  <c r="D99" i="179" s="1"/>
  <c r="F99" i="179" s="1"/>
  <c r="C95" i="179"/>
  <c r="D95" i="179" s="1"/>
  <c r="F95" i="179" s="1"/>
  <c r="C205" i="179"/>
  <c r="D205" i="179" s="1"/>
  <c r="F205" i="179" s="1"/>
  <c r="C198" i="179"/>
  <c r="D198" i="179" s="1"/>
  <c r="F198" i="179" s="1"/>
  <c r="C196" i="179"/>
  <c r="D196" i="179" s="1"/>
  <c r="F196" i="179" s="1"/>
  <c r="C189" i="179"/>
  <c r="D189" i="179" s="1"/>
  <c r="F189" i="179" s="1"/>
  <c r="C182" i="179"/>
  <c r="D182" i="179" s="1"/>
  <c r="F182" i="179" s="1"/>
  <c r="C180" i="179"/>
  <c r="D180" i="179" s="1"/>
  <c r="F180" i="179" s="1"/>
  <c r="C173" i="179"/>
  <c r="D173" i="179" s="1"/>
  <c r="F173" i="179" s="1"/>
  <c r="C166" i="179"/>
  <c r="D166" i="179" s="1"/>
  <c r="F166" i="179" s="1"/>
  <c r="C164" i="179"/>
  <c r="D164" i="179" s="1"/>
  <c r="F164" i="179" s="1"/>
  <c r="C157" i="179"/>
  <c r="D157" i="179" s="1"/>
  <c r="F157" i="179" s="1"/>
  <c r="C150" i="179"/>
  <c r="D150" i="179" s="1"/>
  <c r="F150" i="179" s="1"/>
  <c r="C148" i="179"/>
  <c r="D148" i="179" s="1"/>
  <c r="F148" i="179" s="1"/>
  <c r="C141" i="179"/>
  <c r="D141" i="179" s="1"/>
  <c r="F141" i="179" s="1"/>
  <c r="C134" i="179"/>
  <c r="D134" i="179" s="1"/>
  <c r="F134" i="179" s="1"/>
  <c r="C132" i="179"/>
  <c r="D132" i="179" s="1"/>
  <c r="F132" i="179" s="1"/>
  <c r="C125" i="179"/>
  <c r="D125" i="179" s="1"/>
  <c r="F125" i="179" s="1"/>
  <c r="C118" i="179"/>
  <c r="D118" i="179" s="1"/>
  <c r="F118" i="179" s="1"/>
  <c r="C116" i="179"/>
  <c r="D116" i="179" s="1"/>
  <c r="F116" i="179" s="1"/>
  <c r="C109" i="179"/>
  <c r="D109" i="179" s="1"/>
  <c r="F109" i="179" s="1"/>
  <c r="C102" i="179"/>
  <c r="D102" i="179" s="1"/>
  <c r="F102" i="179" s="1"/>
  <c r="C100" i="179"/>
  <c r="D100" i="179" s="1"/>
  <c r="F100" i="179" s="1"/>
  <c r="C92" i="179"/>
  <c r="D92" i="179" s="1"/>
  <c r="F92" i="179" s="1"/>
  <c r="C88" i="179"/>
  <c r="D88" i="179" s="1"/>
  <c r="F88" i="179" s="1"/>
  <c r="C84" i="179"/>
  <c r="D84" i="179" s="1"/>
  <c r="F84" i="179" s="1"/>
  <c r="C80" i="179"/>
  <c r="D80" i="179" s="1"/>
  <c r="F80" i="179" s="1"/>
  <c r="C76" i="179"/>
  <c r="D76" i="179" s="1"/>
  <c r="F76" i="179" s="1"/>
  <c r="C72" i="179"/>
  <c r="D72" i="179" s="1"/>
  <c r="F72" i="179" s="1"/>
  <c r="C68" i="179"/>
  <c r="D68" i="179" s="1"/>
  <c r="F68" i="179" s="1"/>
  <c r="C64" i="179"/>
  <c r="D64" i="179" s="1"/>
  <c r="F64" i="179" s="1"/>
  <c r="C60" i="179"/>
  <c r="D60" i="179" s="1"/>
  <c r="F60" i="179" s="1"/>
  <c r="C56" i="179"/>
  <c r="D56" i="179" s="1"/>
  <c r="F56" i="179" s="1"/>
  <c r="C52" i="179"/>
  <c r="D52" i="179" s="1"/>
  <c r="F52" i="179" s="1"/>
  <c r="C48" i="179"/>
  <c r="D48" i="179" s="1"/>
  <c r="F48" i="179" s="1"/>
  <c r="C44" i="179"/>
  <c r="D44" i="179" s="1"/>
  <c r="F44" i="179" s="1"/>
  <c r="C40" i="179"/>
  <c r="D40" i="179" s="1"/>
  <c r="F40" i="179" s="1"/>
  <c r="C36" i="179"/>
  <c r="D36" i="179" s="1"/>
  <c r="F36" i="179" s="1"/>
  <c r="C32" i="179"/>
  <c r="D32" i="179" s="1"/>
  <c r="F32" i="179" s="1"/>
  <c r="C28" i="179"/>
  <c r="D28" i="179" s="1"/>
  <c r="F28" i="179" s="1"/>
  <c r="C24" i="179"/>
  <c r="D24" i="179" s="1"/>
  <c r="F24" i="179" s="1"/>
  <c r="C20" i="179"/>
  <c r="D20" i="179" s="1"/>
  <c r="F20" i="179" s="1"/>
  <c r="C16" i="179"/>
  <c r="D16" i="179" s="1"/>
  <c r="F16" i="179" s="1"/>
  <c r="C12" i="179"/>
  <c r="D12" i="179" s="1"/>
  <c r="F12" i="179" s="1"/>
  <c r="C201" i="179"/>
  <c r="D201" i="179" s="1"/>
  <c r="F201" i="179" s="1"/>
  <c r="C194" i="179"/>
  <c r="D194" i="179" s="1"/>
  <c r="F194" i="179" s="1"/>
  <c r="C192" i="179"/>
  <c r="D192" i="179" s="1"/>
  <c r="F192" i="179" s="1"/>
  <c r="C185" i="179"/>
  <c r="D185" i="179" s="1"/>
  <c r="F185" i="179" s="1"/>
  <c r="C178" i="179"/>
  <c r="D178" i="179" s="1"/>
  <c r="F178" i="179" s="1"/>
  <c r="C176" i="179"/>
  <c r="D176" i="179" s="1"/>
  <c r="F176" i="179" s="1"/>
  <c r="C169" i="179"/>
  <c r="D169" i="179" s="1"/>
  <c r="F169" i="179" s="1"/>
  <c r="C162" i="179"/>
  <c r="D162" i="179" s="1"/>
  <c r="F162" i="179" s="1"/>
  <c r="C160" i="179"/>
  <c r="D160" i="179" s="1"/>
  <c r="F160" i="179" s="1"/>
  <c r="C153" i="179"/>
  <c r="D153" i="179" s="1"/>
  <c r="F153" i="179" s="1"/>
  <c r="C146" i="179"/>
  <c r="D146" i="179" s="1"/>
  <c r="F146" i="179" s="1"/>
  <c r="C144" i="179"/>
  <c r="D144" i="179" s="1"/>
  <c r="F144" i="179" s="1"/>
  <c r="C14" i="179"/>
  <c r="D14" i="179" s="1"/>
  <c r="F14" i="179" s="1"/>
  <c r="C21" i="179"/>
  <c r="D21" i="179" s="1"/>
  <c r="F21" i="179" s="1"/>
  <c r="C23" i="179"/>
  <c r="D23" i="179" s="1"/>
  <c r="F23" i="179" s="1"/>
  <c r="C30" i="179"/>
  <c r="D30" i="179" s="1"/>
  <c r="F30" i="179" s="1"/>
  <c r="C37" i="179"/>
  <c r="D37" i="179" s="1"/>
  <c r="F37" i="179" s="1"/>
  <c r="C39" i="179"/>
  <c r="D39" i="179" s="1"/>
  <c r="F39" i="179" s="1"/>
  <c r="C46" i="179"/>
  <c r="D46" i="179" s="1"/>
  <c r="F46" i="179" s="1"/>
  <c r="C53" i="179"/>
  <c r="D53" i="179" s="1"/>
  <c r="F53" i="179" s="1"/>
  <c r="C55" i="179"/>
  <c r="D55" i="179" s="1"/>
  <c r="F55" i="179" s="1"/>
  <c r="C62" i="179"/>
  <c r="D62" i="179" s="1"/>
  <c r="F62" i="179" s="1"/>
  <c r="C69" i="179"/>
  <c r="D69" i="179" s="1"/>
  <c r="F69" i="179" s="1"/>
  <c r="C71" i="179"/>
  <c r="D71" i="179" s="1"/>
  <c r="F71" i="179" s="1"/>
  <c r="C78" i="179"/>
  <c r="D78" i="179" s="1"/>
  <c r="F78" i="179" s="1"/>
  <c r="C85" i="179"/>
  <c r="D85" i="179" s="1"/>
  <c r="F85" i="179" s="1"/>
  <c r="C87" i="179"/>
  <c r="D87" i="179" s="1"/>
  <c r="F87" i="179" s="1"/>
  <c r="C94" i="179"/>
  <c r="D94" i="179" s="1"/>
  <c r="F94" i="179" s="1"/>
  <c r="C96" i="179"/>
  <c r="D96" i="179" s="1"/>
  <c r="F96" i="179" s="1"/>
  <c r="C101" i="179"/>
  <c r="D101" i="179" s="1"/>
  <c r="F101" i="179" s="1"/>
  <c r="C106" i="179"/>
  <c r="D106" i="179" s="1"/>
  <c r="F106" i="179" s="1"/>
  <c r="C108" i="179"/>
  <c r="D108" i="179" s="1"/>
  <c r="F108" i="179" s="1"/>
  <c r="C113" i="179"/>
  <c r="D113" i="179" s="1"/>
  <c r="F113" i="179" s="1"/>
  <c r="C120" i="179"/>
  <c r="D120" i="179" s="1"/>
  <c r="F120" i="179" s="1"/>
  <c r="C154" i="179"/>
  <c r="D154" i="179" s="1"/>
  <c r="F154" i="179" s="1"/>
  <c r="C161" i="179"/>
  <c r="D161" i="179" s="1"/>
  <c r="F161" i="179" s="1"/>
  <c r="C168" i="179"/>
  <c r="D168" i="179" s="1"/>
  <c r="F168" i="179" s="1"/>
  <c r="C186" i="179"/>
  <c r="D186" i="179" s="1"/>
  <c r="F186" i="179" s="1"/>
  <c r="C193" i="179"/>
  <c r="D193" i="179" s="1"/>
  <c r="F193" i="179" s="1"/>
  <c r="C200" i="179"/>
  <c r="D200" i="179" s="1"/>
  <c r="F200" i="179" s="1"/>
  <c r="F208" i="179" l="1"/>
  <c r="O13" i="178" s="1"/>
  <c r="C208" i="179"/>
  <c r="D208" i="179"/>
  <c r="C212" i="179" l="1"/>
  <c r="K22" i="178"/>
  <c r="L24" i="143"/>
  <c r="L19" i="143"/>
  <c r="L21" i="143"/>
  <c r="L15" i="143"/>
  <c r="L22" i="143"/>
  <c r="L18" i="143"/>
  <c r="L17" i="143"/>
  <c r="L20" i="143"/>
  <c r="L25" i="143" l="1"/>
  <c r="L30" i="143" s="1"/>
  <c r="L29" i="143" s="1"/>
  <c r="L34" i="143" s="1"/>
  <c r="L35" i="143" s="1"/>
  <c r="M18" i="222"/>
  <c r="S26" i="143" s="1"/>
  <c r="K15" i="159" l="1"/>
  <c r="H20" i="215"/>
  <c r="B208" i="180" l="1"/>
  <c r="B212" i="180" s="1"/>
  <c r="C210" i="180" l="1"/>
  <c r="R57" i="143" l="1"/>
  <c r="R48" i="143"/>
  <c r="R58" i="143" s="1"/>
  <c r="R13" i="143"/>
  <c r="W57" i="143" l="1"/>
  <c r="W48" i="143"/>
  <c r="W25" i="143"/>
  <c r="W13" i="143"/>
  <c r="T13" i="143"/>
  <c r="S13" i="143"/>
  <c r="C205" i="180"/>
  <c r="C201" i="180"/>
  <c r="C200" i="180"/>
  <c r="C197" i="180"/>
  <c r="C193" i="180"/>
  <c r="C192" i="180"/>
  <c r="C189" i="180"/>
  <c r="C185" i="180"/>
  <c r="C184" i="180"/>
  <c r="C181" i="180"/>
  <c r="C177" i="180"/>
  <c r="C176" i="180"/>
  <c r="C173" i="180"/>
  <c r="C169" i="180"/>
  <c r="C168" i="180"/>
  <c r="C165" i="180"/>
  <c r="C161" i="180"/>
  <c r="C160" i="180"/>
  <c r="C157" i="180"/>
  <c r="C153" i="180"/>
  <c r="C152" i="180"/>
  <c r="C149" i="180"/>
  <c r="C145" i="180"/>
  <c r="C144" i="180"/>
  <c r="C141" i="180"/>
  <c r="C137" i="180"/>
  <c r="C136" i="180"/>
  <c r="C133" i="180"/>
  <c r="C129" i="180"/>
  <c r="C128" i="180"/>
  <c r="C125" i="180"/>
  <c r="C121" i="180"/>
  <c r="C120" i="180"/>
  <c r="C117" i="180"/>
  <c r="C113" i="180"/>
  <c r="C112" i="180"/>
  <c r="C110" i="180"/>
  <c r="C108" i="180"/>
  <c r="C106" i="180"/>
  <c r="C105" i="180"/>
  <c r="C102" i="180"/>
  <c r="C101" i="180"/>
  <c r="C100" i="180"/>
  <c r="C97" i="180"/>
  <c r="C96" i="180"/>
  <c r="C94" i="180"/>
  <c r="C92" i="180"/>
  <c r="C90" i="180"/>
  <c r="C89" i="180"/>
  <c r="C86" i="180"/>
  <c r="C85" i="180"/>
  <c r="C84" i="180"/>
  <c r="C81" i="180"/>
  <c r="C80" i="180"/>
  <c r="C78" i="180"/>
  <c r="C76" i="180"/>
  <c r="C74" i="180"/>
  <c r="C73" i="180"/>
  <c r="C70" i="180"/>
  <c r="C69" i="180"/>
  <c r="C68" i="180"/>
  <c r="C65" i="180"/>
  <c r="C64" i="180"/>
  <c r="C62" i="180"/>
  <c r="C60" i="180"/>
  <c r="C58" i="180"/>
  <c r="C57" i="180"/>
  <c r="C54" i="180"/>
  <c r="C53" i="180"/>
  <c r="C52" i="180"/>
  <c r="C49" i="180"/>
  <c r="C48" i="180"/>
  <c r="C46" i="180"/>
  <c r="C44" i="180"/>
  <c r="C42" i="180"/>
  <c r="C41" i="180"/>
  <c r="C38" i="180"/>
  <c r="C37" i="180"/>
  <c r="C36" i="180"/>
  <c r="C33" i="180"/>
  <c r="C32" i="180"/>
  <c r="C30" i="180"/>
  <c r="C28" i="180"/>
  <c r="C26" i="180"/>
  <c r="C25" i="180"/>
  <c r="C22" i="180"/>
  <c r="C21" i="180"/>
  <c r="C20" i="180"/>
  <c r="C17" i="180"/>
  <c r="C16" i="180"/>
  <c r="C14" i="180"/>
  <c r="C12" i="180"/>
  <c r="C10" i="180"/>
  <c r="C9" i="180"/>
  <c r="S57" i="143"/>
  <c r="S48" i="143"/>
  <c r="T57" i="143"/>
  <c r="M12" i="216"/>
  <c r="P13" i="143"/>
  <c r="P48" i="143"/>
  <c r="P57" i="143"/>
  <c r="G15" i="159"/>
  <c r="M15" i="159" s="1"/>
  <c r="O18" i="143" s="1"/>
  <c r="H14" i="215"/>
  <c r="G13" i="159" s="1"/>
  <c r="P25" i="143"/>
  <c r="M12" i="213"/>
  <c r="M19" i="143" s="1"/>
  <c r="M25" i="143" s="1"/>
  <c r="M30" i="143" s="1"/>
  <c r="M29" i="143" s="1"/>
  <c r="M34" i="143" s="1"/>
  <c r="M35" i="143" s="1"/>
  <c r="T39" i="143" l="1"/>
  <c r="T48" i="143" s="1"/>
  <c r="T58" i="143" s="1"/>
  <c r="M15" i="216"/>
  <c r="M23" i="216" s="1"/>
  <c r="D210" i="180"/>
  <c r="C203" i="180"/>
  <c r="C199" i="180"/>
  <c r="C195" i="180"/>
  <c r="C191" i="180"/>
  <c r="C187" i="180"/>
  <c r="C183" i="180"/>
  <c r="C179" i="180"/>
  <c r="C175" i="180"/>
  <c r="C171" i="180"/>
  <c r="C167" i="180"/>
  <c r="C163" i="180"/>
  <c r="C159" i="180"/>
  <c r="C155" i="180"/>
  <c r="C151" i="180"/>
  <c r="C147" i="180"/>
  <c r="C143" i="180"/>
  <c r="C139" i="180"/>
  <c r="C135" i="180"/>
  <c r="C131" i="180"/>
  <c r="C127" i="180"/>
  <c r="C123" i="180"/>
  <c r="C119" i="180"/>
  <c r="C115" i="180"/>
  <c r="C111" i="180"/>
  <c r="C107" i="180"/>
  <c r="C103" i="180"/>
  <c r="C99" i="180"/>
  <c r="C95" i="180"/>
  <c r="C91" i="180"/>
  <c r="C87" i="180"/>
  <c r="C83" i="180"/>
  <c r="C79" i="180"/>
  <c r="C75" i="180"/>
  <c r="C71" i="180"/>
  <c r="C67" i="180"/>
  <c r="C63" i="180"/>
  <c r="C59" i="180"/>
  <c r="C55" i="180"/>
  <c r="C51" i="180"/>
  <c r="C47" i="180"/>
  <c r="C43" i="180"/>
  <c r="C39" i="180"/>
  <c r="C35" i="180"/>
  <c r="C31" i="180"/>
  <c r="C27" i="180"/>
  <c r="C23" i="180"/>
  <c r="C19" i="180"/>
  <c r="C15" i="180"/>
  <c r="C11" i="180"/>
  <c r="C206" i="180"/>
  <c r="C202" i="180"/>
  <c r="C198" i="180"/>
  <c r="C194" i="180"/>
  <c r="C190" i="180"/>
  <c r="C186" i="180"/>
  <c r="C182" i="180"/>
  <c r="C178" i="180"/>
  <c r="C174" i="180"/>
  <c r="C170" i="180"/>
  <c r="C166" i="180"/>
  <c r="C162" i="180"/>
  <c r="C158" i="180"/>
  <c r="C154" i="180"/>
  <c r="C150" i="180"/>
  <c r="C146" i="180"/>
  <c r="C142" i="180"/>
  <c r="C138" i="180"/>
  <c r="C134" i="180"/>
  <c r="C130" i="180"/>
  <c r="C126" i="180"/>
  <c r="C122" i="180"/>
  <c r="C118" i="180"/>
  <c r="C114" i="180"/>
  <c r="C13" i="180"/>
  <c r="C18" i="180"/>
  <c r="C24" i="180"/>
  <c r="C29" i="180"/>
  <c r="C34" i="180"/>
  <c r="C40" i="180"/>
  <c r="C45" i="180"/>
  <c r="C50" i="180"/>
  <c r="C56" i="180"/>
  <c r="C61" i="180"/>
  <c r="C66" i="180"/>
  <c r="C72" i="180"/>
  <c r="C77" i="180"/>
  <c r="C82" i="180"/>
  <c r="C88" i="180"/>
  <c r="C93" i="180"/>
  <c r="C98" i="180"/>
  <c r="C104" i="180"/>
  <c r="C109" i="180"/>
  <c r="C116" i="180"/>
  <c r="C124" i="180"/>
  <c r="C132" i="180"/>
  <c r="C140" i="180"/>
  <c r="C148" i="180"/>
  <c r="C156" i="180"/>
  <c r="C164" i="180"/>
  <c r="C172" i="180"/>
  <c r="C180" i="180"/>
  <c r="C188" i="180"/>
  <c r="C196" i="180"/>
  <c r="C204" i="180"/>
  <c r="W58" i="143"/>
  <c r="G17" i="159"/>
  <c r="G16" i="219"/>
  <c r="W30" i="143"/>
  <c r="W29" i="143" s="1"/>
  <c r="W34" i="143" s="1"/>
  <c r="W35" i="143" s="1"/>
  <c r="S58" i="143"/>
  <c r="P58" i="143"/>
  <c r="P30" i="143"/>
  <c r="P29" i="143" s="1"/>
  <c r="P34" i="143" s="1"/>
  <c r="P35" i="143" s="1"/>
  <c r="M15" i="214"/>
  <c r="N21" i="143" s="1"/>
  <c r="C208" i="180" l="1"/>
  <c r="C212" i="180" s="1"/>
  <c r="M16" i="219"/>
  <c r="D205" i="180"/>
  <c r="D203" i="180"/>
  <c r="D201" i="180"/>
  <c r="D199" i="180"/>
  <c r="D197" i="180"/>
  <c r="D195" i="180"/>
  <c r="D193" i="180"/>
  <c r="D191" i="180"/>
  <c r="D189" i="180"/>
  <c r="D187" i="180"/>
  <c r="D185" i="180"/>
  <c r="D183" i="180"/>
  <c r="D181" i="180"/>
  <c r="D179" i="180"/>
  <c r="D177" i="180"/>
  <c r="D175" i="180"/>
  <c r="D173" i="180"/>
  <c r="D171" i="180"/>
  <c r="D169" i="180"/>
  <c r="D167" i="180"/>
  <c r="D165" i="180"/>
  <c r="D163" i="180"/>
  <c r="D161" i="180"/>
  <c r="D159" i="180"/>
  <c r="D157" i="180"/>
  <c r="D155" i="180"/>
  <c r="D153" i="180"/>
  <c r="D151" i="180"/>
  <c r="D149" i="180"/>
  <c r="D147" i="180"/>
  <c r="D145" i="180"/>
  <c r="D143" i="180"/>
  <c r="D141" i="180"/>
  <c r="D139" i="180"/>
  <c r="D137" i="180"/>
  <c r="D135" i="180"/>
  <c r="D133" i="180"/>
  <c r="D131" i="180"/>
  <c r="D129" i="180"/>
  <c r="D127" i="180"/>
  <c r="D125" i="180"/>
  <c r="D123" i="180"/>
  <c r="D121" i="180"/>
  <c r="D119" i="180"/>
  <c r="D117" i="180"/>
  <c r="D115" i="180"/>
  <c r="D113" i="180"/>
  <c r="D111" i="180"/>
  <c r="D109" i="180"/>
  <c r="D107" i="180"/>
  <c r="D105" i="180"/>
  <c r="D103" i="180"/>
  <c r="D101" i="180"/>
  <c r="D99" i="180"/>
  <c r="D97" i="180"/>
  <c r="D95" i="180"/>
  <c r="D93" i="180"/>
  <c r="D91" i="180"/>
  <c r="D89" i="180"/>
  <c r="D87" i="180"/>
  <c r="D85" i="180"/>
  <c r="D83" i="180"/>
  <c r="D81" i="180"/>
  <c r="D79" i="180"/>
  <c r="D77" i="180"/>
  <c r="D75" i="180"/>
  <c r="D73" i="180"/>
  <c r="D71" i="180"/>
  <c r="D69" i="180"/>
  <c r="D67" i="180"/>
  <c r="D65" i="180"/>
  <c r="D63" i="180"/>
  <c r="D61" i="180"/>
  <c r="D59" i="180"/>
  <c r="D57" i="180"/>
  <c r="D55" i="180"/>
  <c r="D53" i="180"/>
  <c r="D51" i="180"/>
  <c r="D49" i="180"/>
  <c r="D47" i="180"/>
  <c r="D45" i="180"/>
  <c r="D43" i="180"/>
  <c r="D41" i="180"/>
  <c r="D39" i="180"/>
  <c r="D37" i="180"/>
  <c r="D35" i="180"/>
  <c r="D33" i="180"/>
  <c r="D31" i="180"/>
  <c r="D29" i="180"/>
  <c r="D27" i="180"/>
  <c r="D25" i="180"/>
  <c r="D23" i="180"/>
  <c r="D21" i="180"/>
  <c r="D19" i="180"/>
  <c r="D17" i="180"/>
  <c r="D15" i="180"/>
  <c r="D13" i="180"/>
  <c r="D11" i="180"/>
  <c r="D9" i="180"/>
  <c r="D206" i="180"/>
  <c r="D204" i="180"/>
  <c r="D202" i="180"/>
  <c r="D200" i="180"/>
  <c r="D198" i="180"/>
  <c r="D196" i="180"/>
  <c r="D194" i="180"/>
  <c r="D192" i="180"/>
  <c r="D190" i="180"/>
  <c r="D188" i="180"/>
  <c r="D186" i="180"/>
  <c r="D184" i="180"/>
  <c r="D182" i="180"/>
  <c r="D180" i="180"/>
  <c r="D178" i="180"/>
  <c r="D176" i="180"/>
  <c r="D174" i="180"/>
  <c r="D172" i="180"/>
  <c r="D170" i="180"/>
  <c r="D168" i="180"/>
  <c r="D166" i="180"/>
  <c r="D164" i="180"/>
  <c r="D162" i="180"/>
  <c r="D160" i="180"/>
  <c r="D158" i="180"/>
  <c r="D156" i="180"/>
  <c r="D154" i="180"/>
  <c r="D152" i="180"/>
  <c r="D150" i="180"/>
  <c r="D148" i="180"/>
  <c r="D146" i="180"/>
  <c r="D144" i="180"/>
  <c r="D142" i="180"/>
  <c r="D140" i="180"/>
  <c r="D138" i="180"/>
  <c r="D136" i="180"/>
  <c r="D134" i="180"/>
  <c r="D132" i="180"/>
  <c r="D130" i="180"/>
  <c r="D128" i="180"/>
  <c r="D126" i="180"/>
  <c r="D124" i="180"/>
  <c r="D122" i="180"/>
  <c r="D120" i="180"/>
  <c r="D118" i="180"/>
  <c r="D116" i="180"/>
  <c r="D114" i="180"/>
  <c r="D112" i="180"/>
  <c r="D110" i="180"/>
  <c r="D108" i="180"/>
  <c r="D106" i="180"/>
  <c r="D104" i="180"/>
  <c r="D102" i="180"/>
  <c r="D100" i="180"/>
  <c r="D98" i="180"/>
  <c r="D96" i="180"/>
  <c r="D94" i="180"/>
  <c r="D92" i="180"/>
  <c r="D90" i="180"/>
  <c r="D88" i="180"/>
  <c r="D86" i="180"/>
  <c r="D84" i="180"/>
  <c r="D82" i="180"/>
  <c r="D80" i="180"/>
  <c r="D78" i="180"/>
  <c r="D76" i="180"/>
  <c r="D74" i="180"/>
  <c r="D72" i="180"/>
  <c r="D70" i="180"/>
  <c r="D68" i="180"/>
  <c r="D66" i="180"/>
  <c r="D64" i="180"/>
  <c r="D62" i="180"/>
  <c r="D60" i="180"/>
  <c r="D58" i="180"/>
  <c r="D56" i="180"/>
  <c r="D54" i="180"/>
  <c r="D52" i="180"/>
  <c r="D50" i="180"/>
  <c r="D48" i="180"/>
  <c r="D46" i="180"/>
  <c r="D44" i="180"/>
  <c r="D42" i="180"/>
  <c r="D40" i="180"/>
  <c r="D38" i="180"/>
  <c r="D36" i="180"/>
  <c r="D34" i="180"/>
  <c r="D32" i="180"/>
  <c r="D30" i="180"/>
  <c r="D28" i="180"/>
  <c r="D26" i="180"/>
  <c r="D24" i="180"/>
  <c r="D22" i="180"/>
  <c r="D20" i="180"/>
  <c r="D18" i="180"/>
  <c r="D16" i="180"/>
  <c r="D14" i="180"/>
  <c r="D12" i="180"/>
  <c r="D10" i="180"/>
  <c r="T25" i="143" l="1"/>
  <c r="T30" i="143" s="1"/>
  <c r="T29" i="143" s="1"/>
  <c r="T34" i="143" s="1"/>
  <c r="T35" i="143" s="1"/>
  <c r="M18" i="219"/>
  <c r="D208" i="180"/>
  <c r="I21" i="181"/>
  <c r="K23" i="178"/>
  <c r="I13" i="178" s="1"/>
  <c r="I22" i="181" l="1"/>
  <c r="I13" i="181" s="1"/>
  <c r="H57" i="143"/>
  <c r="H48" i="143"/>
  <c r="H13" i="143"/>
  <c r="S25" i="143" l="1"/>
  <c r="S30" i="143" s="1"/>
  <c r="S29" i="143" s="1"/>
  <c r="S34" i="143" s="1"/>
  <c r="S35" i="143" s="1"/>
  <c r="H58" i="143"/>
  <c r="H25" i="143" l="1"/>
  <c r="H30" i="143" l="1"/>
  <c r="H29" i="143" s="1"/>
  <c r="H34" i="143" s="1"/>
  <c r="H35" i="143" s="1"/>
  <c r="F95" i="180" l="1"/>
  <c r="F93" i="180"/>
  <c r="F87" i="180"/>
  <c r="F83" i="180"/>
  <c r="F81" i="180"/>
  <c r="F77" i="180"/>
  <c r="F71" i="180"/>
  <c r="F66" i="180"/>
  <c r="F51" i="180"/>
  <c r="F49" i="180"/>
  <c r="F48" i="180"/>
  <c r="F47" i="180"/>
  <c r="F46" i="180"/>
  <c r="F45" i="180"/>
  <c r="F44" i="180"/>
  <c r="F15" i="180"/>
  <c r="F14" i="180"/>
  <c r="F13" i="180"/>
  <c r="F12" i="180"/>
  <c r="F11" i="180"/>
  <c r="F10" i="180"/>
  <c r="F9" i="180"/>
  <c r="F16" i="180" l="1"/>
  <c r="F17" i="180"/>
  <c r="F18" i="180"/>
  <c r="F19" i="180"/>
  <c r="F20" i="180"/>
  <c r="F21" i="180"/>
  <c r="F22" i="180"/>
  <c r="F23" i="180"/>
  <c r="F24" i="180"/>
  <c r="F25" i="180"/>
  <c r="F26" i="180"/>
  <c r="F27" i="180"/>
  <c r="F28" i="180"/>
  <c r="F29" i="180"/>
  <c r="F30" i="180"/>
  <c r="F31" i="180"/>
  <c r="F32" i="180"/>
  <c r="F33" i="180"/>
  <c r="F34" i="180"/>
  <c r="F35" i="180"/>
  <c r="F36" i="180"/>
  <c r="F37" i="180"/>
  <c r="F38" i="180"/>
  <c r="F39" i="180"/>
  <c r="F40" i="180"/>
  <c r="F41" i="180"/>
  <c r="F42" i="180"/>
  <c r="F43" i="180"/>
  <c r="F50" i="180"/>
  <c r="F52" i="180"/>
  <c r="F69" i="180"/>
  <c r="F73" i="180"/>
  <c r="F75" i="180"/>
  <c r="F79" i="180"/>
  <c r="F85" i="180"/>
  <c r="F89" i="180"/>
  <c r="F91" i="180"/>
  <c r="F205" i="180"/>
  <c r="F203" i="180"/>
  <c r="F201" i="180"/>
  <c r="F199" i="180"/>
  <c r="F197" i="180"/>
  <c r="F195" i="180"/>
  <c r="F193" i="180"/>
  <c r="F191" i="180"/>
  <c r="F189" i="180"/>
  <c r="F187" i="180"/>
  <c r="F185" i="180"/>
  <c r="F183" i="180"/>
  <c r="F181" i="180"/>
  <c r="F179" i="180"/>
  <c r="F177" i="180"/>
  <c r="F175" i="180"/>
  <c r="F173" i="180"/>
  <c r="F171" i="180"/>
  <c r="F169" i="180"/>
  <c r="F167" i="180"/>
  <c r="F165" i="180"/>
  <c r="F163" i="180"/>
  <c r="F161" i="180"/>
  <c r="F159" i="180"/>
  <c r="F157" i="180"/>
  <c r="F155" i="180"/>
  <c r="F153" i="180"/>
  <c r="F151" i="180"/>
  <c r="F149" i="180"/>
  <c r="F147" i="180"/>
  <c r="F145" i="180"/>
  <c r="F143" i="180"/>
  <c r="F141" i="180"/>
  <c r="F139" i="180"/>
  <c r="F137" i="180"/>
  <c r="F135" i="180"/>
  <c r="F133" i="180"/>
  <c r="F131" i="180"/>
  <c r="F129" i="180"/>
  <c r="F127" i="180"/>
  <c r="F125" i="180"/>
  <c r="F123" i="180"/>
  <c r="F121" i="180"/>
  <c r="F119" i="180"/>
  <c r="F117" i="180"/>
  <c r="F115" i="180"/>
  <c r="F113" i="180"/>
  <c r="F111" i="180"/>
  <c r="F109" i="180"/>
  <c r="F107" i="180"/>
  <c r="F105" i="180"/>
  <c r="F103" i="180"/>
  <c r="F101" i="180"/>
  <c r="F99" i="180"/>
  <c r="F97" i="180"/>
  <c r="F206" i="180"/>
  <c r="F204" i="180"/>
  <c r="F202" i="180"/>
  <c r="F200" i="180"/>
  <c r="F198" i="180"/>
  <c r="F196" i="180"/>
  <c r="F194" i="180"/>
  <c r="F192" i="180"/>
  <c r="F190" i="180"/>
  <c r="F188" i="180"/>
  <c r="F186" i="180"/>
  <c r="F184" i="180"/>
  <c r="F182" i="180"/>
  <c r="F180" i="180"/>
  <c r="F178" i="180"/>
  <c r="F176" i="180"/>
  <c r="F174" i="180"/>
  <c r="F172" i="180"/>
  <c r="F170" i="180"/>
  <c r="F168" i="180"/>
  <c r="F166" i="180"/>
  <c r="F164" i="180"/>
  <c r="F162" i="180"/>
  <c r="F160" i="180"/>
  <c r="F158" i="180"/>
  <c r="F156" i="180"/>
  <c r="F154" i="180"/>
  <c r="F152" i="180"/>
  <c r="F150" i="180"/>
  <c r="F148" i="180"/>
  <c r="F146" i="180"/>
  <c r="F144" i="180"/>
  <c r="F142" i="180"/>
  <c r="F140" i="180"/>
  <c r="F138" i="180"/>
  <c r="F136" i="180"/>
  <c r="F134" i="180"/>
  <c r="F132" i="180"/>
  <c r="F130" i="180"/>
  <c r="F128" i="180"/>
  <c r="F126" i="180"/>
  <c r="F124" i="180"/>
  <c r="F122" i="180"/>
  <c r="F120" i="180"/>
  <c r="F118" i="180"/>
  <c r="F116" i="180"/>
  <c r="F114" i="180"/>
  <c r="F112" i="180"/>
  <c r="F110" i="180"/>
  <c r="F108" i="180"/>
  <c r="F106" i="180"/>
  <c r="F104" i="180"/>
  <c r="F102" i="180"/>
  <c r="F100" i="180"/>
  <c r="F98" i="180"/>
  <c r="F96" i="180"/>
  <c r="F94" i="180"/>
  <c r="F92" i="180"/>
  <c r="F90" i="180"/>
  <c r="F88" i="180"/>
  <c r="F86" i="180"/>
  <c r="F84" i="180"/>
  <c r="F82" i="180"/>
  <c r="F80" i="180"/>
  <c r="F78" i="180"/>
  <c r="F76" i="180"/>
  <c r="F74" i="180"/>
  <c r="F72" i="180"/>
  <c r="F70" i="180"/>
  <c r="F68" i="180"/>
  <c r="F67" i="180"/>
  <c r="F53" i="180"/>
  <c r="F54" i="180"/>
  <c r="F55" i="180"/>
  <c r="F56" i="180"/>
  <c r="F57" i="180"/>
  <c r="F58" i="180"/>
  <c r="F59" i="180"/>
  <c r="F60" i="180"/>
  <c r="F61" i="180"/>
  <c r="F62" i="180"/>
  <c r="F63" i="180"/>
  <c r="F64" i="180"/>
  <c r="F65" i="180"/>
  <c r="X25" i="143"/>
  <c r="X13" i="143"/>
  <c r="F208" i="180" l="1"/>
  <c r="O13" i="181" s="1"/>
  <c r="X30" i="143"/>
  <c r="X29" i="143" s="1"/>
  <c r="X34" i="143" s="1"/>
  <c r="X35" i="143" s="1"/>
  <c r="K21" i="143" l="1"/>
  <c r="K17" i="143"/>
  <c r="K24" i="143"/>
  <c r="K22" i="143"/>
  <c r="E22" i="143" s="1"/>
  <c r="K20" i="143"/>
  <c r="K15" i="143"/>
  <c r="K19" i="143"/>
  <c r="E19" i="143" s="1"/>
  <c r="K18" i="143"/>
  <c r="M13" i="159"/>
  <c r="O15" i="143" s="1"/>
  <c r="O13" i="143"/>
  <c r="N13" i="143"/>
  <c r="G13" i="143"/>
  <c r="G25" i="143"/>
  <c r="R25" i="143"/>
  <c r="R30" i="143" s="1"/>
  <c r="R29" i="143" s="1"/>
  <c r="R34" i="143" s="1"/>
  <c r="R35" i="143" s="1"/>
  <c r="N48" i="143"/>
  <c r="N57" i="143"/>
  <c r="O48" i="143"/>
  <c r="O57" i="143"/>
  <c r="G57" i="143"/>
  <c r="E9" i="143"/>
  <c r="E10" i="143"/>
  <c r="E11" i="143"/>
  <c r="E16" i="143"/>
  <c r="E17" i="143"/>
  <c r="E23" i="143"/>
  <c r="E27" i="143"/>
  <c r="E28" i="143"/>
  <c r="E31" i="143"/>
  <c r="E32" i="143"/>
  <c r="E33" i="143"/>
  <c r="E39" i="143"/>
  <c r="E40" i="143"/>
  <c r="E41" i="143"/>
  <c r="E42" i="143"/>
  <c r="E43" i="143"/>
  <c r="E44" i="143"/>
  <c r="E45" i="143"/>
  <c r="E46" i="143"/>
  <c r="E47" i="143"/>
  <c r="E51" i="143"/>
  <c r="E52" i="143"/>
  <c r="E53" i="143"/>
  <c r="E54" i="143"/>
  <c r="E55" i="143"/>
  <c r="E56" i="143"/>
  <c r="K25" i="143" l="1"/>
  <c r="M17" i="159"/>
  <c r="E21" i="143"/>
  <c r="O58" i="143"/>
  <c r="N58" i="143"/>
  <c r="E20" i="143"/>
  <c r="G30" i="143"/>
  <c r="G29" i="143" s="1"/>
  <c r="O25" i="143"/>
  <c r="O30" i="143" s="1"/>
  <c r="K30" i="143" l="1"/>
  <c r="K29" i="143" s="1"/>
  <c r="K34" i="143" s="1"/>
  <c r="K35" i="143" s="1"/>
  <c r="E37" i="143"/>
  <c r="G48" i="143"/>
  <c r="G58" i="143" s="1"/>
  <c r="E38" i="143"/>
  <c r="E50" i="143"/>
  <c r="G34" i="143"/>
  <c r="G35" i="143" s="1"/>
  <c r="O29" i="143"/>
  <c r="O34" i="143" s="1"/>
  <c r="O35" i="143" s="1"/>
  <c r="E26" i="143"/>
  <c r="E15" i="143"/>
  <c r="E57" i="143" l="1"/>
  <c r="E48" i="143"/>
  <c r="E18" i="143"/>
  <c r="N25" i="143"/>
  <c r="E12" i="143"/>
  <c r="E13" i="143" l="1"/>
  <c r="E58" i="143"/>
  <c r="E24" i="143"/>
  <c r="N30" i="143"/>
  <c r="N29" i="143" s="1"/>
  <c r="N34" i="143" s="1"/>
  <c r="N35" i="143" s="1"/>
  <c r="E25" i="143" l="1"/>
  <c r="E29" i="143" l="1"/>
  <c r="E30" i="143"/>
  <c r="E34" i="143" l="1"/>
  <c r="E35" i="143" s="1"/>
</calcChain>
</file>

<file path=xl/sharedStrings.xml><?xml version="1.0" encoding="utf-8"?>
<sst xmlns="http://schemas.openxmlformats.org/spreadsheetml/2006/main" count="1924" uniqueCount="736">
  <si>
    <t>Line</t>
  </si>
  <si>
    <t>Description</t>
  </si>
  <si>
    <t>Amount</t>
  </si>
  <si>
    <t>No.</t>
  </si>
  <si>
    <t>Total</t>
  </si>
  <si>
    <t>Description of Adjustment:</t>
  </si>
  <si>
    <t>Company</t>
  </si>
  <si>
    <t>Factor</t>
  </si>
  <si>
    <t>Allocation</t>
  </si>
  <si>
    <t>Utah</t>
  </si>
  <si>
    <t>Factor %</t>
  </si>
  <si>
    <t>Acct.</t>
  </si>
  <si>
    <t>Adjustment to Expense:</t>
  </si>
  <si>
    <t>-Utah Operations</t>
  </si>
  <si>
    <t>SG</t>
  </si>
  <si>
    <t>Rocky Mountain Power</t>
  </si>
  <si>
    <t>Power</t>
  </si>
  <si>
    <t>Adjustments</t>
  </si>
  <si>
    <t>Costs</t>
  </si>
  <si>
    <t>Table 1</t>
  </si>
  <si>
    <t>Witness:</t>
  </si>
  <si>
    <t xml:space="preserve"> Operating Revenues:</t>
  </si>
  <si>
    <t xml:space="preserve">  General Business</t>
  </si>
  <si>
    <t xml:space="preserve">  Interdepartmental</t>
  </si>
  <si>
    <t xml:space="preserve">  Special Sales</t>
  </si>
  <si>
    <t xml:space="preserve">  Other Operating Revenues</t>
  </si>
  <si>
    <t xml:space="preserve">    Total Operating Revenues </t>
  </si>
  <si>
    <t xml:space="preserve"> Operating Expenses: </t>
  </si>
  <si>
    <t xml:space="preserve">    Steam Production</t>
  </si>
  <si>
    <t xml:space="preserve">    Nuclear Production</t>
  </si>
  <si>
    <t xml:space="preserve">    Hydro Production</t>
  </si>
  <si>
    <t xml:space="preserve">    Other Power Supply</t>
  </si>
  <si>
    <t xml:space="preserve">    Transmission</t>
  </si>
  <si>
    <t xml:space="preserve">    Distribution</t>
  </si>
  <si>
    <t xml:space="preserve">    Customer Accounting</t>
  </si>
  <si>
    <t xml:space="preserve">    Customer Service &amp; Info</t>
  </si>
  <si>
    <t xml:space="preserve">    Sales</t>
  </si>
  <si>
    <t xml:space="preserve">    Administrative &amp; General</t>
  </si>
  <si>
    <t xml:space="preserve">        Total O &amp; M Expense</t>
  </si>
  <si>
    <t xml:space="preserve">  Depreciation</t>
  </si>
  <si>
    <t xml:space="preserve">  Amortization</t>
  </si>
  <si>
    <t xml:space="preserve">  Taxes Other Than Income</t>
  </si>
  <si>
    <t xml:space="preserve">  Income Taxes - Federal</t>
  </si>
  <si>
    <t xml:space="preserve">  Income Taxes - State</t>
  </si>
  <si>
    <t xml:space="preserve">  Income Taxes Deferred - Net</t>
  </si>
  <si>
    <t xml:space="preserve">  Misc. Revenue &amp; Expense</t>
  </si>
  <si>
    <t xml:space="preserve">    Total Operating Expenses</t>
  </si>
  <si>
    <t>Operating Revenue for Return:</t>
  </si>
  <si>
    <t xml:space="preserve"> Additions to Rate Base: </t>
  </si>
  <si>
    <t xml:space="preserve">   Electric Plant In Service</t>
  </si>
  <si>
    <t xml:space="preserve">   Plant Held for Future Use</t>
  </si>
  <si>
    <t xml:space="preserve">   Misc Deferred Debits</t>
  </si>
  <si>
    <t xml:space="preserve">   Electric Plant Acq Adj</t>
  </si>
  <si>
    <t xml:space="preserve">   Prepayments</t>
  </si>
  <si>
    <t xml:space="preserve">   Fuel Stock</t>
  </si>
  <si>
    <t xml:space="preserve">   Materials and Supplies</t>
  </si>
  <si>
    <t xml:space="preserve">   Weatherization Loans</t>
  </si>
  <si>
    <t xml:space="preserve">      Total Additions</t>
  </si>
  <si>
    <t xml:space="preserve"> Deductions from Rate Base: </t>
  </si>
  <si>
    <t xml:space="preserve">   Accum Def Income Taxes</t>
  </si>
  <si>
    <t xml:space="preserve">   Unamortized ITC</t>
  </si>
  <si>
    <t xml:space="preserve">   Customer Service Deposits</t>
  </si>
  <si>
    <t xml:space="preserve">    Total Deductions</t>
  </si>
  <si>
    <t>Actual</t>
  </si>
  <si>
    <t>Ramas</t>
  </si>
  <si>
    <t>Adjustment to Rate Base:</t>
  </si>
  <si>
    <t>Accts.</t>
  </si>
  <si>
    <t>500SG</t>
  </si>
  <si>
    <t>502SG</t>
  </si>
  <si>
    <t>505SG</t>
  </si>
  <si>
    <t>506SG</t>
  </si>
  <si>
    <t>510SG</t>
  </si>
  <si>
    <t>511SG</t>
  </si>
  <si>
    <t>512SG</t>
  </si>
  <si>
    <t>513SG</t>
  </si>
  <si>
    <t>514SG</t>
  </si>
  <si>
    <t>535SG-P</t>
  </si>
  <si>
    <t>535SG-U</t>
  </si>
  <si>
    <t>536SG-P</t>
  </si>
  <si>
    <t>537SG-P</t>
  </si>
  <si>
    <t>537SG-U</t>
  </si>
  <si>
    <t>539SG-P</t>
  </si>
  <si>
    <t>539SG-U</t>
  </si>
  <si>
    <t>540SG-P</t>
  </si>
  <si>
    <t>542SG-P</t>
  </si>
  <si>
    <t>542SG-U</t>
  </si>
  <si>
    <t>543SG-P</t>
  </si>
  <si>
    <t>543SG-U</t>
  </si>
  <si>
    <t>544SG-P</t>
  </si>
  <si>
    <t>544SG-U</t>
  </si>
  <si>
    <t>545SG-P</t>
  </si>
  <si>
    <t>545SG-U</t>
  </si>
  <si>
    <t>548SG</t>
  </si>
  <si>
    <t>549SG</t>
  </si>
  <si>
    <t>552SG</t>
  </si>
  <si>
    <t>553SG</t>
  </si>
  <si>
    <t>554SG</t>
  </si>
  <si>
    <t>556SG</t>
  </si>
  <si>
    <t>557SG</t>
  </si>
  <si>
    <t>560SG</t>
  </si>
  <si>
    <t>561SG</t>
  </si>
  <si>
    <t>562SG</t>
  </si>
  <si>
    <t>563SG</t>
  </si>
  <si>
    <t>566SG</t>
  </si>
  <si>
    <t>567SG</t>
  </si>
  <si>
    <t>568SG</t>
  </si>
  <si>
    <t>569SG</t>
  </si>
  <si>
    <t>570SG</t>
  </si>
  <si>
    <t>571SG</t>
  </si>
  <si>
    <t>572SG</t>
  </si>
  <si>
    <t>580SNPD</t>
  </si>
  <si>
    <t>581SNPD</t>
  </si>
  <si>
    <t>582CA</t>
  </si>
  <si>
    <t>582OR</t>
  </si>
  <si>
    <t>582SNPD</t>
  </si>
  <si>
    <t>582UT</t>
  </si>
  <si>
    <t>582WA</t>
  </si>
  <si>
    <t>582WYP</t>
  </si>
  <si>
    <t>583CA</t>
  </si>
  <si>
    <t>583OR</t>
  </si>
  <si>
    <t>583SNPD</t>
  </si>
  <si>
    <t>583UT</t>
  </si>
  <si>
    <t>583WA</t>
  </si>
  <si>
    <t>583WYP</t>
  </si>
  <si>
    <t>583WYU</t>
  </si>
  <si>
    <t>585SNPD</t>
  </si>
  <si>
    <t>586CA</t>
  </si>
  <si>
    <t>586OR</t>
  </si>
  <si>
    <t>586UT</t>
  </si>
  <si>
    <t>586WA</t>
  </si>
  <si>
    <t>586WYP</t>
  </si>
  <si>
    <t>586WYU</t>
  </si>
  <si>
    <t>587CA</t>
  </si>
  <si>
    <t>587OR</t>
  </si>
  <si>
    <t>587UT</t>
  </si>
  <si>
    <t>587WA</t>
  </si>
  <si>
    <t>587WYP</t>
  </si>
  <si>
    <t>587WYU</t>
  </si>
  <si>
    <t>588CA</t>
  </si>
  <si>
    <t>588OR</t>
  </si>
  <si>
    <t>588SNPD</t>
  </si>
  <si>
    <t>588UT</t>
  </si>
  <si>
    <t>588WA</t>
  </si>
  <si>
    <t>588WYP</t>
  </si>
  <si>
    <t>588WYU</t>
  </si>
  <si>
    <t>589CA</t>
  </si>
  <si>
    <t>589OR</t>
  </si>
  <si>
    <t>589UT</t>
  </si>
  <si>
    <t>589WA</t>
  </si>
  <si>
    <t>589WYP</t>
  </si>
  <si>
    <t>589WYU</t>
  </si>
  <si>
    <t>590CA</t>
  </si>
  <si>
    <t>590OR</t>
  </si>
  <si>
    <t>590SNPD</t>
  </si>
  <si>
    <t>590UT</t>
  </si>
  <si>
    <t>590WA</t>
  </si>
  <si>
    <t>590WYP</t>
  </si>
  <si>
    <t>592CA</t>
  </si>
  <si>
    <t>592OR</t>
  </si>
  <si>
    <t>592SNPD</t>
  </si>
  <si>
    <t>592UT</t>
  </si>
  <si>
    <t>592WA</t>
  </si>
  <si>
    <t>592WYP</t>
  </si>
  <si>
    <t>593CA</t>
  </si>
  <si>
    <t>593OR</t>
  </si>
  <si>
    <t>593SNPD</t>
  </si>
  <si>
    <t>593UT</t>
  </si>
  <si>
    <t>593WA</t>
  </si>
  <si>
    <t>593WYP</t>
  </si>
  <si>
    <t>593WYU</t>
  </si>
  <si>
    <t>594CA</t>
  </si>
  <si>
    <t>594OR</t>
  </si>
  <si>
    <t>594UT</t>
  </si>
  <si>
    <t>594WA</t>
  </si>
  <si>
    <t>594WYP</t>
  </si>
  <si>
    <t>594WYU</t>
  </si>
  <si>
    <t>595SNPD</t>
  </si>
  <si>
    <t>596CA</t>
  </si>
  <si>
    <t>596OR</t>
  </si>
  <si>
    <t>596UT</t>
  </si>
  <si>
    <t>596WA</t>
  </si>
  <si>
    <t>596WYP</t>
  </si>
  <si>
    <t>596WYU</t>
  </si>
  <si>
    <t>597CA</t>
  </si>
  <si>
    <t>597OR</t>
  </si>
  <si>
    <t>597SNPD</t>
  </si>
  <si>
    <t>597UT</t>
  </si>
  <si>
    <t>597WA</t>
  </si>
  <si>
    <t>597WYP</t>
  </si>
  <si>
    <t>597WYU</t>
  </si>
  <si>
    <t>598CA</t>
  </si>
  <si>
    <t>598OR</t>
  </si>
  <si>
    <t>598SNPD</t>
  </si>
  <si>
    <t>598WA</t>
  </si>
  <si>
    <t>901CN</t>
  </si>
  <si>
    <t>902CA</t>
  </si>
  <si>
    <t>902CN</t>
  </si>
  <si>
    <t>902OR</t>
  </si>
  <si>
    <t>902UT</t>
  </si>
  <si>
    <t>902WA</t>
  </si>
  <si>
    <t>902WYP</t>
  </si>
  <si>
    <t>902WYU</t>
  </si>
  <si>
    <t>903CA</t>
  </si>
  <si>
    <t>903CN</t>
  </si>
  <si>
    <t>903OR</t>
  </si>
  <si>
    <t>903UT</t>
  </si>
  <si>
    <t>903WA</t>
  </si>
  <si>
    <t>903WYP</t>
  </si>
  <si>
    <t>903WYU</t>
  </si>
  <si>
    <t>907CN</t>
  </si>
  <si>
    <t>908CA</t>
  </si>
  <si>
    <t>908CN</t>
  </si>
  <si>
    <t>908OR</t>
  </si>
  <si>
    <t>908OTHER</t>
  </si>
  <si>
    <t>908UT</t>
  </si>
  <si>
    <t>908WYP</t>
  </si>
  <si>
    <t>909CN</t>
  </si>
  <si>
    <t>910CN</t>
  </si>
  <si>
    <t>920SO</t>
  </si>
  <si>
    <t>921SO</t>
  </si>
  <si>
    <t>922SO</t>
  </si>
  <si>
    <t>929SO</t>
  </si>
  <si>
    <t>935OR</t>
  </si>
  <si>
    <t>935SO</t>
  </si>
  <si>
    <t>Rate Base</t>
  </si>
  <si>
    <t>GENERATION OVERHAUL EXPENSE</t>
  </si>
  <si>
    <t>Generation Overhaul Expense - Steam</t>
  </si>
  <si>
    <t>Generation Overhaul Expense - Other</t>
  </si>
  <si>
    <t>Generation</t>
  </si>
  <si>
    <t>Overhaul</t>
  </si>
  <si>
    <t>Office of Consumer Services</t>
  </si>
  <si>
    <t>SO</t>
  </si>
  <si>
    <t>Account</t>
  </si>
  <si>
    <t>Adjustment</t>
  </si>
  <si>
    <t>500-935</t>
  </si>
  <si>
    <t>Multiple</t>
  </si>
  <si>
    <t>Details:</t>
  </si>
  <si>
    <t>A.1</t>
  </si>
  <si>
    <t>A.2</t>
  </si>
  <si>
    <t>A.3</t>
  </si>
  <si>
    <t>A.4</t>
  </si>
  <si>
    <t>A.5</t>
  </si>
  <si>
    <t>REDUCTION TO PENSION EXPENSE</t>
  </si>
  <si>
    <t>Reduction to Pension Expense</t>
  </si>
  <si>
    <t>Total OCS</t>
  </si>
  <si>
    <t>Total Adjustment</t>
  </si>
  <si>
    <t>Adjustment Details:</t>
  </si>
  <si>
    <t>928CA</t>
  </si>
  <si>
    <t>928OR</t>
  </si>
  <si>
    <t>928SO</t>
  </si>
  <si>
    <t>928UT</t>
  </si>
  <si>
    <t>928WA</t>
  </si>
  <si>
    <t>928WYP</t>
  </si>
  <si>
    <t>935WA</t>
  </si>
  <si>
    <t>Adjustment to Depreciation Expense:</t>
  </si>
  <si>
    <t xml:space="preserve">  Investment Tax Credit Adj.</t>
  </si>
  <si>
    <t xml:space="preserve">   Working Capital</t>
  </si>
  <si>
    <t xml:space="preserve">   Misc. Rate Base</t>
  </si>
  <si>
    <t xml:space="preserve">   Accum Prov For Deprec.</t>
  </si>
  <si>
    <t xml:space="preserve">   Accum Prov For Amort.</t>
  </si>
  <si>
    <t xml:space="preserve">   Customer Adv For Const</t>
  </si>
  <si>
    <t xml:space="preserve">   Misc. Rate Base Deductions</t>
  </si>
  <si>
    <t>(A)</t>
  </si>
  <si>
    <t>(B)</t>
  </si>
  <si>
    <t>Normalized Generation Overhaul Expense - Steam, Excluding Escalation</t>
  </si>
  <si>
    <t>Reduction to Generation Overhaul Expense - Steam</t>
  </si>
  <si>
    <t>Escalated Normalized Generation Overhaul Expense - Steam, per RMP</t>
  </si>
  <si>
    <t>Reduction to Generation Overhaul Expense - Other</t>
  </si>
  <si>
    <t>GENERATION OVERHAUL EXPENSE - ESCALATION REMOVAL</t>
  </si>
  <si>
    <t>Expense</t>
  </si>
  <si>
    <t>580OR</t>
  </si>
  <si>
    <t>580WA</t>
  </si>
  <si>
    <t>592WYU</t>
  </si>
  <si>
    <t>908WA</t>
  </si>
  <si>
    <t>920OR</t>
  </si>
  <si>
    <t>935CA</t>
  </si>
  <si>
    <t>Utility Labor</t>
  </si>
  <si>
    <t>Capital/Non Utility</t>
  </si>
  <si>
    <t>Total Labor</t>
  </si>
  <si>
    <t>OCS</t>
  </si>
  <si>
    <t>Reduction to Labor Expense</t>
  </si>
  <si>
    <t>Reduction to Expense</t>
  </si>
  <si>
    <t>Exhibit OCS 3.13D</t>
  </si>
  <si>
    <t>Update</t>
  </si>
  <si>
    <t>549OR</t>
  </si>
  <si>
    <t>580ID</t>
  </si>
  <si>
    <t>580UT</t>
  </si>
  <si>
    <t>580WYP</t>
  </si>
  <si>
    <t>582ID</t>
  </si>
  <si>
    <t>583ID</t>
  </si>
  <si>
    <t>586ID</t>
  </si>
  <si>
    <t>587ID</t>
  </si>
  <si>
    <t>588ID</t>
  </si>
  <si>
    <t>589ID</t>
  </si>
  <si>
    <t>590ID</t>
  </si>
  <si>
    <t>592ID</t>
  </si>
  <si>
    <t>593ID</t>
  </si>
  <si>
    <t>594ID</t>
  </si>
  <si>
    <t>594SNPD</t>
  </si>
  <si>
    <t>596ID</t>
  </si>
  <si>
    <t>597ID</t>
  </si>
  <si>
    <t>902ID</t>
  </si>
  <si>
    <t>903ID</t>
  </si>
  <si>
    <t>908ID</t>
  </si>
  <si>
    <t>928ID</t>
  </si>
  <si>
    <t>935ID</t>
  </si>
  <si>
    <t>A.6</t>
  </si>
  <si>
    <t>Hayet</t>
  </si>
  <si>
    <t>Pension</t>
  </si>
  <si>
    <t>Reduction to Depreciation Expense</t>
  </si>
  <si>
    <t>Adjustment to Expense</t>
  </si>
  <si>
    <t>Situs</t>
  </si>
  <si>
    <t>182M</t>
  </si>
  <si>
    <t>(D)</t>
  </si>
  <si>
    <t>(F)</t>
  </si>
  <si>
    <t>Adjustment to Revenue:</t>
  </si>
  <si>
    <t>REC</t>
  </si>
  <si>
    <t>Revenues</t>
  </si>
  <si>
    <t>Exhibit OCS 3.9D</t>
  </si>
  <si>
    <t>Exhibit OCS 3.18D</t>
  </si>
  <si>
    <t>Witness:  Donna Ramas</t>
  </si>
  <si>
    <t>Non-Confidential</t>
  </si>
  <si>
    <t>Exhibit Reference:</t>
  </si>
  <si>
    <t>Reduction to Test Year Pension Net Periodic Benefit Costs, per OCS</t>
  </si>
  <si>
    <t>12 Months Ended</t>
  </si>
  <si>
    <t>December 2019</t>
  </si>
  <si>
    <t>% of</t>
  </si>
  <si>
    <t>503SE</t>
  </si>
  <si>
    <t>541SG-P</t>
  </si>
  <si>
    <t>546SG</t>
  </si>
  <si>
    <t>557ID</t>
  </si>
  <si>
    <t>925SO</t>
  </si>
  <si>
    <t>935WYP</t>
  </si>
  <si>
    <t>REMOVE UMWA TRANSFER FROM POST RETIREMENT BENEFITS</t>
  </si>
  <si>
    <t>Test Year Ending December 31, 2021</t>
  </si>
  <si>
    <t>Docket No. 20-035-04</t>
  </si>
  <si>
    <t>Reduction to Post Retirement Benefits Expense</t>
  </si>
  <si>
    <t>Recommended Amortization Period</t>
  </si>
  <si>
    <t>Recommended Test Year Amortization of Projected Settlement Loss</t>
  </si>
  <si>
    <t>Years</t>
  </si>
  <si>
    <t>Estimated Settlement Loss included in RMP Projected Net Periodic Benefit Costs</t>
  </si>
  <si>
    <t>Line A.3 - Line A.1</t>
  </si>
  <si>
    <t>UMWA Trans</t>
  </si>
  <si>
    <t>Steam Plant (1):</t>
  </si>
  <si>
    <t>(1)  Cholla has been removed from the overhaul expenses by RMP as a result of its retirement.</t>
  </si>
  <si>
    <t>Other Plants:</t>
  </si>
  <si>
    <t>Normalized Generation Overhaul Expense - Other, Excluding Escalation</t>
  </si>
  <si>
    <t>Escalated Normalized Generation Overhaul Expense - Other, per RMP</t>
  </si>
  <si>
    <t>Accum. Reg Liab. - Incr. Decomm.</t>
  </si>
  <si>
    <t>Accum. Deferred Income Tax</t>
  </si>
  <si>
    <t>Reduction to Annual Decommissioning Costs</t>
  </si>
  <si>
    <t>Fee Change</t>
  </si>
  <si>
    <t>Correction</t>
  </si>
  <si>
    <t>NTUA Revenue</t>
  </si>
  <si>
    <t>Reliability</t>
  </si>
  <si>
    <t>Coord. Fees</t>
  </si>
  <si>
    <t>Uncollect. Exp.</t>
  </si>
  <si>
    <t>Escalation</t>
  </si>
  <si>
    <t>Colstrip</t>
  </si>
  <si>
    <t>Decommissioning</t>
  </si>
  <si>
    <t>Remove</t>
  </si>
  <si>
    <t>AMI Proj</t>
  </si>
  <si>
    <t>Adjustments to Rate Base:</t>
  </si>
  <si>
    <t>Remove Net Pension Asset from Rate Base:</t>
  </si>
  <si>
    <t xml:space="preserve">  Net Prepaid Balance</t>
  </si>
  <si>
    <t xml:space="preserve">  ADIT Balances</t>
  </si>
  <si>
    <t>Remove Net Post Retirement Assets from Rate Base:</t>
  </si>
  <si>
    <t xml:space="preserve">  ADIT Balance</t>
  </si>
  <si>
    <t xml:space="preserve">      Subtotal</t>
  </si>
  <si>
    <t>Net Adjustment to Rate Base</t>
  </si>
  <si>
    <t xml:space="preserve">   Pensions</t>
  </si>
  <si>
    <t>Remove Costs</t>
  </si>
  <si>
    <t>From Escalation</t>
  </si>
  <si>
    <t>Steam Operations</t>
  </si>
  <si>
    <t>SE</t>
  </si>
  <si>
    <t>UT</t>
  </si>
  <si>
    <t>Steam Maintenance</t>
  </si>
  <si>
    <t>Hydro Operations</t>
  </si>
  <si>
    <t>Per RMP</t>
  </si>
  <si>
    <t>Updated</t>
  </si>
  <si>
    <t>UPDATE O&amp;M EXPENSE ESCALATION</t>
  </si>
  <si>
    <t>Expense Adjustment:</t>
  </si>
  <si>
    <t>Hydro Maintenance</t>
  </si>
  <si>
    <t>Other Operations</t>
  </si>
  <si>
    <t>Other Maintenance</t>
  </si>
  <si>
    <t>To Update</t>
  </si>
  <si>
    <t xml:space="preserve">    Subtotal</t>
  </si>
  <si>
    <t>Transmission Operations</t>
  </si>
  <si>
    <t>Transmission Maintenance</t>
  </si>
  <si>
    <t>Distribution Operations</t>
  </si>
  <si>
    <t>Distribution Maintenance</t>
  </si>
  <si>
    <t>SNPD</t>
  </si>
  <si>
    <t xml:space="preserve">  Subtotal</t>
  </si>
  <si>
    <t>Customer Accts - Oper.</t>
  </si>
  <si>
    <t>Customer Svc - Oper.</t>
  </si>
  <si>
    <t>A&amp;G Operations</t>
  </si>
  <si>
    <t>CN</t>
  </si>
  <si>
    <t>Balance to</t>
  </si>
  <si>
    <t>Remove from</t>
  </si>
  <si>
    <t>Remove Uncollectible Exp. From Esc.</t>
  </si>
  <si>
    <t>Notes:</t>
  </si>
  <si>
    <t>(C )</t>
  </si>
  <si>
    <t>(E )</t>
  </si>
  <si>
    <t>(G)</t>
  </si>
  <si>
    <t>(H)</t>
  </si>
  <si>
    <t>(E )= (D) - (A)</t>
  </si>
  <si>
    <t>Col. (A) and (B):  Exhibit RMP__(SRM-3), pages 4.10 through 4.10.4.</t>
  </si>
  <si>
    <t>Col. (D):  Calculated as Col. (A) / Col. (B) x Col. (C).</t>
  </si>
  <si>
    <t>Escalation Calc.</t>
  </si>
  <si>
    <t xml:space="preserve">Remove Benefits Expense Account </t>
  </si>
  <si>
    <t xml:space="preserve">Remove Duplicate Charges Account </t>
  </si>
  <si>
    <t>Expense Adjustments:</t>
  </si>
  <si>
    <t>Items to Remove from Escalation Calculation:</t>
  </si>
  <si>
    <t>Reduction to Expense to Remove Escalation</t>
  </si>
  <si>
    <t>SCHEDULE 300 FEE CHANGE REVENUES</t>
  </si>
  <si>
    <t>Misc. Electric Revenue</t>
  </si>
  <si>
    <t>Charge</t>
  </si>
  <si>
    <t>Times Charged</t>
  </si>
  <si>
    <t>in Base Year</t>
  </si>
  <si>
    <t>Current</t>
  </si>
  <si>
    <t>Proposed</t>
  </si>
  <si>
    <t>Requested</t>
  </si>
  <si>
    <t>Change</t>
  </si>
  <si>
    <t>Revenue</t>
  </si>
  <si>
    <t>Impact</t>
  </si>
  <si>
    <t>Returned Payment Charge</t>
  </si>
  <si>
    <t xml:space="preserve">Pole Cut Disconnect/Reconnect </t>
  </si>
  <si>
    <t xml:space="preserve">    Charge - Normal Business Hours</t>
  </si>
  <si>
    <t>Temp Service Charge - Single Phase</t>
  </si>
  <si>
    <t>Temp Service Charge - Three Phase</t>
  </si>
  <si>
    <t>Impact on Revenues from Proposed Fee Changes</t>
  </si>
  <si>
    <t>Source:</t>
  </si>
  <si>
    <t>Exhibit RMP__(MSN-1), page 1 of 4</t>
  </si>
  <si>
    <t>REC REVENUES CORRECTION FOR KENNECOTT</t>
  </si>
  <si>
    <t>Increase for full Kennecott REC Revenues</t>
  </si>
  <si>
    <t xml:space="preserve">Total </t>
  </si>
  <si>
    <t>Less:  Adjustment for 2019 Kennecott Contract Revenue in Filing</t>
  </si>
  <si>
    <t xml:space="preserve">Adjustment to Reflect Full Kennecot Annual REC Revenues </t>
  </si>
  <si>
    <t>Annual Kennecott REC Revenues per Contract</t>
  </si>
  <si>
    <t>Less:  2019 Recorded Kennecott REC Revenues - Utah Allocated Amount</t>
  </si>
  <si>
    <t>(a)</t>
  </si>
  <si>
    <t>(a)  Amount shown in the Direct Testimony of Steven R. McDougal at page 19, table 2.</t>
  </si>
  <si>
    <t>CORRECTION TO NTUA REVENUES</t>
  </si>
  <si>
    <t>Correction to Test Year NTUA Revenues</t>
  </si>
  <si>
    <t>Remove UMWA Transfer from Labor Costs</t>
  </si>
  <si>
    <t>Net Cost of M&amp;S Inventory Sales in Test Year</t>
  </si>
  <si>
    <t>Increase in Revenues to Remove Loss</t>
  </si>
  <si>
    <t>RELIABILITY COORDINATOR FEES</t>
  </si>
  <si>
    <t>Base Year PEAK Reliability RC Fees</t>
  </si>
  <si>
    <t>Escalation Percentage, as Revised</t>
  </si>
  <si>
    <t>Reliability Coordinate Fees in Test Year</t>
  </si>
  <si>
    <t>Based on Updated Escalation Factor</t>
  </si>
  <si>
    <t>Reduction to Reflect Updated Expense Level</t>
  </si>
  <si>
    <t>Reduction to Reliability Coordinator Fees</t>
  </si>
  <si>
    <t>CAISO RC Fees</t>
  </si>
  <si>
    <t>Transmission PD</t>
  </si>
  <si>
    <t>Remove Transmission Power Delivery Customer</t>
  </si>
  <si>
    <t xml:space="preserve">    Bad Debt Expense</t>
  </si>
  <si>
    <t>Base Year Bad Debt Expense - Transmission Power Delivery</t>
  </si>
  <si>
    <t>Amount in Adjusted Test Year (with Updated Esc. Factor)</t>
  </si>
  <si>
    <t>Adjustment to Remove Expense from Test Year</t>
  </si>
  <si>
    <t>REMOVE TRANSMISSION POWER DELIVERY BAD DEBT EXP.</t>
  </si>
  <si>
    <t>Base year expenses that were escalated include $981,923 for the bad debt expense associated with transmission power delivery customers.  These costs are associated with interconnection studies in which costs exceed the customer's deposit and/or customer collections that were written off.  The bad debt expense associated with transmission power delivery customers was $2,791 in 2017 and $298 in 2018.  The base year level appears to be abnormal and such costs should not be incorporated in base rates.  (OCS 4.11)</t>
  </si>
  <si>
    <t>REMOVE ESCALATION OF CERTAIN BASE YEAR EXPENSES</t>
  </si>
  <si>
    <t>Remove Pension/</t>
  </si>
  <si>
    <t>PBOP Net Asset</t>
  </si>
  <si>
    <t>RMP's proposal to include the net prepaid asset associated with its pension and other post-retirement welfare plan, net of the associated accumulated deferred income taxes, should be rejected.  The above adjustment removes the proposed regulatory assets, net of ADIT, from rate base.</t>
  </si>
  <si>
    <t>CORRECTION TO COLSTRIP DECOMMISSIONING EXPENSE</t>
  </si>
  <si>
    <t xml:space="preserve">REMOVE UTAH AMI PROJECT </t>
  </si>
  <si>
    <t>Remove Plant in Service</t>
  </si>
  <si>
    <t>Remove Accumulated Depreciation</t>
  </si>
  <si>
    <t>Remove Accumulated Deferred Income Taxes</t>
  </si>
  <si>
    <t xml:space="preserve">  Reduction to Rate Base</t>
  </si>
  <si>
    <t>REDUCTION TO DEER CREEK MINE CLOSURE REGULATORY ASSET</t>
  </si>
  <si>
    <t>Remove Carrying Charges on Unpaid Royalties</t>
  </si>
  <si>
    <t>Remove Utah Share of Estimated Recovery Royalties</t>
  </si>
  <si>
    <t>Reduction to Regulatory Asset</t>
  </si>
  <si>
    <t>Increase in EDIT Regulatory Liability Balance (Lower Buy-Down Amount)</t>
  </si>
  <si>
    <t>Correct Allocation Factor for M&amp;S Inventory Sales:</t>
  </si>
  <si>
    <t>Remove Base Year Allocation of M&amp;S Inventory Sales</t>
  </si>
  <si>
    <t xml:space="preserve">Reflect Corrected Allocation Factor </t>
  </si>
  <si>
    <t>Adjustment to Reflect Correct Allocation</t>
  </si>
  <si>
    <t>M&amp;S Inventory Sales allocated UT Situs in base year</t>
  </si>
  <si>
    <t>Additional M&amp;S Inventory Sales to allocate UT Situs</t>
  </si>
  <si>
    <t>Amt. originally allocated SO and corrected above.</t>
  </si>
  <si>
    <t>M&amp;S Inventory Sales Revenue, as corrected</t>
  </si>
  <si>
    <t>M&amp;S Inventory - Cost of Sales in Base Year</t>
  </si>
  <si>
    <t xml:space="preserve">Additional Adjustment to Remove Loss on Sales </t>
  </si>
  <si>
    <t xml:space="preserve">   Total Adjustment to Electric Operating Revenues</t>
  </si>
  <si>
    <t>Correct NP PP&amp;E</t>
  </si>
  <si>
    <t>EDIT Reg. Liab.</t>
  </si>
  <si>
    <t>Details of Adjustment:</t>
  </si>
  <si>
    <t>Reg Liab - Non-Protected PP&amp;E EDIT - UT Removed by RMP</t>
  </si>
  <si>
    <t>Actual Base Year Reg Liab - Non-Protected PP&amp;E EDIT - UT</t>
  </si>
  <si>
    <t>Correction to Remove Full Balance of Reg Liability -</t>
  </si>
  <si>
    <t xml:space="preserve">    Non-Protected PP&amp;E EDIT - UT</t>
  </si>
  <si>
    <t>BUY-DOWN ACQUSITION ADJUSTMENT WITH EDIT REG LIAB.</t>
  </si>
  <si>
    <t xml:space="preserve">  -  Craig/Hayden Electric Plant Acquisition Adjustment in Test Year</t>
  </si>
  <si>
    <t>Gross Acquisition</t>
  </si>
  <si>
    <t>Amortization</t>
  </si>
  <si>
    <t>Accumulated</t>
  </si>
  <si>
    <t>13-Month Avg Bal</t>
  </si>
  <si>
    <t>Gross Acq</t>
  </si>
  <si>
    <t>Accum Acq</t>
  </si>
  <si>
    <t>Test Year Amortization Exp.</t>
  </si>
  <si>
    <t>Response to OCS Data Request 13.1</t>
  </si>
  <si>
    <t>Remove Craig/Hayden Electric Plant Acquisition Adj</t>
  </si>
  <si>
    <t xml:space="preserve">Remove Accumulated Amortization of Above </t>
  </si>
  <si>
    <t xml:space="preserve">  Net Adjustment to Rate Base</t>
  </si>
  <si>
    <t>Remove Craig/Hayden Acq. Adj. Amortization Exp.</t>
  </si>
  <si>
    <t>Additional Information:</t>
  </si>
  <si>
    <t>Associated Accumulated Amortization at 12/31/20</t>
  </si>
  <si>
    <t>Craig/Hayden Electric Plant Acquisition Adj. at 12/31/20</t>
  </si>
  <si>
    <t>Remaining Net Asset at 12/31/20</t>
  </si>
  <si>
    <t>Allocation Factor</t>
  </si>
  <si>
    <t>Net Remaining Utah Allocated Balance</t>
  </si>
  <si>
    <t>Acquisition Adj.</t>
  </si>
  <si>
    <t>Buy-Down</t>
  </si>
  <si>
    <t>Source</t>
  </si>
  <si>
    <t>Exh RMP__(SRM-6)</t>
  </si>
  <si>
    <t xml:space="preserve">  EIM Benefit Regulatory Asset, per RMP</t>
  </si>
  <si>
    <t xml:space="preserve">  Carbon Regulatory Asset, per RMP</t>
  </si>
  <si>
    <t xml:space="preserve">  Deer Creek Regulatory Asset, per RMP</t>
  </si>
  <si>
    <t xml:space="preserve">  -  Remove Carrying Charges on Unpaid Royalties</t>
  </si>
  <si>
    <t>Recommended</t>
  </si>
  <si>
    <t>Reg Asset/</t>
  </si>
  <si>
    <t>at 12/31/2020</t>
  </si>
  <si>
    <t>Asset Balance</t>
  </si>
  <si>
    <t xml:space="preserve">  -  Remove Utah Share of Estimated Recovery Royalties</t>
  </si>
  <si>
    <t xml:space="preserve">    Deer Creek Regulatory Asset, per OCS</t>
  </si>
  <si>
    <t xml:space="preserve">  Unamortized Balance of Craig/Hayden Electric Plant</t>
  </si>
  <si>
    <t xml:space="preserve">    Acquisition Adjustment - Utah portion</t>
  </si>
  <si>
    <t xml:space="preserve">  2017 Protocol Regulatory Asset, per RMP (a)</t>
  </si>
  <si>
    <t>Recommended Remaining Non-Protected EDIT Regulatory</t>
  </si>
  <si>
    <t>Recommended Initial Amortization Period, per OCS</t>
  </si>
  <si>
    <t>Average Test Year Unamortized Balance</t>
  </si>
  <si>
    <t>Line A.1 - (Line A.3 * 50%)</t>
  </si>
  <si>
    <t>Adjustment to Amortization Expense:</t>
  </si>
  <si>
    <t>PROTECTED PP&amp;E EDIT AMORTIZATION REGULATORY LIABILITY</t>
  </si>
  <si>
    <t>-  OCS Proposed Use of Protected PP&amp;E EDIT Amortization Regulatory Liability</t>
  </si>
  <si>
    <t xml:space="preserve">  Liability as of December 31, 2020 Available for Amortization, per OCS</t>
  </si>
  <si>
    <t>Protected PP&amp;E EDIT Amortization Regulatory Liability</t>
  </si>
  <si>
    <t xml:space="preserve">  at 12/31/20, per RMP</t>
  </si>
  <si>
    <t>Proposed Use of Above Regulatory Liability, per OCS:</t>
  </si>
  <si>
    <t>Recommended Remaining Protected PP&amp;E EDIT Amortization</t>
  </si>
  <si>
    <t xml:space="preserve">  Regulatory Liability as of December 31, 2020, per OCS</t>
  </si>
  <si>
    <t>Annual Amortization of Protected PP&amp;E EDIT Amort. Reg. Liability</t>
  </si>
  <si>
    <t xml:space="preserve">EDIT Amort. </t>
  </si>
  <si>
    <t>Reg. Liability</t>
  </si>
  <si>
    <t>This exhibit excludes adjustments that contain information deemed confidential by RMP.</t>
  </si>
  <si>
    <t>OCS 3.3D</t>
  </si>
  <si>
    <t>OCS 3.4D</t>
  </si>
  <si>
    <t>OCS 3.5D</t>
  </si>
  <si>
    <t>OCS 3.6D</t>
  </si>
  <si>
    <t>OCS 3.7D</t>
  </si>
  <si>
    <t>OCS 3.8D</t>
  </si>
  <si>
    <t>Benefits</t>
  </si>
  <si>
    <t>OCS 3.9D</t>
  </si>
  <si>
    <t>OCS 3.10D</t>
  </si>
  <si>
    <t>OCS 3.11D</t>
  </si>
  <si>
    <t>OCS 3.12D</t>
  </si>
  <si>
    <t>OCS 3.13D</t>
  </si>
  <si>
    <t>OCS 3.14D</t>
  </si>
  <si>
    <t>OCS 3.15D</t>
  </si>
  <si>
    <t>OCS 3.16D</t>
  </si>
  <si>
    <t>OCS 3.18D</t>
  </si>
  <si>
    <t>OCS 3.19D</t>
  </si>
  <si>
    <t>OCS 3.20D</t>
  </si>
  <si>
    <t>Exhibit OCS 3.3D</t>
  </si>
  <si>
    <t>See Exhibit OCS 3.3.1 for calculation of above adjustment.</t>
  </si>
  <si>
    <t>Exhibit OCS 3.4D</t>
  </si>
  <si>
    <t>RMP proposes revisions to several charges in Schedule 300.  This includes revisions to the returned payment charge, pole-cut disconnect/reconnect charges during normal business hours and the temporary service charges for Single Phase and Three Phase.  The adjustment reflects the impact on Miscellaneous Electric revenues that result from the proposed revisions to the charges.</t>
  </si>
  <si>
    <t>Exhibit OCS 3.5D</t>
  </si>
  <si>
    <t>Exhibit OCS 3.6D</t>
  </si>
  <si>
    <t>Sales Revenue</t>
  </si>
  <si>
    <t>M&amp;S Inventory</t>
  </si>
  <si>
    <t>M&amp;S INVENTORY SALES REVENUE</t>
  </si>
  <si>
    <t>Exhibit OCS 3.7D</t>
  </si>
  <si>
    <t>Page 3.7.1 - 3.7.4</t>
  </si>
  <si>
    <t>Exhibit OCS 3.8D</t>
  </si>
  <si>
    <t>Page 3.8.1 - 3.8.4</t>
  </si>
  <si>
    <t>Exhibit OCS 3.10D</t>
  </si>
  <si>
    <t>Exhibit OCS 3.11D</t>
  </si>
  <si>
    <t>Page 3.11.1</t>
  </si>
  <si>
    <t xml:space="preserve">  -  Calculation of Adjustment to Remove Escalation Impact</t>
  </si>
  <si>
    <t>Exhibit OCS 3.12D</t>
  </si>
  <si>
    <t>Subtotal Page 3.12</t>
  </si>
  <si>
    <t>Subtotal Page 3.12.1</t>
  </si>
  <si>
    <t>Subtotal Page 3.12.2</t>
  </si>
  <si>
    <t>Subtotal Page 3.12.3</t>
  </si>
  <si>
    <t>Exhibit OCS 3.14D</t>
  </si>
  <si>
    <t>Exhibit OCS 3.15D</t>
  </si>
  <si>
    <t>Exhibit OCS 3.16D</t>
  </si>
  <si>
    <t>REMOVE PENSION AND PBOP NET ASSET FROM RATE BASE</t>
  </si>
  <si>
    <t>Exhibit OCS 3.17D</t>
  </si>
  <si>
    <t>Amortization Regulatory Liability addressed in Exhibit OCS 3.20D.</t>
  </si>
  <si>
    <t>Note:</t>
  </si>
  <si>
    <t>Exh RMP__(SRM-3), page 182</t>
  </si>
  <si>
    <t xml:space="preserve">OCS DR 10.2 </t>
  </si>
  <si>
    <t>Exhibit OCS 3.19D</t>
  </si>
  <si>
    <t>BUY-DOWN ACQUISITION ADJUSTMENT WITH EDIT REG LIAB.</t>
  </si>
  <si>
    <t>Exhibit OCS 3.20D</t>
  </si>
  <si>
    <t xml:space="preserve">     adjustment found on Exhibit RMP__(SRM-3) at page 4.10 through 4.10.4.  Situs adjustments specific to non-Utah states were not input into</t>
  </si>
  <si>
    <t xml:space="preserve">     the OCS JAM model for this adjustment.</t>
  </si>
  <si>
    <t>Amount of EDIT Reg. Liab. To Use to Buy-Down Balance</t>
  </si>
  <si>
    <t>See Exh. OCS 3.20.1D</t>
  </si>
  <si>
    <t>Page 3.12.1</t>
  </si>
  <si>
    <t>Page 3.12.2</t>
  </si>
  <si>
    <t>Page 3.12.3</t>
  </si>
  <si>
    <t>Page 3.20.1</t>
  </si>
  <si>
    <t>Page 3.19.1</t>
  </si>
  <si>
    <t>Page 3.3.1</t>
  </si>
  <si>
    <t>Derived from informaiton contained in Exhibit RMP__(SRM-3), page 89 of 467 (Page 4.6.1).</t>
  </si>
  <si>
    <t>Source/Notes:</t>
  </si>
  <si>
    <t>NON-PROTECTED PP&amp;E EDIT REGULATORY  LIABILITY CORRECTION</t>
  </si>
  <si>
    <t>Exhibit OCS 3.1D</t>
  </si>
  <si>
    <t>REVENUE REQUIREMENT - 2020 PROTOCOL</t>
  </si>
  <si>
    <t>Page 1 of 3</t>
  </si>
  <si>
    <t>Page 2 of 3</t>
  </si>
  <si>
    <t>Page 3 of 3</t>
  </si>
  <si>
    <t>(1)</t>
  </si>
  <si>
    <t>Test Period 2020 Protocol Revenue Requirement</t>
  </si>
  <si>
    <t>(2)</t>
  </si>
  <si>
    <t>Normalized General Business Revenues</t>
  </si>
  <si>
    <t>(3)</t>
  </si>
  <si>
    <t>2020 Protocol Price Change</t>
  </si>
  <si>
    <t>Total Adjusted</t>
  </si>
  <si>
    <t xml:space="preserve">Results with </t>
  </si>
  <si>
    <t>Results</t>
  </si>
  <si>
    <t>Price Change</t>
  </si>
  <si>
    <t xml:space="preserve">   Operating Revenues:</t>
  </si>
  <si>
    <t>General Business Revenues</t>
  </si>
  <si>
    <t>Interdepartmental</t>
  </si>
  <si>
    <t>Special Sales</t>
  </si>
  <si>
    <t>Other Operating Revenues</t>
  </si>
  <si>
    <t xml:space="preserve">   Total Operating Revenues</t>
  </si>
  <si>
    <t xml:space="preserve">   Operating Expenses:</t>
  </si>
  <si>
    <t>Steam Production</t>
  </si>
  <si>
    <t>Nuclear Production</t>
  </si>
  <si>
    <t>Hydro Production</t>
  </si>
  <si>
    <t>Other Power Supply</t>
  </si>
  <si>
    <t>Transmission</t>
  </si>
  <si>
    <t>Distribution</t>
  </si>
  <si>
    <t>Customer Accounting</t>
  </si>
  <si>
    <t>Customer Service &amp; Info</t>
  </si>
  <si>
    <t>Sales</t>
  </si>
  <si>
    <t>Administrative &amp; General</t>
  </si>
  <si>
    <t xml:space="preserve">   Total O&amp;M Expenses</t>
  </si>
  <si>
    <t>Depreciation</t>
  </si>
  <si>
    <t xml:space="preserve">Amortization </t>
  </si>
  <si>
    <t>Taxes Other Than Income</t>
  </si>
  <si>
    <t>Income Taxes - Federal</t>
  </si>
  <si>
    <t>Income Taxes - State</t>
  </si>
  <si>
    <t>Income Taxes - Def Net</t>
  </si>
  <si>
    <t>Investment Tax Credit Adj.</t>
  </si>
  <si>
    <t>Misc Revenue &amp; Expense</t>
  </si>
  <si>
    <t xml:space="preserve">   Total Operating Expenses:</t>
  </si>
  <si>
    <t xml:space="preserve">   Operating Rev For Return:</t>
  </si>
  <si>
    <t xml:space="preserve">   Rate Base:</t>
  </si>
  <si>
    <t>Electric Plant In Service</t>
  </si>
  <si>
    <t>Plant Held for Future Use</t>
  </si>
  <si>
    <t>Misc Deferred Debits</t>
  </si>
  <si>
    <t>Elec Plant Acq Adj</t>
  </si>
  <si>
    <t>Nuclear Fuel</t>
  </si>
  <si>
    <t>Prepayments</t>
  </si>
  <si>
    <t>Fuel Stock</t>
  </si>
  <si>
    <t>Material &amp; Supplies</t>
  </si>
  <si>
    <t>Working Capital</t>
  </si>
  <si>
    <t>Weatherization Loans</t>
  </si>
  <si>
    <t xml:space="preserve">Misc Rate Base </t>
  </si>
  <si>
    <t xml:space="preserve">   Total Electric Plant:</t>
  </si>
  <si>
    <t>Rate Base Deductions:</t>
  </si>
  <si>
    <t>Accum Prov For Deprec</t>
  </si>
  <si>
    <t>Accum Prov For Amort</t>
  </si>
  <si>
    <t>Accum Def Income Tax</t>
  </si>
  <si>
    <t>Unamortized ITC</t>
  </si>
  <si>
    <t>Customer Adv For Const</t>
  </si>
  <si>
    <t>Customer Service Deposits</t>
  </si>
  <si>
    <t>Misc Rate Base Deductions</t>
  </si>
  <si>
    <t xml:space="preserve">     Total Rate Base Deductions</t>
  </si>
  <si>
    <t xml:space="preserve">   Total Rate Base:</t>
  </si>
  <si>
    <t>Return on Rate Base</t>
  </si>
  <si>
    <t>Return on Equity</t>
  </si>
  <si>
    <t>State Income Taxes</t>
  </si>
  <si>
    <t>Taxable Income</t>
  </si>
  <si>
    <t xml:space="preserve">Net Rate Base </t>
  </si>
  <si>
    <t>Less Current Operating Revenues</t>
  </si>
  <si>
    <t>Increase to Current Revenues</t>
  </si>
  <si>
    <t>Net to Gross Bump-up</t>
  </si>
  <si>
    <t>Uncollectible Percent</t>
  </si>
  <si>
    <t>Increased Uncollectible Expense</t>
  </si>
  <si>
    <t>Franchise Tax</t>
  </si>
  <si>
    <t>Revenue Tax</t>
  </si>
  <si>
    <t>Resource Supplier Tax</t>
  </si>
  <si>
    <t>PUC Fees Based on General Business Revenues</t>
  </si>
  <si>
    <t>Increase Taxes Other Than Income</t>
  </si>
  <si>
    <t>Uncollectible Expense</t>
  </si>
  <si>
    <t>Income Before Taxes</t>
  </si>
  <si>
    <t>State Effective Tax Rate</t>
  </si>
  <si>
    <t>Federal Income Tax Rate</t>
  </si>
  <si>
    <t>Federal Income Taxes</t>
  </si>
  <si>
    <t>Operating Income</t>
  </si>
  <si>
    <t>Net  Operating Income</t>
  </si>
  <si>
    <t>Net to Gross Bump-Up</t>
  </si>
  <si>
    <t>Exhibit OCS 3.21D</t>
  </si>
  <si>
    <t>OPC Recommended Return on Rate Base</t>
  </si>
  <si>
    <t>Revenues Required to Earn Recommended Return</t>
  </si>
  <si>
    <t>Price Change Required for Recommended Return</t>
  </si>
  <si>
    <t>Recommended Price Change</t>
  </si>
  <si>
    <t xml:space="preserve">  -  OCS Alternate Recommendation</t>
  </si>
  <si>
    <t>In adjusting the REC revenues, RMP failed to include the full annual amount of revenues received under the Kennecott REC conract.  The above adjustment results in the full annualized amount of $600,000 being included in the test year.</t>
  </si>
  <si>
    <t>RMP agreed in response to OCS 5.23 that it should have removed $77,250 of negative Utah situs revenues from the test year.  The adjustment corrects RMP's NTUA Revenue adjustment to reflect the correct test year amount.</t>
  </si>
  <si>
    <t>During the base year, RMP allocated a portion of the M&amp;S Inventory Sales revenues recorded in Account 456 - Other Electric Revenues using the SO allocation factor when it should have been assigned fully to Utah.  The above adjustment first corrects the allocation to ensure the revenues are correctly assigned to Utah.  After the correction, the amount of M&amp;S Inventory - Cost of Sales exceeds the amount of M&amp;S Inventory Sales Revenue.  In response to OCS 14.5, RMP indicated that the amount of sales less the cost of sales should net $0, but that accruals and timing differences may result.  The adjustment also removes the net loss from the test year.</t>
  </si>
  <si>
    <t>Per RMP Expense Factor</t>
  </si>
  <si>
    <t>In determining the amount of Post Retirement Benefit expense to include in the test year, RMP included $2,380,578 associated with the United Mine Workers of America (UMWA) transfer of costs.  RMP stated that it will remove the costs from the wage and employee benefits adjustment in its rebuttal filing.  UAE 5.5(a).</t>
  </si>
  <si>
    <t>RMP's projected test year pension costs include the impacts of a projected $11.9 million settlement loss.  OCS recommends that such settlement losses be amortized as part of pension expense over the remaining life expectancy of plan participants, consistent with other gains and losses recognized in pension expense, starting with the rate effective date of this case.  The above adjustment replaces the full projected settlement loss with the amortization of the amount over 21 years.</t>
  </si>
  <si>
    <t>Col. (C):  Per RMP response to OCS 5.1, Attachment OCS 5.1-2.</t>
  </si>
  <si>
    <t>Col. (G): The Utah Situs %s were calculated based on the per RMP adjustment on a Utah basis divided by the total per RMP</t>
  </si>
  <si>
    <t>The above adjustment updates RMP's Non-Labor O&amp;M Expense Escalation Adjustment to be based on the most recent industry specific escalation indices.  OCS 5.1</t>
  </si>
  <si>
    <t>The above base year expenses should not have been escalated by RMP.  The adjustment removes escalation of the above expenses based on the updated escalation factors.</t>
  </si>
  <si>
    <t>In calculating the annual amortization of the projected Colstrip decommissioning costs, RMP used an incorrect number of years until anticipated retirement.  Correction of the error results in a reduction in the annual decommissioning expense.</t>
  </si>
  <si>
    <t>RMP's pro forma plant additions adjustment (RMP Adjustment 8.5) included $59,155,430 in rate base on an average test year basis for the Utah AMI project.  The anticipated implementation date of the project has been delayed substantially such that substantially less is now projected to be in service during the test year.  Additionally, the cost savings from the project will not be realized until after the project is fully implemented well after the end of the test year.  The above adjustment removes the project from the test year. (OCS 11.4 and OCS 11.4 1st Supplement)</t>
  </si>
  <si>
    <t>Since the Deer Creek Mine Closure regulatory asset is excluded from rate base in RMP's filing due to the use of</t>
  </si>
  <si>
    <t>Protected PP&amp;E EDIT Amortization Regulatory Liability funds to buy-down the asset, the above adjustment is</t>
  </si>
  <si>
    <t>not entered into the JAM model.  The above adjustment impacts the adjustment to the Protected PP&amp;E EDIT</t>
  </si>
  <si>
    <t>In determining the Deer Creek Closure Costs Regulatory Asset, RMP applied carrying charges on the estimated recovery royalties that were booked as part of the regulatory asset account.  Since these amounts have not yet been paid, carrying charges should not have been applied.  Additionally, the amount of recovery royalties included in the regulatory asset are not yet know.  This adjustment removes the carrying charges associated with the estimated and unpaid recovery royalties and also removes the estimated recovery royalties.  Since the balances are offset by the EDIT regulatory liability balance, the above adjustment increases the remaining EDIT regulatory liability funds still owed to customers.</t>
  </si>
  <si>
    <t>The Non-Protected PP&amp;E EDIT Regulatory Liability balance was used by RMP to offset the net book value of the Dave Johnston plant.  As a result, RMP removed the average base year balance of the Non-Protected PP&amp;E EDIT Reg. Liability.  There was a mathmatical error in the Comapny's calcualtion of the 13-month average balance included in the base year.  The above adjustment results in the correct amount being removed.  (OCS 10.2).</t>
  </si>
  <si>
    <t>Correction to RMP Adjustment</t>
  </si>
  <si>
    <t>The Electric Plant Acquisition Adjustment associated with Craig/Hayden acquisitions will be fully amortized by April 2022, which is with 4 months after the end of the test year.  OCS recommends that the Protected PP&amp;E EDIT Amortization Regulatory Liability be used to write-down the remaining unamortized balance at the start of the test year.  The associated impact on the Protected PP&amp;E EDIT Amortization Regulatory Liability is reflected on Exhibit OCS 3.20D.</t>
  </si>
  <si>
    <t>RMP proposes to use the Protected PP&amp;E EDIT Amortization Regulatory Liability to offset/buy-down several regulatory assets, with the remaining balance used to offset a portion of the Company proposed rate increase in 2021 and 2022.  RMP did not reflect the average remaining regulatory liability balance as an offset to ratebase.  The above adjustment reflects OCS's position on use of the regulatory liability balance.  This includes the offset/buy-down of the following assets: (1) 2017 Protocol Reg Assset; (2) EIM Benefit Reg Asset; (3) Carbon Reg Asset; (4) Deer Creek Reg Asset (as revised by OCS); and (5) remaining unamortized balance of Craig/Hayden Electric Plant Acquisition Adjustment.  OCS also recommends that the Protected PP&amp;E EDIT Amortization Reg Liability be amortized to customers over an initial ten-year period with the unamortized balance reflected as a reduction to rate base.</t>
  </si>
  <si>
    <t>The above adjustment removes the impact of RMP's escalation of historic costs prior to determining the 4 year average normalized cost level, consistent with prior PSC orders.</t>
  </si>
  <si>
    <t>(a)  Total Regulatory Asset amount $13,200,000 at 12/31/2020.  RMP proposes to offset $1,456,659 of the balance</t>
  </si>
  <si>
    <t xml:space="preserve">      with the remaining Non-EDIT Tax Benefit Regulatory Liability and the remaining $11,743,341, shown above, with</t>
  </si>
  <si>
    <t xml:space="preserve">      the Protected PP&amp;E EDIT Amortization Regulatory Liability balance.</t>
  </si>
  <si>
    <t>OCS 6.3 and Exh. RMP__(SRM-3) at page 309</t>
  </si>
  <si>
    <t>RMP recently changed its Reliability Coordinator from PEAK Reliability to the California Independent System Operator (CAISO), resulting in a substantial reduction in the annual costs.  The adjustment reduces the amount included in the test year to the level consistent with the charges from the new Reliability Coordinator.  UAE 2.44.</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</si>
</sst>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1" formatCode="_(* #,##0_);_(* \(#,##0\);_(* &quot;-&quot;_);_(@_)"/>
    <numFmt numFmtId="44" formatCode="_(&quot;$&quot;* #,##0.00_);_(&quot;$&quot;* \(#,##0.00\);_(&quot;$&quot;* &quot;-&quot;??_);_(@_)"/>
    <numFmt numFmtId="43" formatCode="_(* #,##0.00_);_(* \(#,##0.00\);_(* &quot;-&quot;??_);_(@_)"/>
    <numFmt numFmtId="164" formatCode="0.0000%"/>
    <numFmt numFmtId="165" formatCode="0.000%"/>
    <numFmt numFmtId="166" formatCode="_(* #,##0_);_(* \(#,##0\);_(* &quot;-&quot;??_);_(@_)"/>
    <numFmt numFmtId="167" formatCode="_(&quot;$&quot;* #,##0_);_(&quot;$&quot;* \(#,##0\);_(&quot;$&quot;* &quot;-&quot;??_);_(@_)"/>
  </numFmts>
  <fonts count="16" x14ac:knownFonts="1">
    <font>
      <sz val="12"/>
      <name val="Times New Roman"/>
      <family val="1"/>
    </font>
    <font>
      <sz val="10"/>
      <name val="Arial"/>
      <family val="2"/>
    </font>
    <font>
      <sz val="10"/>
      <name val="Arial"/>
      <family val="2"/>
    </font>
    <font>
      <u/>
      <sz val="12"/>
      <name val="Times New Roman"/>
      <family val="1"/>
    </font>
    <font>
      <sz val="12"/>
      <name val="Times New Roman"/>
      <family val="1"/>
    </font>
    <font>
      <b/>
      <sz val="12"/>
      <name val="Times New Roman"/>
      <family val="1"/>
    </font>
    <font>
      <sz val="12"/>
      <name val="Times New Roman"/>
      <family val="1"/>
    </font>
    <font>
      <sz val="10"/>
      <name val="Times New Roman"/>
      <family val="1"/>
    </font>
    <font>
      <sz val="8"/>
      <name val="Times New Roman"/>
      <family val="1"/>
    </font>
    <font>
      <sz val="10"/>
      <name val="MS Sans Serif"/>
      <family val="2"/>
    </font>
    <font>
      <sz val="10"/>
      <name val="Arial"/>
      <family val="2"/>
    </font>
    <font>
      <sz val="10"/>
      <color indexed="8"/>
      <name val="Arial"/>
      <family val="2"/>
    </font>
    <font>
      <sz val="11"/>
      <color theme="1"/>
      <name val="Calibri"/>
      <family val="2"/>
      <scheme val="minor"/>
    </font>
    <font>
      <sz val="12"/>
      <color theme="1"/>
      <name val="Times New Roman"/>
      <family val="1"/>
    </font>
    <font>
      <b/>
      <u/>
      <sz val="12"/>
      <name val="Times New Roman"/>
      <family val="1"/>
    </font>
    <font>
      <sz val="12"/>
      <color theme="0"/>
      <name val="Times New Roman"/>
      <family val="1"/>
    </font>
  </fonts>
  <fills count="3">
    <fill>
      <patternFill patternType="none"/>
    </fill>
    <fill>
      <patternFill patternType="gray125"/>
    </fill>
    <fill>
      <patternFill patternType="solid">
        <fgColor indexed="9"/>
        <bgColor indexed="64"/>
      </patternFill>
    </fill>
  </fills>
  <borders count="14">
    <border>
      <left/>
      <right/>
      <top/>
      <bottom/>
      <diagonal/>
    </border>
    <border>
      <left style="thin">
        <color indexed="48"/>
      </left>
      <right style="thin">
        <color indexed="48"/>
      </right>
      <top style="thin">
        <color indexed="48"/>
      </top>
      <bottom style="thin">
        <color indexed="48"/>
      </bottom>
      <diagonal/>
    </border>
    <border>
      <left/>
      <right/>
      <top/>
      <bottom style="thin">
        <color indexed="64"/>
      </bottom>
      <diagonal/>
    </border>
    <border>
      <left/>
      <right/>
      <top/>
      <bottom style="double">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s>
  <cellStyleXfs count="27">
    <xf numFmtId="0" fontId="0" fillId="0" borderId="0"/>
    <xf numFmtId="41" fontId="1" fillId="0" borderId="0" applyFont="0" applyFill="0" applyBorder="0" applyAlignment="0" applyProtection="0"/>
    <xf numFmtId="43" fontId="9" fillId="0" borderId="0" applyFont="0" applyFill="0" applyBorder="0" applyAlignment="0" applyProtection="0"/>
    <xf numFmtId="0" fontId="9" fillId="0" borderId="0"/>
    <xf numFmtId="41" fontId="4" fillId="0" borderId="0"/>
    <xf numFmtId="41" fontId="4" fillId="0" borderId="0"/>
    <xf numFmtId="9" fontId="2" fillId="0" borderId="0" applyFont="0" applyFill="0" applyBorder="0" applyAlignment="0" applyProtection="0"/>
    <xf numFmtId="9" fontId="9" fillId="0" borderId="0" applyFont="0" applyFill="0" applyBorder="0" applyAlignment="0" applyProtection="0"/>
    <xf numFmtId="4" fontId="11" fillId="2" borderId="1" applyNumberFormat="0" applyProtection="0">
      <alignment horizontal="left" vertical="center" indent="1"/>
    </xf>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9" fontId="10" fillId="0" borderId="0" applyFont="0" applyFill="0" applyBorder="0" applyAlignment="0" applyProtection="0"/>
    <xf numFmtId="44" fontId="10" fillId="0" borderId="0" applyFont="0" applyFill="0" applyBorder="0" applyAlignment="0" applyProtection="0"/>
    <xf numFmtId="9" fontId="10" fillId="0" borderId="0" applyFont="0" applyFill="0" applyBorder="0" applyAlignment="0" applyProtection="0"/>
    <xf numFmtId="43" fontId="9" fillId="0" borderId="0" applyFont="0" applyFill="0" applyBorder="0" applyAlignment="0" applyProtection="0"/>
    <xf numFmtId="9" fontId="9" fillId="0" borderId="0" applyFont="0" applyFill="0" applyBorder="0" applyAlignment="0" applyProtection="0"/>
    <xf numFmtId="0" fontId="12" fillId="0" borderId="0"/>
    <xf numFmtId="0" fontId="9" fillId="0" borderId="0"/>
    <xf numFmtId="43" fontId="9" fillId="0" borderId="0" applyFont="0" applyFill="0" applyBorder="0" applyAlignment="0" applyProtection="0"/>
    <xf numFmtId="9" fontId="9" fillId="0" borderId="0" applyFont="0" applyFill="0" applyBorder="0" applyAlignment="0" applyProtection="0"/>
    <xf numFmtId="0" fontId="4" fillId="0" borderId="0"/>
    <xf numFmtId="0" fontId="4" fillId="0" borderId="0"/>
    <xf numFmtId="43" fontId="9" fillId="0" borderId="0" applyFont="0" applyFill="0" applyBorder="0" applyAlignment="0" applyProtection="0"/>
    <xf numFmtId="9" fontId="9" fillId="0" borderId="0" applyFont="0" applyFill="0" applyBorder="0" applyAlignment="0" applyProtection="0"/>
    <xf numFmtId="44" fontId="4" fillId="0" borderId="0" applyFont="0" applyFill="0" applyBorder="0" applyAlignment="0" applyProtection="0"/>
  </cellStyleXfs>
  <cellXfs count="171">
    <xf numFmtId="0" fontId="0" fillId="0" borderId="0" xfId="0"/>
    <xf numFmtId="0" fontId="0" fillId="0" borderId="0" xfId="0" applyAlignment="1">
      <alignment horizontal="center"/>
    </xf>
    <xf numFmtId="0" fontId="0" fillId="0" borderId="2" xfId="0" applyBorder="1"/>
    <xf numFmtId="0" fontId="3" fillId="0" borderId="0" xfId="0" applyFont="1"/>
    <xf numFmtId="0" fontId="0" fillId="0" borderId="0" xfId="0" applyBorder="1"/>
    <xf numFmtId="0" fontId="0" fillId="0" borderId="0" xfId="0" applyAlignment="1">
      <alignment horizontal="left"/>
    </xf>
    <xf numFmtId="41" fontId="0" fillId="0" borderId="0" xfId="0" applyNumberFormat="1"/>
    <xf numFmtId="0" fontId="4" fillId="0" borderId="0" xfId="0" applyFont="1"/>
    <xf numFmtId="0" fontId="0" fillId="0" borderId="0" xfId="0" applyBorder="1" applyAlignment="1">
      <alignment horizontal="center"/>
    </xf>
    <xf numFmtId="0" fontId="4" fillId="0" borderId="0" xfId="0" applyFont="1" applyAlignment="1">
      <alignment horizontal="left"/>
    </xf>
    <xf numFmtId="0" fontId="0" fillId="0" borderId="2" xfId="0" applyBorder="1" applyAlignment="1">
      <alignment horizontal="center"/>
    </xf>
    <xf numFmtId="0" fontId="0" fillId="0" borderId="2" xfId="0" quotePrefix="1" applyBorder="1" applyAlignment="1">
      <alignment horizontal="center"/>
    </xf>
    <xf numFmtId="41" fontId="0" fillId="0" borderId="0" xfId="0" applyNumberFormat="1" applyBorder="1"/>
    <xf numFmtId="0" fontId="0" fillId="0" borderId="0" xfId="0" quotePrefix="1"/>
    <xf numFmtId="41" fontId="0" fillId="0" borderId="3" xfId="0" applyNumberFormat="1" applyBorder="1"/>
    <xf numFmtId="0" fontId="3" fillId="0" borderId="0" xfId="0" applyFont="1" applyBorder="1" applyAlignment="1">
      <alignment horizontal="center"/>
    </xf>
    <xf numFmtId="0" fontId="4" fillId="0" borderId="0" xfId="0" applyFont="1" applyAlignment="1">
      <alignment horizontal="center"/>
    </xf>
    <xf numFmtId="0" fontId="4" fillId="0" borderId="0" xfId="0" quotePrefix="1" applyFont="1"/>
    <xf numFmtId="41" fontId="4" fillId="0" borderId="0" xfId="5"/>
    <xf numFmtId="0" fontId="5" fillId="0" borderId="0" xfId="0" applyFont="1"/>
    <xf numFmtId="0" fontId="0" fillId="0" borderId="0" xfId="0" applyFill="1" applyBorder="1"/>
    <xf numFmtId="0" fontId="0" fillId="0" borderId="0" xfId="0" quotePrefix="1" applyBorder="1" applyAlignment="1">
      <alignment horizontal="center"/>
    </xf>
    <xf numFmtId="41" fontId="0" fillId="0" borderId="0" xfId="1" applyNumberFormat="1" applyFont="1" applyBorder="1"/>
    <xf numFmtId="10" fontId="0" fillId="0" borderId="0" xfId="6" applyNumberFormat="1" applyFont="1" applyBorder="1"/>
    <xf numFmtId="0" fontId="6" fillId="0" borderId="0" xfId="0" applyFont="1"/>
    <xf numFmtId="41" fontId="4" fillId="0" borderId="0" xfId="4"/>
    <xf numFmtId="10" fontId="4" fillId="0" borderId="0" xfId="4" applyNumberFormat="1"/>
    <xf numFmtId="41" fontId="4" fillId="0" borderId="0" xfId="4" applyFont="1"/>
    <xf numFmtId="41" fontId="4" fillId="0" borderId="0" xfId="4" applyFont="1" applyAlignment="1">
      <alignment horizontal="center"/>
    </xf>
    <xf numFmtId="41" fontId="7" fillId="0" borderId="0" xfId="4" applyFont="1" applyAlignment="1">
      <alignment horizontal="center"/>
    </xf>
    <xf numFmtId="41" fontId="4" fillId="0" borderId="0" xfId="4" applyAlignment="1">
      <alignment horizontal="center"/>
    </xf>
    <xf numFmtId="0" fontId="7" fillId="0" borderId="0" xfId="0" applyFont="1" applyAlignment="1">
      <alignment horizontal="center"/>
    </xf>
    <xf numFmtId="41" fontId="4" fillId="0" borderId="0" xfId="4" applyBorder="1"/>
    <xf numFmtId="41" fontId="4" fillId="0" borderId="0" xfId="4" applyFont="1" applyAlignment="1">
      <alignment horizontal="right"/>
    </xf>
    <xf numFmtId="41" fontId="4" fillId="0" borderId="2" xfId="4" applyBorder="1"/>
    <xf numFmtId="41" fontId="4" fillId="0" borderId="3" xfId="4" applyBorder="1"/>
    <xf numFmtId="0" fontId="3" fillId="0" borderId="0" xfId="0" applyFont="1" applyAlignment="1">
      <alignment horizontal="center"/>
    </xf>
    <xf numFmtId="0" fontId="4" fillId="0" borderId="0" xfId="0" applyFont="1" applyBorder="1" applyAlignment="1">
      <alignment horizontal="center"/>
    </xf>
    <xf numFmtId="0" fontId="4" fillId="0" borderId="0" xfId="0" applyFont="1" applyBorder="1"/>
    <xf numFmtId="0" fontId="3" fillId="0" borderId="0" xfId="0" applyFont="1" applyBorder="1"/>
    <xf numFmtId="41" fontId="0" fillId="0" borderId="0" xfId="1" applyNumberFormat="1" applyFont="1"/>
    <xf numFmtId="41" fontId="0" fillId="0" borderId="2" xfId="0" applyNumberFormat="1" applyBorder="1"/>
    <xf numFmtId="0" fontId="6" fillId="0" borderId="0" xfId="0" applyFont="1" applyBorder="1"/>
    <xf numFmtId="0" fontId="6" fillId="0" borderId="0" xfId="0" applyFont="1" applyBorder="1" applyAlignment="1">
      <alignment horizontal="center"/>
    </xf>
    <xf numFmtId="0" fontId="6" fillId="0" borderId="0" xfId="0" applyFont="1" applyAlignment="1">
      <alignment horizontal="center"/>
    </xf>
    <xf numFmtId="41" fontId="6" fillId="0" borderId="0" xfId="0" applyNumberFormat="1" applyFont="1" applyBorder="1"/>
    <xf numFmtId="41" fontId="6" fillId="0" borderId="0" xfId="0" applyNumberFormat="1" applyFont="1"/>
    <xf numFmtId="41" fontId="0" fillId="0" borderId="0" xfId="1" applyFont="1"/>
    <xf numFmtId="41" fontId="0" fillId="0" borderId="2" xfId="1" applyFont="1" applyBorder="1"/>
    <xf numFmtId="41" fontId="0" fillId="0" borderId="3" xfId="1" applyFont="1" applyBorder="1"/>
    <xf numFmtId="0" fontId="0" fillId="0" borderId="0" xfId="0" quotePrefix="1" applyBorder="1"/>
    <xf numFmtId="41" fontId="0" fillId="0" borderId="0" xfId="1" applyFont="1" applyBorder="1"/>
    <xf numFmtId="165" fontId="6" fillId="0" borderId="0" xfId="6" applyNumberFormat="1" applyFont="1" applyBorder="1" applyAlignment="1">
      <alignment horizontal="center"/>
    </xf>
    <xf numFmtId="41" fontId="6" fillId="0" borderId="2" xfId="0" applyNumberFormat="1" applyFont="1" applyBorder="1"/>
    <xf numFmtId="41" fontId="5" fillId="0" borderId="0" xfId="4" applyFont="1"/>
    <xf numFmtId="41" fontId="4" fillId="0" borderId="0" xfId="4" applyFont="1" applyBorder="1"/>
    <xf numFmtId="41" fontId="0" fillId="0" borderId="7" xfId="1" applyFont="1" applyBorder="1"/>
    <xf numFmtId="0" fontId="0" fillId="0" borderId="0" xfId="0" quotePrefix="1" applyAlignment="1">
      <alignment horizontal="center"/>
    </xf>
    <xf numFmtId="41" fontId="7" fillId="0" borderId="0" xfId="4" applyFont="1" applyFill="1" applyAlignment="1">
      <alignment horizontal="center"/>
    </xf>
    <xf numFmtId="41" fontId="0" fillId="0" borderId="0" xfId="4" applyFont="1"/>
    <xf numFmtId="41" fontId="0" fillId="0" borderId="0" xfId="4" applyFont="1" applyBorder="1"/>
    <xf numFmtId="41" fontId="0" fillId="0" borderId="2" xfId="4" applyFont="1" applyBorder="1"/>
    <xf numFmtId="0" fontId="0" fillId="0" borderId="0" xfId="0" applyBorder="1" applyAlignment="1">
      <alignment horizontal="justify"/>
    </xf>
    <xf numFmtId="43" fontId="0" fillId="0" borderId="0" xfId="0" applyNumberFormat="1"/>
    <xf numFmtId="165" fontId="0" fillId="0" borderId="0" xfId="6" applyNumberFormat="1" applyFont="1" applyBorder="1"/>
    <xf numFmtId="165" fontId="0" fillId="0" borderId="0" xfId="6" applyNumberFormat="1" applyFont="1" applyBorder="1" applyAlignment="1">
      <alignment horizontal="center"/>
    </xf>
    <xf numFmtId="10" fontId="0" fillId="0" borderId="2" xfId="0" applyNumberFormat="1" applyBorder="1"/>
    <xf numFmtId="166" fontId="0" fillId="0" borderId="7" xfId="0" quotePrefix="1" applyNumberFormat="1" applyBorder="1"/>
    <xf numFmtId="0" fontId="0" fillId="0" borderId="0" xfId="0" applyAlignment="1">
      <alignment horizontal="center" vertical="center"/>
    </xf>
    <xf numFmtId="165" fontId="0" fillId="0" borderId="0" xfId="6" applyNumberFormat="1" applyFont="1"/>
    <xf numFmtId="0" fontId="0" fillId="0" borderId="0" xfId="0" applyFont="1"/>
    <xf numFmtId="41" fontId="0" fillId="0" borderId="2" xfId="4" applyFont="1" applyFill="1" applyBorder="1" applyAlignment="1">
      <alignment horizontal="center"/>
    </xf>
    <xf numFmtId="0" fontId="0" fillId="0" borderId="0" xfId="0" quotePrefix="1" applyFont="1"/>
    <xf numFmtId="0" fontId="0" fillId="0" borderId="0" xfId="0" applyFont="1" applyAlignment="1">
      <alignment horizontal="left"/>
    </xf>
    <xf numFmtId="0" fontId="0" fillId="0" borderId="0" xfId="0" applyFont="1" applyAlignment="1">
      <alignment horizontal="center"/>
    </xf>
    <xf numFmtId="0" fontId="3" fillId="0" borderId="0" xfId="3" applyFont="1"/>
    <xf numFmtId="10" fontId="3" fillId="0" borderId="0" xfId="7" applyNumberFormat="1" applyFont="1" applyAlignment="1">
      <alignment horizontal="center"/>
    </xf>
    <xf numFmtId="0" fontId="0" fillId="0" borderId="0" xfId="3" applyFont="1"/>
    <xf numFmtId="166" fontId="0" fillId="0" borderId="0" xfId="2" applyNumberFormat="1" applyFont="1" applyAlignment="1">
      <alignment horizontal="center"/>
    </xf>
    <xf numFmtId="10" fontId="0" fillId="0" borderId="0" xfId="7" applyNumberFormat="1" applyFont="1"/>
    <xf numFmtId="0" fontId="13" fillId="0" borderId="0" xfId="18" applyFont="1"/>
    <xf numFmtId="166" fontId="0" fillId="0" borderId="0" xfId="20" applyNumberFormat="1" applyFont="1"/>
    <xf numFmtId="10" fontId="0" fillId="0" borderId="0" xfId="17" applyNumberFormat="1" applyFont="1"/>
    <xf numFmtId="166" fontId="0" fillId="0" borderId="0" xfId="2" applyNumberFormat="1" applyFont="1"/>
    <xf numFmtId="166" fontId="0" fillId="0" borderId="0" xfId="20" applyNumberFormat="1" applyFont="1" applyFill="1"/>
    <xf numFmtId="164" fontId="0" fillId="0" borderId="0" xfId="0" applyNumberFormat="1" applyFont="1"/>
    <xf numFmtId="0" fontId="5" fillId="0" borderId="7" xfId="19" applyFont="1" applyBorder="1"/>
    <xf numFmtId="166" fontId="5" fillId="0" borderId="7" xfId="3" applyNumberFormat="1" applyFont="1" applyFill="1" applyBorder="1"/>
    <xf numFmtId="10" fontId="5" fillId="0" borderId="7" xfId="17" applyNumberFormat="1" applyFont="1" applyBorder="1"/>
    <xf numFmtId="0" fontId="0" fillId="0" borderId="0" xfId="19" applyFont="1"/>
    <xf numFmtId="0" fontId="0" fillId="0" borderId="0" xfId="3" applyFont="1" applyFill="1"/>
    <xf numFmtId="166" fontId="0" fillId="0" borderId="0" xfId="16" applyNumberFormat="1" applyFont="1" applyFill="1"/>
    <xf numFmtId="166" fontId="5" fillId="0" borderId="7" xfId="19" applyNumberFormat="1" applyFont="1" applyFill="1" applyBorder="1"/>
    <xf numFmtId="0" fontId="0" fillId="0" borderId="0" xfId="19" applyFont="1" applyFill="1"/>
    <xf numFmtId="0" fontId="0" fillId="0" borderId="0" xfId="0" applyBorder="1" applyAlignment="1">
      <alignment horizontal="justify"/>
    </xf>
    <xf numFmtId="164" fontId="6" fillId="0" borderId="0" xfId="6" applyNumberFormat="1" applyFont="1" applyBorder="1" applyAlignment="1">
      <alignment horizontal="center"/>
    </xf>
    <xf numFmtId="165" fontId="0" fillId="0" borderId="0" xfId="21" applyNumberFormat="1" applyFont="1" applyAlignment="1">
      <alignment horizontal="center"/>
    </xf>
    <xf numFmtId="41" fontId="0" fillId="0" borderId="0" xfId="0" applyNumberFormat="1" applyFont="1" applyBorder="1"/>
    <xf numFmtId="0" fontId="0" fillId="0" borderId="0" xfId="0" applyFont="1" applyBorder="1"/>
    <xf numFmtId="17" fontId="0" fillId="0" borderId="0" xfId="0" quotePrefix="1" applyNumberFormat="1"/>
    <xf numFmtId="41" fontId="4" fillId="0" borderId="0" xfId="4" applyFill="1"/>
    <xf numFmtId="41" fontId="4" fillId="0" borderId="2" xfId="4" applyFill="1" applyBorder="1"/>
    <xf numFmtId="41" fontId="4" fillId="0" borderId="3" xfId="4" applyFill="1" applyBorder="1"/>
    <xf numFmtId="0" fontId="5" fillId="0" borderId="0" xfId="0" applyFont="1" applyFill="1"/>
    <xf numFmtId="41" fontId="0" fillId="0" borderId="0" xfId="4" applyFont="1" applyAlignment="1">
      <alignment horizontal="right"/>
    </xf>
    <xf numFmtId="41" fontId="0" fillId="0" borderId="0" xfId="4" quotePrefix="1" applyFont="1" applyFill="1" applyAlignment="1">
      <alignment horizontal="center"/>
    </xf>
    <xf numFmtId="166" fontId="3" fillId="0" borderId="0" xfId="2" quotePrefix="1" applyNumberFormat="1" applyFont="1" applyAlignment="1">
      <alignment horizontal="center"/>
    </xf>
    <xf numFmtId="10" fontId="0" fillId="0" borderId="0" xfId="7" quotePrefix="1" applyNumberFormat="1" applyFont="1" applyAlignment="1">
      <alignment horizontal="center"/>
    </xf>
    <xf numFmtId="165" fontId="4" fillId="0" borderId="0" xfId="25" applyNumberFormat="1" applyFont="1"/>
    <xf numFmtId="164" fontId="4" fillId="0" borderId="0" xfId="4" applyNumberFormat="1"/>
    <xf numFmtId="0" fontId="3" fillId="0" borderId="0" xfId="0" applyFont="1" applyFill="1" applyBorder="1"/>
    <xf numFmtId="41" fontId="0" fillId="0" borderId="0" xfId="0" applyNumberFormat="1" applyFont="1" applyFill="1" applyBorder="1"/>
    <xf numFmtId="41" fontId="0" fillId="0" borderId="7" xfId="0" applyNumberFormat="1" applyBorder="1"/>
    <xf numFmtId="0" fontId="7" fillId="0" borderId="0" xfId="0" applyFont="1" applyFill="1" applyAlignment="1">
      <alignment horizontal="center"/>
    </xf>
    <xf numFmtId="0" fontId="0" fillId="0" borderId="0" xfId="0" applyFont="1" applyBorder="1" applyAlignment="1">
      <alignment horizontal="center"/>
    </xf>
    <xf numFmtId="9" fontId="0" fillId="0" borderId="0" xfId="6" applyFont="1"/>
    <xf numFmtId="10" fontId="0" fillId="0" borderId="0" xfId="6" applyNumberFormat="1" applyFont="1"/>
    <xf numFmtId="165" fontId="0" fillId="0" borderId="0" xfId="6" applyNumberFormat="1" applyFont="1" applyAlignment="1">
      <alignment horizontal="center"/>
    </xf>
    <xf numFmtId="9" fontId="0" fillId="0" borderId="0" xfId="6" applyNumberFormat="1" applyFont="1" applyAlignment="1">
      <alignment horizontal="center"/>
    </xf>
    <xf numFmtId="0" fontId="0" fillId="0" borderId="0" xfId="0" applyAlignment="1">
      <alignment horizontal="right"/>
    </xf>
    <xf numFmtId="0" fontId="0" fillId="0" borderId="0" xfId="0" quotePrefix="1" applyFill="1" applyBorder="1" applyAlignment="1">
      <alignment horizontal="center"/>
    </xf>
    <xf numFmtId="0" fontId="14" fillId="0" borderId="0" xfId="0" applyFont="1" applyBorder="1"/>
    <xf numFmtId="10" fontId="0" fillId="0" borderId="0" xfId="0" applyNumberFormat="1" applyBorder="1"/>
    <xf numFmtId="166" fontId="0" fillId="0" borderId="0" xfId="0" quotePrefix="1" applyNumberFormat="1" applyBorder="1"/>
    <xf numFmtId="167" fontId="0" fillId="0" borderId="0" xfId="26" applyNumberFormat="1" applyFont="1"/>
    <xf numFmtId="167" fontId="0" fillId="0" borderId="2" xfId="26" applyNumberFormat="1" applyFont="1" applyBorder="1"/>
    <xf numFmtId="167" fontId="0" fillId="0" borderId="3" xfId="0" applyNumberFormat="1" applyBorder="1"/>
    <xf numFmtId="166" fontId="0" fillId="0" borderId="0" xfId="0" applyNumberFormat="1" applyBorder="1"/>
    <xf numFmtId="41" fontId="0" fillId="0" borderId="2" xfId="0" applyNumberFormat="1" applyFont="1" applyBorder="1"/>
    <xf numFmtId="0" fontId="0" fillId="0" borderId="0" xfId="0" applyFont="1" applyFill="1" applyBorder="1"/>
    <xf numFmtId="41" fontId="6" fillId="0" borderId="7" xfId="0" applyNumberFormat="1" applyFont="1" applyBorder="1"/>
    <xf numFmtId="10" fontId="6" fillId="0" borderId="2" xfId="6" applyNumberFormat="1" applyFont="1" applyBorder="1"/>
    <xf numFmtId="165" fontId="4" fillId="0" borderId="0" xfId="25" applyNumberFormat="1" applyFont="1" applyBorder="1"/>
    <xf numFmtId="17" fontId="0" fillId="0" borderId="0" xfId="0" quotePrefix="1" applyNumberFormat="1" applyBorder="1"/>
    <xf numFmtId="41" fontId="6" fillId="0" borderId="12" xfId="0" applyNumberFormat="1" applyFont="1" applyBorder="1"/>
    <xf numFmtId="17" fontId="0" fillId="0" borderId="0" xfId="0" applyNumberFormat="1"/>
    <xf numFmtId="0" fontId="0" fillId="0" borderId="0" xfId="0" quotePrefix="1" applyAlignment="1">
      <alignment horizontal="centerContinuous"/>
    </xf>
    <xf numFmtId="0" fontId="0" fillId="0" borderId="0" xfId="0" applyAlignment="1">
      <alignment horizontal="centerContinuous"/>
    </xf>
    <xf numFmtId="165" fontId="0" fillId="0" borderId="2" xfId="0" applyNumberFormat="1" applyBorder="1"/>
    <xf numFmtId="0" fontId="0" fillId="0" borderId="0" xfId="0" applyBorder="1" applyAlignment="1">
      <alignment horizontal="justify"/>
    </xf>
    <xf numFmtId="10" fontId="15" fillId="0" borderId="0" xfId="4" applyNumberFormat="1" applyFont="1"/>
    <xf numFmtId="0" fontId="15" fillId="0" borderId="0" xfId="0" applyFont="1"/>
    <xf numFmtId="164" fontId="15" fillId="0" borderId="0" xfId="4" applyNumberFormat="1" applyFont="1"/>
    <xf numFmtId="41" fontId="0" fillId="0" borderId="13" xfId="0" applyNumberFormat="1" applyBorder="1"/>
    <xf numFmtId="41" fontId="0" fillId="0" borderId="13" xfId="1" applyFont="1" applyBorder="1"/>
    <xf numFmtId="166" fontId="0" fillId="0" borderId="0" xfId="0" applyNumberFormat="1"/>
    <xf numFmtId="166" fontId="0" fillId="0" borderId="2" xfId="0" applyNumberFormat="1" applyBorder="1"/>
    <xf numFmtId="166" fontId="0" fillId="0" borderId="3" xfId="0" applyNumberFormat="1" applyBorder="1"/>
    <xf numFmtId="165" fontId="0" fillId="0" borderId="0" xfId="0" applyNumberFormat="1"/>
    <xf numFmtId="166" fontId="0" fillId="0" borderId="7" xfId="0" applyNumberFormat="1" applyBorder="1"/>
    <xf numFmtId="167" fontId="0" fillId="0" borderId="0" xfId="0" applyNumberFormat="1"/>
    <xf numFmtId="167" fontId="0" fillId="0" borderId="7" xfId="0" applyNumberFormat="1" applyBorder="1"/>
    <xf numFmtId="10" fontId="0" fillId="0" borderId="7" xfId="0" applyNumberFormat="1" applyBorder="1"/>
    <xf numFmtId="0" fontId="0" fillId="0" borderId="8" xfId="0" applyBorder="1" applyAlignment="1">
      <alignment horizontal="justify"/>
    </xf>
    <xf numFmtId="0" fontId="0" fillId="0" borderId="9" xfId="0" applyBorder="1" applyAlignment="1">
      <alignment horizontal="justify"/>
    </xf>
    <xf numFmtId="0" fontId="0" fillId="0" borderId="4" xfId="0" applyBorder="1" applyAlignment="1">
      <alignment horizontal="justify"/>
    </xf>
    <xf numFmtId="0" fontId="0" fillId="0" borderId="10" xfId="0" applyBorder="1" applyAlignment="1">
      <alignment horizontal="justify"/>
    </xf>
    <xf numFmtId="0" fontId="0" fillId="0" borderId="0" xfId="0" applyBorder="1" applyAlignment="1">
      <alignment horizontal="justify"/>
    </xf>
    <xf numFmtId="0" fontId="0" fillId="0" borderId="5" xfId="0" applyBorder="1" applyAlignment="1">
      <alignment horizontal="justify"/>
    </xf>
    <xf numFmtId="0" fontId="0" fillId="0" borderId="11" xfId="0" applyBorder="1" applyAlignment="1">
      <alignment horizontal="justify"/>
    </xf>
    <xf numFmtId="0" fontId="0" fillId="0" borderId="2" xfId="0" applyBorder="1" applyAlignment="1">
      <alignment horizontal="justify"/>
    </xf>
    <xf numFmtId="0" fontId="0" fillId="0" borderId="6" xfId="0" applyBorder="1" applyAlignment="1">
      <alignment horizontal="justify"/>
    </xf>
    <xf numFmtId="0" fontId="0" fillId="0" borderId="8" xfId="0" applyBorder="1" applyAlignment="1">
      <alignment wrapText="1"/>
    </xf>
    <xf numFmtId="0" fontId="0" fillId="0" borderId="9" xfId="0" applyBorder="1" applyAlignment="1">
      <alignment wrapText="1"/>
    </xf>
    <xf numFmtId="0" fontId="0" fillId="0" borderId="4" xfId="0" applyBorder="1" applyAlignment="1">
      <alignment wrapText="1"/>
    </xf>
    <xf numFmtId="0" fontId="0" fillId="0" borderId="10" xfId="0" applyBorder="1" applyAlignment="1">
      <alignment wrapText="1"/>
    </xf>
    <xf numFmtId="0" fontId="0" fillId="0" borderId="0" xfId="0" applyBorder="1" applyAlignment="1">
      <alignment wrapText="1"/>
    </xf>
    <xf numFmtId="0" fontId="0" fillId="0" borderId="5" xfId="0" applyBorder="1" applyAlignment="1">
      <alignment wrapText="1"/>
    </xf>
    <xf numFmtId="0" fontId="0" fillId="0" borderId="11" xfId="0" applyBorder="1" applyAlignment="1">
      <alignment wrapText="1"/>
    </xf>
    <xf numFmtId="0" fontId="0" fillId="0" borderId="2" xfId="0" applyBorder="1" applyAlignment="1">
      <alignment wrapText="1"/>
    </xf>
    <xf numFmtId="0" fontId="0" fillId="0" borderId="6" xfId="0" applyBorder="1" applyAlignment="1">
      <alignment wrapText="1"/>
    </xf>
  </cellXfs>
  <cellStyles count="27">
    <cellStyle name="Comma" xfId="1" builtinId="3"/>
    <cellStyle name="Comma 12" xfId="24"/>
    <cellStyle name="Comma 13" xfId="20"/>
    <cellStyle name="Comma 2" xfId="2"/>
    <cellStyle name="Comma 2 2 2" xfId="11"/>
    <cellStyle name="Comma 4" xfId="12"/>
    <cellStyle name="Comma 5" xfId="16"/>
    <cellStyle name="Currency" xfId="26" builtinId="4"/>
    <cellStyle name="Currency 2 2 2" xfId="14"/>
    <cellStyle name="Normal" xfId="0" builtinId="0"/>
    <cellStyle name="Normal 12" xfId="9"/>
    <cellStyle name="Normal 19" xfId="19"/>
    <cellStyle name="Normal 2" xfId="3"/>
    <cellStyle name="Normal 2 2" xfId="10"/>
    <cellStyle name="Normal 5 3" xfId="18"/>
    <cellStyle name="Normal 7" xfId="22"/>
    <cellStyle name="Normal 7 2" xfId="23"/>
    <cellStyle name="Normal_SHEET" xfId="4"/>
    <cellStyle name="Normal_SHEET_3" xfId="5"/>
    <cellStyle name="Percent" xfId="6" builtinId="5"/>
    <cellStyle name="Percent 11" xfId="21"/>
    <cellStyle name="Percent 2" xfId="7"/>
    <cellStyle name="Percent 2 2 2" xfId="15"/>
    <cellStyle name="Percent 3" xfId="13"/>
    <cellStyle name="Percent 4" xfId="17"/>
    <cellStyle name="Percent 6" xfId="25"/>
    <cellStyle name="SAPBEXstdItem"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Active_Cases\RMP_GRC_2020\RamasTestimony\UT%20GRC%20JAM%20-%20DEC%202021%20Test%20Period%20Ramas_PrimaryRO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nction"/>
      <sheetName val="Function1149"/>
      <sheetName val="Non-NPC Results"/>
      <sheetName val="Report"/>
      <sheetName val="Results"/>
      <sheetName val="UTCR"/>
      <sheetName val="NRO"/>
      <sheetName val="ADJ"/>
      <sheetName val="URO"/>
      <sheetName val="Unadj Data for RAM"/>
      <sheetName val="Variables"/>
      <sheetName val="Adjustments"/>
      <sheetName val="Adj Summary"/>
      <sheetName val="Inputs"/>
      <sheetName val="Factors"/>
      <sheetName val="Normalized Loads"/>
      <sheetName val="CWC"/>
      <sheetName val="WelcomeDialog"/>
      <sheetName val="2020 Protocol Adj"/>
      <sheetName val="Macr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7"/>
  <sheetViews>
    <sheetView tabSelected="1" workbookViewId="0">
      <selection activeCell="C23" sqref="C23"/>
    </sheetView>
  </sheetViews>
  <sheetFormatPr defaultRowHeight="15.75" x14ac:dyDescent="0.25"/>
  <cols>
    <col min="1" max="1" width="3.5" customWidth="1"/>
    <col min="2" max="2" width="1.625" customWidth="1"/>
    <col min="3" max="3" width="35.375" customWidth="1"/>
    <col min="4" max="4" width="1.25" customWidth="1"/>
    <col min="5" max="5" width="7.75" customWidth="1"/>
    <col min="6" max="6" width="1.25" customWidth="1"/>
    <col min="7" max="7" width="15" customWidth="1"/>
    <col min="8" max="8" width="1.75" customWidth="1"/>
    <col min="9" max="9" width="11.25" customWidth="1"/>
    <col min="10" max="10" width="1.875" customWidth="1"/>
    <col min="11" max="11" width="8.625" customWidth="1"/>
  </cols>
  <sheetData>
    <row r="1" spans="1:11" x14ac:dyDescent="0.25">
      <c r="A1" s="7" t="s">
        <v>15</v>
      </c>
      <c r="G1" s="7" t="s">
        <v>230</v>
      </c>
    </row>
    <row r="2" spans="1:11" x14ac:dyDescent="0.25">
      <c r="A2" s="17" t="s">
        <v>13</v>
      </c>
      <c r="G2" t="s">
        <v>335</v>
      </c>
    </row>
    <row r="3" spans="1:11" x14ac:dyDescent="0.25">
      <c r="A3" s="5" t="s">
        <v>616</v>
      </c>
      <c r="G3" t="s">
        <v>615</v>
      </c>
    </row>
    <row r="4" spans="1:11" x14ac:dyDescent="0.25">
      <c r="A4" t="s">
        <v>334</v>
      </c>
      <c r="G4" s="5" t="s">
        <v>320</v>
      </c>
    </row>
    <row r="5" spans="1:11" x14ac:dyDescent="0.25">
      <c r="G5" t="s">
        <v>617</v>
      </c>
      <c r="K5" s="18"/>
    </row>
    <row r="12" spans="1:11" x14ac:dyDescent="0.25">
      <c r="A12" t="s">
        <v>620</v>
      </c>
      <c r="C12" t="s">
        <v>621</v>
      </c>
      <c r="G12" s="145">
        <v>1942410016.0969055</v>
      </c>
      <c r="I12" t="s">
        <v>618</v>
      </c>
    </row>
    <row r="14" spans="1:11" x14ac:dyDescent="0.25">
      <c r="A14" t="s">
        <v>622</v>
      </c>
      <c r="C14" t="s">
        <v>623</v>
      </c>
      <c r="G14" s="146">
        <v>2001695945.4085445</v>
      </c>
      <c r="I14" t="s">
        <v>618</v>
      </c>
    </row>
    <row r="16" spans="1:11" ht="16.5" thickBot="1" x14ac:dyDescent="0.3">
      <c r="A16" t="s">
        <v>624</v>
      </c>
      <c r="C16" t="s">
        <v>625</v>
      </c>
      <c r="G16" s="147">
        <v>-59285929.311638981</v>
      </c>
      <c r="I16" t="s">
        <v>618</v>
      </c>
    </row>
    <row r="17" ht="16.5" thickTop="1" x14ac:dyDescent="0.25"/>
  </sheetData>
  <pageMargins left="0.7" right="0.7" top="0.75" bottom="0.75" header="0.3" footer="0.3"/>
  <pageSetup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3"/>
  <sheetViews>
    <sheetView workbookViewId="0">
      <selection activeCell="C34" sqref="C34"/>
    </sheetView>
  </sheetViews>
  <sheetFormatPr defaultRowHeight="15.75" x14ac:dyDescent="0.25"/>
  <cols>
    <col min="1" max="1" width="3.375" customWidth="1"/>
    <col min="2" max="2" width="1.625" customWidth="1"/>
    <col min="3" max="3" width="42.5" customWidth="1"/>
    <col min="4" max="4" width="1.5" customWidth="1"/>
    <col min="5" max="6" width="1.25" customWidth="1"/>
    <col min="7" max="7" width="7.375" customWidth="1"/>
    <col min="8" max="8" width="1.25" customWidth="1"/>
    <col min="9" max="9" width="12.5" customWidth="1"/>
    <col min="10" max="10" width="1.75" customWidth="1"/>
    <col min="11" max="11" width="9" customWidth="1"/>
    <col min="12" max="12" width="1.875" customWidth="1"/>
    <col min="13" max="13" width="7.25" customWidth="1"/>
    <col min="14" max="14" width="1.625" customWidth="1"/>
    <col min="15" max="15" width="11.125" customWidth="1"/>
  </cols>
  <sheetData>
    <row r="1" spans="1:15" x14ac:dyDescent="0.25">
      <c r="A1" s="7" t="s">
        <v>15</v>
      </c>
      <c r="K1" s="7" t="s">
        <v>230</v>
      </c>
      <c r="M1" s="18"/>
      <c r="N1" s="18"/>
      <c r="O1" s="18"/>
    </row>
    <row r="2" spans="1:15" x14ac:dyDescent="0.25">
      <c r="A2" s="17" t="s">
        <v>13</v>
      </c>
      <c r="K2" t="s">
        <v>335</v>
      </c>
      <c r="M2" s="18"/>
      <c r="N2" s="18"/>
      <c r="O2" s="18"/>
    </row>
    <row r="3" spans="1:15" x14ac:dyDescent="0.25">
      <c r="A3" s="5" t="s">
        <v>333</v>
      </c>
      <c r="K3" t="s">
        <v>577</v>
      </c>
      <c r="M3" s="18"/>
      <c r="N3" s="18"/>
      <c r="O3" s="18"/>
    </row>
    <row r="4" spans="1:15" x14ac:dyDescent="0.25">
      <c r="A4" t="s">
        <v>334</v>
      </c>
      <c r="K4" s="5" t="s">
        <v>320</v>
      </c>
      <c r="M4" s="18"/>
      <c r="N4" s="18"/>
      <c r="O4" s="18"/>
    </row>
    <row r="5" spans="1:15" x14ac:dyDescent="0.25">
      <c r="M5" s="18"/>
      <c r="N5" s="18"/>
      <c r="O5" s="18"/>
    </row>
    <row r="6" spans="1:15" x14ac:dyDescent="0.25">
      <c r="A6" s="18"/>
      <c r="B6" s="18"/>
      <c r="C6" s="18"/>
      <c r="D6" s="18"/>
      <c r="E6" s="18"/>
      <c r="F6" s="18"/>
      <c r="G6" s="18"/>
      <c r="H6" s="18"/>
      <c r="I6" s="18"/>
      <c r="J6" s="18"/>
      <c r="K6" s="18"/>
      <c r="L6" s="18"/>
      <c r="M6" s="18"/>
      <c r="N6" s="18"/>
      <c r="O6" s="18"/>
    </row>
    <row r="7" spans="1:15" x14ac:dyDescent="0.25">
      <c r="A7" s="18"/>
      <c r="B7" s="18"/>
      <c r="C7" s="18"/>
      <c r="D7" s="18"/>
      <c r="E7" s="18"/>
      <c r="F7" s="18"/>
      <c r="G7" s="18"/>
      <c r="H7" s="18"/>
      <c r="I7" s="18"/>
      <c r="J7" s="18"/>
      <c r="K7" s="18"/>
      <c r="L7" s="18"/>
      <c r="M7" s="18"/>
      <c r="N7" s="18"/>
      <c r="O7" s="18"/>
    </row>
    <row r="8" spans="1:15" x14ac:dyDescent="0.25">
      <c r="G8" s="1"/>
      <c r="H8" s="1"/>
      <c r="I8" s="1" t="s">
        <v>4</v>
      </c>
      <c r="J8" s="1"/>
      <c r="K8" s="1"/>
      <c r="L8" s="1"/>
      <c r="M8" s="1"/>
      <c r="N8" s="1"/>
      <c r="O8" s="1" t="s">
        <v>9</v>
      </c>
    </row>
    <row r="9" spans="1:15" x14ac:dyDescent="0.25">
      <c r="A9" s="4"/>
      <c r="C9" s="2" t="s">
        <v>1</v>
      </c>
      <c r="D9" s="4"/>
      <c r="E9" s="15"/>
      <c r="G9" s="10" t="s">
        <v>11</v>
      </c>
      <c r="H9" s="1"/>
      <c r="I9" s="10" t="s">
        <v>6</v>
      </c>
      <c r="J9" s="1"/>
      <c r="K9" s="10" t="s">
        <v>7</v>
      </c>
      <c r="L9" s="1"/>
      <c r="M9" s="11" t="s">
        <v>10</v>
      </c>
      <c r="N9" s="1"/>
      <c r="O9" s="10" t="s">
        <v>8</v>
      </c>
    </row>
    <row r="11" spans="1:15" x14ac:dyDescent="0.25">
      <c r="C11" s="3" t="s">
        <v>12</v>
      </c>
    </row>
    <row r="13" spans="1:15" x14ac:dyDescent="0.25">
      <c r="A13">
        <v>1</v>
      </c>
      <c r="C13" t="s">
        <v>336</v>
      </c>
      <c r="G13" s="57" t="s">
        <v>234</v>
      </c>
      <c r="I13" s="40">
        <f>I22</f>
        <v>-1586728.7853685855</v>
      </c>
      <c r="K13" s="1" t="s">
        <v>235</v>
      </c>
      <c r="L13" s="1"/>
      <c r="M13" s="1" t="s">
        <v>235</v>
      </c>
      <c r="O13" s="47">
        <f>'3.7.1-4'!F208</f>
        <v>-699948.94787264836</v>
      </c>
    </row>
    <row r="18" spans="1:15" x14ac:dyDescent="0.25">
      <c r="I18" s="47"/>
    </row>
    <row r="19" spans="1:15" x14ac:dyDescent="0.25">
      <c r="C19" s="3" t="s">
        <v>236</v>
      </c>
      <c r="I19" s="47"/>
    </row>
    <row r="20" spans="1:15" x14ac:dyDescent="0.25">
      <c r="A20" t="s">
        <v>237</v>
      </c>
      <c r="C20" s="20" t="s">
        <v>444</v>
      </c>
      <c r="I20" s="47">
        <v>-2380578</v>
      </c>
      <c r="K20" s="4"/>
    </row>
    <row r="21" spans="1:15" x14ac:dyDescent="0.25">
      <c r="A21" s="4" t="s">
        <v>238</v>
      </c>
      <c r="B21" s="4"/>
      <c r="C21" s="20" t="s">
        <v>713</v>
      </c>
      <c r="D21" s="4"/>
      <c r="E21" s="4"/>
      <c r="F21" s="4"/>
      <c r="G21" s="4"/>
      <c r="H21" s="4"/>
      <c r="I21" s="66">
        <f>'3.7.1-4'!C208</f>
        <v>0.66653089517276287</v>
      </c>
      <c r="K21" s="4"/>
    </row>
    <row r="22" spans="1:15" x14ac:dyDescent="0.25">
      <c r="A22" s="20" t="s">
        <v>239</v>
      </c>
      <c r="B22" s="4"/>
      <c r="C22" s="20" t="s">
        <v>280</v>
      </c>
      <c r="D22" s="4"/>
      <c r="E22" s="4"/>
      <c r="F22" s="4"/>
      <c r="G22" s="4"/>
      <c r="H22" s="4"/>
      <c r="I22" s="67">
        <f>I20*I21</f>
        <v>-1586728.7853685855</v>
      </c>
      <c r="J22" s="4"/>
      <c r="K22" s="4"/>
    </row>
    <row r="23" spans="1:15" x14ac:dyDescent="0.25">
      <c r="A23" s="4"/>
      <c r="B23" s="4"/>
      <c r="C23" s="20"/>
      <c r="D23" s="4"/>
      <c r="E23" s="4"/>
      <c r="F23" s="4"/>
      <c r="G23" s="4"/>
      <c r="H23" s="4"/>
      <c r="J23" s="4"/>
      <c r="K23" s="51"/>
      <c r="L23" s="4"/>
      <c r="M23" s="4"/>
    </row>
    <row r="24" spans="1:15" x14ac:dyDescent="0.25">
      <c r="A24" s="4"/>
      <c r="B24" s="4"/>
      <c r="L24" s="4"/>
      <c r="M24" s="4"/>
    </row>
    <row r="25" spans="1:15" x14ac:dyDescent="0.25">
      <c r="A25" s="4"/>
      <c r="B25" s="4"/>
      <c r="L25" s="4"/>
      <c r="M25" s="4"/>
    </row>
    <row r="26" spans="1:15" x14ac:dyDescent="0.25">
      <c r="A26" s="4"/>
      <c r="B26" s="4"/>
      <c r="C26" s="20"/>
      <c r="D26" s="4"/>
      <c r="E26" s="4"/>
      <c r="F26" s="4"/>
      <c r="G26" s="4"/>
      <c r="H26" s="4"/>
      <c r="I26" s="51"/>
      <c r="J26" s="4"/>
      <c r="K26" s="4"/>
      <c r="L26" s="4"/>
      <c r="M26" s="4"/>
    </row>
    <row r="27" spans="1:15" x14ac:dyDescent="0.25">
      <c r="C27" s="4"/>
      <c r="D27" s="4"/>
      <c r="E27" s="4"/>
      <c r="F27" s="4"/>
      <c r="G27" s="4"/>
      <c r="H27" s="4"/>
      <c r="I27" s="4"/>
      <c r="J27" s="4"/>
      <c r="K27" s="4"/>
      <c r="L27" s="4"/>
      <c r="M27" s="4"/>
    </row>
    <row r="28" spans="1:15" x14ac:dyDescent="0.25">
      <c r="C28" t="s">
        <v>5</v>
      </c>
    </row>
    <row r="29" spans="1:15" ht="6.75" customHeight="1" x14ac:dyDescent="0.25"/>
    <row r="30" spans="1:15" ht="15.75" customHeight="1" x14ac:dyDescent="0.25">
      <c r="C30" s="153" t="s">
        <v>714</v>
      </c>
      <c r="D30" s="154"/>
      <c r="E30" s="154"/>
      <c r="F30" s="154"/>
      <c r="G30" s="154"/>
      <c r="H30" s="154"/>
      <c r="I30" s="154"/>
      <c r="J30" s="154"/>
      <c r="K30" s="154"/>
      <c r="L30" s="154"/>
      <c r="M30" s="154"/>
      <c r="N30" s="154"/>
      <c r="O30" s="155"/>
    </row>
    <row r="31" spans="1:15" ht="15.75" customHeight="1" x14ac:dyDescent="0.25">
      <c r="C31" s="156"/>
      <c r="D31" s="157"/>
      <c r="E31" s="157"/>
      <c r="F31" s="157"/>
      <c r="G31" s="157"/>
      <c r="H31" s="157"/>
      <c r="I31" s="157"/>
      <c r="J31" s="157"/>
      <c r="K31" s="157"/>
      <c r="L31" s="157"/>
      <c r="M31" s="157"/>
      <c r="N31" s="157"/>
      <c r="O31" s="158"/>
    </row>
    <row r="32" spans="1:15" x14ac:dyDescent="0.25">
      <c r="C32" s="156"/>
      <c r="D32" s="157"/>
      <c r="E32" s="157"/>
      <c r="F32" s="157"/>
      <c r="G32" s="157"/>
      <c r="H32" s="157"/>
      <c r="I32" s="157"/>
      <c r="J32" s="157"/>
      <c r="K32" s="157"/>
      <c r="L32" s="157"/>
      <c r="M32" s="157"/>
      <c r="N32" s="157"/>
      <c r="O32" s="158"/>
    </row>
    <row r="33" spans="3:15" x14ac:dyDescent="0.25">
      <c r="C33" s="159"/>
      <c r="D33" s="160"/>
      <c r="E33" s="160"/>
      <c r="F33" s="160"/>
      <c r="G33" s="160"/>
      <c r="H33" s="160"/>
      <c r="I33" s="160"/>
      <c r="J33" s="160"/>
      <c r="K33" s="160"/>
      <c r="L33" s="160"/>
      <c r="M33" s="160"/>
      <c r="N33" s="160"/>
      <c r="O33" s="161"/>
    </row>
  </sheetData>
  <mergeCells count="1">
    <mergeCell ref="C30:O33"/>
  </mergeCells>
  <phoneticPr fontId="8" type="noConversion"/>
  <pageMargins left="0.75" right="0.75" top="1" bottom="1" header="0.5" footer="0.5"/>
  <pageSetup scale="7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13"/>
  <sheetViews>
    <sheetView topLeftCell="A182" workbookViewId="0">
      <selection activeCell="E217" sqref="E217"/>
    </sheetView>
  </sheetViews>
  <sheetFormatPr defaultColWidth="9" defaultRowHeight="15.75" x14ac:dyDescent="0.25"/>
  <cols>
    <col min="1" max="1" width="25.125" style="70" customWidth="1"/>
    <col min="2" max="2" width="15.5" style="70" customWidth="1"/>
    <col min="3" max="3" width="9.625" style="70" customWidth="1"/>
    <col min="4" max="4" width="12" style="70" customWidth="1"/>
    <col min="5" max="5" width="10.875" style="70" customWidth="1"/>
    <col min="6" max="6" width="12.125" style="70" customWidth="1"/>
    <col min="7" max="16384" width="9" style="70"/>
  </cols>
  <sheetData>
    <row r="1" spans="1:6" x14ac:dyDescent="0.25">
      <c r="A1" s="70" t="s">
        <v>15</v>
      </c>
      <c r="E1" s="70" t="s">
        <v>230</v>
      </c>
    </row>
    <row r="2" spans="1:6" x14ac:dyDescent="0.25">
      <c r="A2" s="72" t="s">
        <v>13</v>
      </c>
      <c r="E2" t="s">
        <v>335</v>
      </c>
    </row>
    <row r="3" spans="1:6" x14ac:dyDescent="0.25">
      <c r="A3" s="5" t="s">
        <v>333</v>
      </c>
      <c r="E3" s="70" t="str">
        <f>'3.7'!K3</f>
        <v>Exhibit OCS 3.7D</v>
      </c>
    </row>
    <row r="4" spans="1:6" x14ac:dyDescent="0.25">
      <c r="A4" t="s">
        <v>334</v>
      </c>
      <c r="E4" s="5" t="s">
        <v>320</v>
      </c>
    </row>
    <row r="5" spans="1:6" x14ac:dyDescent="0.25">
      <c r="E5" s="70" t="s">
        <v>578</v>
      </c>
    </row>
    <row r="6" spans="1:6" x14ac:dyDescent="0.25">
      <c r="A6" s="77"/>
      <c r="B6" s="78" t="s">
        <v>63</v>
      </c>
      <c r="C6" s="79"/>
      <c r="E6" s="74"/>
    </row>
    <row r="7" spans="1:6" x14ac:dyDescent="0.25">
      <c r="A7" s="77"/>
      <c r="B7" s="78" t="s">
        <v>324</v>
      </c>
      <c r="C7" s="107" t="s">
        <v>326</v>
      </c>
      <c r="D7" s="74" t="s">
        <v>279</v>
      </c>
      <c r="E7" s="74" t="s">
        <v>9</v>
      </c>
      <c r="F7" s="74" t="s">
        <v>9</v>
      </c>
    </row>
    <row r="8" spans="1:6" x14ac:dyDescent="0.25">
      <c r="A8" s="75" t="s">
        <v>232</v>
      </c>
      <c r="B8" s="106" t="s">
        <v>325</v>
      </c>
      <c r="C8" s="76" t="s">
        <v>4</v>
      </c>
      <c r="D8" s="36" t="s">
        <v>233</v>
      </c>
      <c r="E8" s="36" t="s">
        <v>8</v>
      </c>
      <c r="F8" s="36" t="s">
        <v>2</v>
      </c>
    </row>
    <row r="9" spans="1:6" x14ac:dyDescent="0.25">
      <c r="A9" s="80" t="s">
        <v>67</v>
      </c>
      <c r="B9" s="81">
        <v>13056773.543274013</v>
      </c>
      <c r="C9" s="82">
        <f t="shared" ref="C9:C40" si="0">B9/$B$212</f>
        <v>1.8947227766614016E-2</v>
      </c>
      <c r="D9" s="83">
        <f t="shared" ref="D9:D40" si="1">$D$212*C9</f>
        <v>-45105.353582190459</v>
      </c>
      <c r="E9" s="108">
        <v>0.43997498132271273</v>
      </c>
      <c r="F9" s="83">
        <f>D9*E9</f>
        <v>-19845.227099878601</v>
      </c>
    </row>
    <row r="10" spans="1:6" x14ac:dyDescent="0.25">
      <c r="A10" s="80" t="s">
        <v>68</v>
      </c>
      <c r="B10" s="81">
        <v>19170731.324116077</v>
      </c>
      <c r="C10" s="82">
        <f t="shared" si="0"/>
        <v>2.7819446484748326E-2</v>
      </c>
      <c r="D10" s="83">
        <f t="shared" si="1"/>
        <v>-66226.362273769206</v>
      </c>
      <c r="E10" s="108">
        <v>0.43997498132271273</v>
      </c>
      <c r="F10" s="83">
        <f t="shared" ref="F10:F73" si="2">D10*E10</f>
        <v>-29137.942504472812</v>
      </c>
    </row>
    <row r="11" spans="1:6" x14ac:dyDescent="0.25">
      <c r="A11" s="80" t="s">
        <v>327</v>
      </c>
      <c r="B11" s="81">
        <v>113187.9424132823</v>
      </c>
      <c r="C11" s="82">
        <f t="shared" si="0"/>
        <v>1.6425173632911828E-4</v>
      </c>
      <c r="D11" s="83">
        <f t="shared" si="1"/>
        <v>-391.01406996689974</v>
      </c>
      <c r="E11" s="108">
        <v>0.43356209499257142</v>
      </c>
      <c r="F11" s="83">
        <f t="shared" si="2"/>
        <v>-169.52887934642095</v>
      </c>
    </row>
    <row r="12" spans="1:6" x14ac:dyDescent="0.25">
      <c r="A12" s="80" t="s">
        <v>69</v>
      </c>
      <c r="B12" s="81">
        <v>872.00810885038345</v>
      </c>
      <c r="C12" s="82">
        <f t="shared" si="0"/>
        <v>1.2654072767643025E-6</v>
      </c>
      <c r="D12" s="83">
        <f t="shared" si="1"/>
        <v>-3.0124007241050097</v>
      </c>
      <c r="E12" s="108">
        <v>0.43997498132271273</v>
      </c>
      <c r="F12" s="83">
        <f t="shared" si="2"/>
        <v>-1.325380952324628</v>
      </c>
    </row>
    <row r="13" spans="1:6" x14ac:dyDescent="0.25">
      <c r="A13" s="80" t="s">
        <v>70</v>
      </c>
      <c r="B13" s="81">
        <v>31565308.678211786</v>
      </c>
      <c r="C13" s="82">
        <f t="shared" si="0"/>
        <v>4.5805733787704805E-2</v>
      </c>
      <c r="D13" s="83">
        <f t="shared" si="1"/>
        <v>-109044.12212886673</v>
      </c>
      <c r="E13" s="108">
        <v>0.43997498132271273</v>
      </c>
      <c r="F13" s="83">
        <f t="shared" si="2"/>
        <v>-47976.685596999749</v>
      </c>
    </row>
    <row r="14" spans="1:6" x14ac:dyDescent="0.25">
      <c r="A14" s="80" t="s">
        <v>71</v>
      </c>
      <c r="B14" s="81">
        <v>3308477.7516890108</v>
      </c>
      <c r="C14" s="82">
        <f t="shared" si="0"/>
        <v>4.8010698289485667E-3</v>
      </c>
      <c r="D14" s="83">
        <f t="shared" si="1"/>
        <v>-11429.321211258721</v>
      </c>
      <c r="E14" s="108">
        <v>0.43997498132271273</v>
      </c>
      <c r="F14" s="83">
        <f t="shared" si="2"/>
        <v>-5028.6153864548405</v>
      </c>
    </row>
    <row r="15" spans="1:6" x14ac:dyDescent="0.25">
      <c r="A15" s="80" t="s">
        <v>72</v>
      </c>
      <c r="B15" s="81">
        <v>8014161.0322651491</v>
      </c>
      <c r="C15" s="82">
        <f t="shared" si="0"/>
        <v>1.1629682779852712E-2</v>
      </c>
      <c r="D15" s="83">
        <f t="shared" si="1"/>
        <v>-27685.366972696211</v>
      </c>
      <c r="E15" s="108">
        <v>0.43997498132271273</v>
      </c>
      <c r="F15" s="83">
        <f t="shared" si="2"/>
        <v>-12180.868816724464</v>
      </c>
    </row>
    <row r="16" spans="1:6" x14ac:dyDescent="0.25">
      <c r="A16" s="80" t="s">
        <v>73</v>
      </c>
      <c r="B16" s="81">
        <v>25775295.357480701</v>
      </c>
      <c r="C16" s="82">
        <f t="shared" si="0"/>
        <v>3.7403604364533979E-2</v>
      </c>
      <c r="D16" s="83">
        <f t="shared" si="1"/>
        <v>-89042.197670913578</v>
      </c>
      <c r="E16" s="108">
        <v>0.43997498132271273</v>
      </c>
      <c r="F16" s="83">
        <f t="shared" si="2"/>
        <v>-39176.339257193496</v>
      </c>
    </row>
    <row r="17" spans="1:6" x14ac:dyDescent="0.25">
      <c r="A17" s="80" t="s">
        <v>74</v>
      </c>
      <c r="B17" s="81">
        <v>11935827.858545976</v>
      </c>
      <c r="C17" s="82">
        <f t="shared" si="0"/>
        <v>1.7320576807848934E-2</v>
      </c>
      <c r="D17" s="83">
        <f t="shared" si="1"/>
        <v>-41232.984096075401</v>
      </c>
      <c r="E17" s="108">
        <v>0.43997498132271273</v>
      </c>
      <c r="F17" s="83">
        <f t="shared" si="2"/>
        <v>-18141.481407550487</v>
      </c>
    </row>
    <row r="18" spans="1:6" x14ac:dyDescent="0.25">
      <c r="A18" s="80" t="s">
        <v>75</v>
      </c>
      <c r="B18" s="81">
        <v>2459627.4397744909</v>
      </c>
      <c r="C18" s="82">
        <f t="shared" si="0"/>
        <v>3.569267795597774E-3</v>
      </c>
      <c r="D18" s="83">
        <f t="shared" si="1"/>
        <v>-8496.9203903085581</v>
      </c>
      <c r="E18" s="108">
        <v>0.43997498132271273</v>
      </c>
      <c r="F18" s="83">
        <f t="shared" si="2"/>
        <v>-3738.4323900265849</v>
      </c>
    </row>
    <row r="19" spans="1:6" x14ac:dyDescent="0.25">
      <c r="A19" s="80" t="s">
        <v>76</v>
      </c>
      <c r="B19" s="81">
        <v>5225772.1575494986</v>
      </c>
      <c r="C19" s="82">
        <f t="shared" si="0"/>
        <v>7.5833355765387925E-3</v>
      </c>
      <c r="D19" s="83">
        <f t="shared" si="1"/>
        <v>-18052.721840125567</v>
      </c>
      <c r="E19" s="108">
        <v>0.43997498132271273</v>
      </c>
      <c r="F19" s="83">
        <f t="shared" si="2"/>
        <v>-7942.7459544333742</v>
      </c>
    </row>
    <row r="20" spans="1:6" x14ac:dyDescent="0.25">
      <c r="A20" s="80" t="s">
        <v>77</v>
      </c>
      <c r="B20" s="81">
        <v>3382381.8803454172</v>
      </c>
      <c r="C20" s="82">
        <f t="shared" si="0"/>
        <v>4.9083151873753738E-3</v>
      </c>
      <c r="D20" s="83">
        <f t="shared" si="1"/>
        <v>-11684.627152131692</v>
      </c>
      <c r="E20" s="108">
        <v>0.43997498132271273</v>
      </c>
      <c r="F20" s="83">
        <f t="shared" si="2"/>
        <v>-5140.9436130220029</v>
      </c>
    </row>
    <row r="21" spans="1:6" x14ac:dyDescent="0.25">
      <c r="A21" s="80" t="s">
        <v>78</v>
      </c>
      <c r="B21" s="81">
        <v>26971.450006091491</v>
      </c>
      <c r="C21" s="82">
        <f t="shared" si="0"/>
        <v>3.9139394182455549E-5</v>
      </c>
      <c r="D21" s="83">
        <f t="shared" si="1"/>
        <v>-93.174380724081672</v>
      </c>
      <c r="E21" s="108">
        <v>0.43997498132271273</v>
      </c>
      <c r="F21" s="83">
        <f t="shared" si="2"/>
        <v>-40.994396418833162</v>
      </c>
    </row>
    <row r="22" spans="1:6" x14ac:dyDescent="0.25">
      <c r="A22" s="80" t="s">
        <v>79</v>
      </c>
      <c r="B22" s="81">
        <v>537604.5030679527</v>
      </c>
      <c r="C22" s="82">
        <f t="shared" si="0"/>
        <v>7.8014028000302231E-4</v>
      </c>
      <c r="D22" s="83">
        <f t="shared" si="1"/>
        <v>-1857.1847874890348</v>
      </c>
      <c r="E22" s="108">
        <v>0.43997498132271273</v>
      </c>
      <c r="F22" s="83">
        <f t="shared" si="2"/>
        <v>-817.11484218831424</v>
      </c>
    </row>
    <row r="23" spans="1:6" x14ac:dyDescent="0.25">
      <c r="A23" s="80" t="s">
        <v>80</v>
      </c>
      <c r="B23" s="81">
        <v>26702.388621789931</v>
      </c>
      <c r="C23" s="82">
        <f t="shared" si="0"/>
        <v>3.8748948004104832E-5</v>
      </c>
      <c r="D23" s="83">
        <f t="shared" si="1"/>
        <v>-92.244893141715878</v>
      </c>
      <c r="E23" s="108">
        <v>0.43997498132271273</v>
      </c>
      <c r="F23" s="83">
        <f t="shared" si="2"/>
        <v>-40.585445137142074</v>
      </c>
    </row>
    <row r="24" spans="1:6" x14ac:dyDescent="0.25">
      <c r="A24" s="80" t="s">
        <v>81</v>
      </c>
      <c r="B24" s="81">
        <v>6646876.3120349906</v>
      </c>
      <c r="C24" s="82">
        <f t="shared" si="0"/>
        <v>9.6455589892277972E-3</v>
      </c>
      <c r="D24" s="83">
        <f t="shared" si="1"/>
        <v>-22962.005527457932</v>
      </c>
      <c r="E24" s="108">
        <v>0.43997498132271273</v>
      </c>
      <c r="F24" s="83">
        <f t="shared" si="2"/>
        <v>-10102.707953075331</v>
      </c>
    </row>
    <row r="25" spans="1:6" x14ac:dyDescent="0.25">
      <c r="A25" s="80" t="s">
        <v>82</v>
      </c>
      <c r="B25" s="81">
        <v>5320157.3097708924</v>
      </c>
      <c r="C25" s="82">
        <f t="shared" si="0"/>
        <v>7.7203018010810354E-3</v>
      </c>
      <c r="D25" s="83">
        <f t="shared" si="1"/>
        <v>-18378.780621013888</v>
      </c>
      <c r="E25" s="108">
        <v>0.43997498132271273</v>
      </c>
      <c r="F25" s="83">
        <f t="shared" si="2"/>
        <v>-8086.2036604648201</v>
      </c>
    </row>
    <row r="26" spans="1:6" x14ac:dyDescent="0.25">
      <c r="A26" s="80" t="s">
        <v>83</v>
      </c>
      <c r="B26" s="81">
        <v>203.55296077494913</v>
      </c>
      <c r="C26" s="82">
        <f t="shared" si="0"/>
        <v>2.9538417723100971E-7</v>
      </c>
      <c r="D26" s="83">
        <f t="shared" si="1"/>
        <v>-0.70318507386424267</v>
      </c>
      <c r="E26" s="108">
        <v>0.43997498132271273</v>
      </c>
      <c r="F26" s="83">
        <f t="shared" si="2"/>
        <v>-0.30938383973983052</v>
      </c>
    </row>
    <row r="27" spans="1:6" x14ac:dyDescent="0.25">
      <c r="A27" s="80" t="s">
        <v>328</v>
      </c>
      <c r="B27" s="81">
        <v>0</v>
      </c>
      <c r="C27" s="82">
        <f t="shared" si="0"/>
        <v>0</v>
      </c>
      <c r="D27" s="83">
        <f t="shared" si="1"/>
        <v>0</v>
      </c>
      <c r="E27" s="108">
        <v>0.43997498132271273</v>
      </c>
      <c r="F27" s="83">
        <f t="shared" si="2"/>
        <v>0</v>
      </c>
    </row>
    <row r="28" spans="1:6" x14ac:dyDescent="0.25">
      <c r="A28" s="80" t="s">
        <v>84</v>
      </c>
      <c r="B28" s="81">
        <v>240270.77013597137</v>
      </c>
      <c r="C28" s="82">
        <f t="shared" si="0"/>
        <v>3.4866691930726939E-4</v>
      </c>
      <c r="D28" s="83">
        <f t="shared" si="1"/>
        <v>-830.02879743066069</v>
      </c>
      <c r="E28" s="108">
        <v>0.43997498132271273</v>
      </c>
      <c r="F28" s="83">
        <f t="shared" si="2"/>
        <v>-365.19190464686864</v>
      </c>
    </row>
    <row r="29" spans="1:6" x14ac:dyDescent="0.25">
      <c r="A29" s="80" t="s">
        <v>85</v>
      </c>
      <c r="B29" s="81">
        <v>10772.747648023511</v>
      </c>
      <c r="C29" s="82">
        <f t="shared" si="0"/>
        <v>1.5632782684241527E-5</v>
      </c>
      <c r="D29" s="83">
        <f t="shared" si="1"/>
        <v>-37.215058536886325</v>
      </c>
      <c r="E29" s="108">
        <v>0.43997498132271273</v>
      </c>
      <c r="F29" s="83">
        <f t="shared" si="2"/>
        <v>-16.373694684690221</v>
      </c>
    </row>
    <row r="30" spans="1:6" x14ac:dyDescent="0.25">
      <c r="A30" s="80" t="s">
        <v>86</v>
      </c>
      <c r="B30" s="81">
        <v>387838.42119753361</v>
      </c>
      <c r="C30" s="82">
        <f t="shared" si="0"/>
        <v>5.6280848241096234E-4</v>
      </c>
      <c r="D30" s="83">
        <f t="shared" si="1"/>
        <v>-1339.8094914409239</v>
      </c>
      <c r="E30" s="108">
        <v>0.43997498132271273</v>
      </c>
      <c r="F30" s="83">
        <f t="shared" si="2"/>
        <v>-589.4826559727137</v>
      </c>
    </row>
    <row r="31" spans="1:6" x14ac:dyDescent="0.25">
      <c r="A31" s="80" t="s">
        <v>87</v>
      </c>
      <c r="B31" s="81">
        <v>311244.11488918663</v>
      </c>
      <c r="C31" s="82">
        <f t="shared" si="0"/>
        <v>4.5165929517567945E-4</v>
      </c>
      <c r="D31" s="83">
        <f t="shared" si="1"/>
        <v>-1075.2101815907286</v>
      </c>
      <c r="E31" s="108">
        <v>0.43997498132271273</v>
      </c>
      <c r="F31" s="83">
        <f t="shared" si="2"/>
        <v>-473.06557956337139</v>
      </c>
    </row>
    <row r="32" spans="1:6" x14ac:dyDescent="0.25">
      <c r="A32" s="80" t="s">
        <v>88</v>
      </c>
      <c r="B32" s="81">
        <v>906379.57413102372</v>
      </c>
      <c r="C32" s="82">
        <f t="shared" si="0"/>
        <v>1.3152851412448453E-3</v>
      </c>
      <c r="D32" s="83">
        <f t="shared" si="1"/>
        <v>-3131.1388709743715</v>
      </c>
      <c r="E32" s="108">
        <v>0.43997498132271273</v>
      </c>
      <c r="F32" s="83">
        <f t="shared" si="2"/>
        <v>-1377.622766275769</v>
      </c>
    </row>
    <row r="33" spans="1:6" x14ac:dyDescent="0.25">
      <c r="A33" s="80" t="s">
        <v>89</v>
      </c>
      <c r="B33" s="81">
        <v>209704.46411756871</v>
      </c>
      <c r="C33" s="82">
        <f t="shared" si="0"/>
        <v>3.0431087987721906E-4</v>
      </c>
      <c r="D33" s="83">
        <f t="shared" si="1"/>
        <v>-724.43578579635039</v>
      </c>
      <c r="E33" s="108">
        <v>0.43997498132271273</v>
      </c>
      <c r="F33" s="83">
        <f t="shared" si="2"/>
        <v>-318.73362132525398</v>
      </c>
    </row>
    <row r="34" spans="1:6" x14ac:dyDescent="0.25">
      <c r="A34" s="80" t="s">
        <v>90</v>
      </c>
      <c r="B34" s="81">
        <v>810459.18886156986</v>
      </c>
      <c r="C34" s="82">
        <f t="shared" si="0"/>
        <v>1.1760910761001735E-3</v>
      </c>
      <c r="D34" s="83">
        <f t="shared" si="1"/>
        <v>-2799.7765417603987</v>
      </c>
      <c r="E34" s="108">
        <v>0.43997498132271273</v>
      </c>
      <c r="F34" s="83">
        <f t="shared" si="2"/>
        <v>-1231.8316316688006</v>
      </c>
    </row>
    <row r="35" spans="1:6" x14ac:dyDescent="0.25">
      <c r="A35" s="80" t="s">
        <v>91</v>
      </c>
      <c r="B35" s="81">
        <v>87504.880160048429</v>
      </c>
      <c r="C35" s="82">
        <f t="shared" si="0"/>
        <v>1.2698197526270037E-4</v>
      </c>
      <c r="D35" s="83">
        <f t="shared" si="1"/>
        <v>-302.29049670692871</v>
      </c>
      <c r="E35" s="108">
        <v>0.43997498132271273</v>
      </c>
      <c r="F35" s="83">
        <f t="shared" si="2"/>
        <v>-133.00025564266451</v>
      </c>
    </row>
    <row r="36" spans="1:6" x14ac:dyDescent="0.25">
      <c r="A36" s="80" t="s">
        <v>329</v>
      </c>
      <c r="B36" s="81">
        <v>4140.7631231896357</v>
      </c>
      <c r="C36" s="82">
        <f t="shared" si="0"/>
        <v>6.0088337875083526E-6</v>
      </c>
      <c r="D36" s="83">
        <f t="shared" si="1"/>
        <v>-14.304497520199059</v>
      </c>
      <c r="E36" s="108">
        <v>0.43997498132271273</v>
      </c>
      <c r="F36" s="83">
        <f t="shared" si="2"/>
        <v>-6.2936210292803709</v>
      </c>
    </row>
    <row r="37" spans="1:6" x14ac:dyDescent="0.25">
      <c r="A37" s="80" t="s">
        <v>92</v>
      </c>
      <c r="B37" s="81">
        <v>5858981.3924137084</v>
      </c>
      <c r="C37" s="82">
        <f t="shared" si="0"/>
        <v>8.5022118637878667E-3</v>
      </c>
      <c r="D37" s="83">
        <f t="shared" si="1"/>
        <v>-20240.178514272393</v>
      </c>
      <c r="E37" s="108">
        <v>0.43997498132271273</v>
      </c>
      <c r="F37" s="83">
        <f t="shared" si="2"/>
        <v>-8905.172163785368</v>
      </c>
    </row>
    <row r="38" spans="1:6" x14ac:dyDescent="0.25">
      <c r="A38" s="80" t="s">
        <v>284</v>
      </c>
      <c r="B38" s="81">
        <v>35973.286988250722</v>
      </c>
      <c r="C38" s="82">
        <f t="shared" si="0"/>
        <v>5.2202334659566104E-5</v>
      </c>
      <c r="D38" s="83">
        <f t="shared" si="1"/>
        <v>-124.27172943920056</v>
      </c>
      <c r="E38" s="108">
        <v>0</v>
      </c>
      <c r="F38" s="83">
        <f t="shared" si="2"/>
        <v>0</v>
      </c>
    </row>
    <row r="39" spans="1:6" x14ac:dyDescent="0.25">
      <c r="A39" s="80" t="s">
        <v>93</v>
      </c>
      <c r="B39" s="81">
        <v>4175810.2644076617</v>
      </c>
      <c r="C39" s="82">
        <f t="shared" si="0"/>
        <v>6.059692153476467E-3</v>
      </c>
      <c r="D39" s="83">
        <f t="shared" si="1"/>
        <v>-14425.569827338701</v>
      </c>
      <c r="E39" s="108">
        <v>0.43997498132271273</v>
      </c>
      <c r="F39" s="83">
        <f t="shared" si="2"/>
        <v>-6346.8898153528335</v>
      </c>
    </row>
    <row r="40" spans="1:6" x14ac:dyDescent="0.25">
      <c r="A40" s="80" t="s">
        <v>94</v>
      </c>
      <c r="B40" s="81">
        <v>848687.86487659498</v>
      </c>
      <c r="C40" s="82">
        <f t="shared" si="0"/>
        <v>1.2315662996898406E-3</v>
      </c>
      <c r="D40" s="83">
        <f t="shared" si="1"/>
        <v>-2931.8396385830411</v>
      </c>
      <c r="E40" s="108">
        <v>0.43997498132271273</v>
      </c>
      <c r="F40" s="83">
        <f t="shared" si="2"/>
        <v>-1289.9360902267624</v>
      </c>
    </row>
    <row r="41" spans="1:6" x14ac:dyDescent="0.25">
      <c r="A41" s="80" t="s">
        <v>95</v>
      </c>
      <c r="B41" s="81">
        <v>1705795.4825058074</v>
      </c>
      <c r="C41" s="82">
        <f t="shared" ref="C41:C72" si="3">B41/$B$212</f>
        <v>2.4753508531935873E-3</v>
      </c>
      <c r="D41" s="83">
        <f t="shared" ref="D41:D72" si="4">$D$212*C41</f>
        <v>-5892.7657833938838</v>
      </c>
      <c r="E41" s="108">
        <v>0.43997498132271273</v>
      </c>
      <c r="F41" s="83">
        <f t="shared" si="2"/>
        <v>-2592.6695154878448</v>
      </c>
    </row>
    <row r="42" spans="1:6" x14ac:dyDescent="0.25">
      <c r="A42" s="80" t="s">
        <v>96</v>
      </c>
      <c r="B42" s="81">
        <v>86424.775696209908</v>
      </c>
      <c r="C42" s="82">
        <f t="shared" si="3"/>
        <v>1.2541459070017748E-4</v>
      </c>
      <c r="D42" s="83">
        <f t="shared" si="4"/>
        <v>-298.55921549984708</v>
      </c>
      <c r="E42" s="108">
        <v>0.43997498132271273</v>
      </c>
      <c r="F42" s="83">
        <f t="shared" si="2"/>
        <v>-131.35858526326899</v>
      </c>
    </row>
    <row r="43" spans="1:6" x14ac:dyDescent="0.25">
      <c r="A43" s="80" t="s">
        <v>97</v>
      </c>
      <c r="B43" s="81">
        <v>448963.1594376415</v>
      </c>
      <c r="C43" s="82">
        <f t="shared" si="3"/>
        <v>6.5150913527681404E-4</v>
      </c>
      <c r="D43" s="83">
        <f t="shared" si="4"/>
        <v>-1550.9683142390074</v>
      </c>
      <c r="E43" s="108">
        <v>0.43997498132271273</v>
      </c>
      <c r="F43" s="83">
        <f t="shared" si="2"/>
        <v>-682.3872550894265</v>
      </c>
    </row>
    <row r="44" spans="1:6" x14ac:dyDescent="0.25">
      <c r="A44" s="80" t="s">
        <v>330</v>
      </c>
      <c r="B44" s="81">
        <v>45440.043909546075</v>
      </c>
      <c r="C44" s="82">
        <f t="shared" si="3"/>
        <v>6.5939939819406807E-5</v>
      </c>
      <c r="D44" s="83">
        <f t="shared" si="4"/>
        <v>-156.97517005540382</v>
      </c>
      <c r="E44" s="108">
        <v>0</v>
      </c>
      <c r="F44" s="83">
        <f t="shared" si="2"/>
        <v>0</v>
      </c>
    </row>
    <row r="45" spans="1:6" x14ac:dyDescent="0.25">
      <c r="A45" s="80" t="s">
        <v>98</v>
      </c>
      <c r="B45" s="81">
        <v>29336345.2571619</v>
      </c>
      <c r="C45" s="82">
        <f t="shared" si="3"/>
        <v>4.2571192154420616E-2</v>
      </c>
      <c r="D45" s="83">
        <f t="shared" si="4"/>
        <v>-101344.04347658632</v>
      </c>
      <c r="E45" s="108">
        <v>0.43997498132271273</v>
      </c>
      <c r="F45" s="83">
        <f t="shared" si="2"/>
        <v>-44588.843635779253</v>
      </c>
    </row>
    <row r="46" spans="1:6" x14ac:dyDescent="0.25">
      <c r="A46" s="80" t="s">
        <v>99</v>
      </c>
      <c r="B46" s="81">
        <v>6713824.9221918751</v>
      </c>
      <c r="C46" s="82">
        <f t="shared" si="3"/>
        <v>9.7427109051353971E-3</v>
      </c>
      <c r="D46" s="83">
        <f t="shared" si="4"/>
        <v>-23193.283241125413</v>
      </c>
      <c r="E46" s="108">
        <v>0.43997498132271273</v>
      </c>
      <c r="F46" s="83">
        <f t="shared" si="2"/>
        <v>-10204.46436082654</v>
      </c>
    </row>
    <row r="47" spans="1:6" x14ac:dyDescent="0.25">
      <c r="A47" s="80" t="s">
        <v>100</v>
      </c>
      <c r="B47" s="81">
        <v>9994829.2864634041</v>
      </c>
      <c r="C47" s="82">
        <f t="shared" si="3"/>
        <v>1.45039129576234E-2</v>
      </c>
      <c r="D47" s="83">
        <f t="shared" si="4"/>
        <v>-34527.6961008332</v>
      </c>
      <c r="E47" s="108">
        <v>0.43997498132271273</v>
      </c>
      <c r="F47" s="83">
        <f t="shared" si="2"/>
        <v>-15191.322447080389</v>
      </c>
    </row>
    <row r="48" spans="1:6" x14ac:dyDescent="0.25">
      <c r="A48" s="80" t="s">
        <v>101</v>
      </c>
      <c r="B48" s="81">
        <v>1914830.7231969472</v>
      </c>
      <c r="C48" s="82">
        <f t="shared" si="3"/>
        <v>2.7786905950905635E-3</v>
      </c>
      <c r="D48" s="83">
        <f t="shared" si="4"/>
        <v>-6614.8896994795032</v>
      </c>
      <c r="E48" s="108">
        <v>0.43997498132271273</v>
      </c>
      <c r="F48" s="83">
        <f t="shared" si="2"/>
        <v>-2910.3859719802995</v>
      </c>
    </row>
    <row r="49" spans="1:6" x14ac:dyDescent="0.25">
      <c r="A49" s="80" t="s">
        <v>102</v>
      </c>
      <c r="B49" s="81">
        <v>505468.64157438307</v>
      </c>
      <c r="C49" s="82">
        <f t="shared" si="3"/>
        <v>7.335065932673983E-4</v>
      </c>
      <c r="D49" s="83">
        <f t="shared" si="4"/>
        <v>-1746.1696587873164</v>
      </c>
      <c r="E49" s="108">
        <v>0.43997498132271273</v>
      </c>
      <c r="F49" s="83">
        <f t="shared" si="2"/>
        <v>-768.2709630112372</v>
      </c>
    </row>
    <row r="50" spans="1:6" x14ac:dyDescent="0.25">
      <c r="A50" s="80" t="s">
        <v>103</v>
      </c>
      <c r="B50" s="81">
        <v>46420.329438009816</v>
      </c>
      <c r="C50" s="82">
        <f t="shared" si="3"/>
        <v>6.7362472968393383E-5</v>
      </c>
      <c r="D50" s="83">
        <f t="shared" si="4"/>
        <v>-160.36162117415199</v>
      </c>
      <c r="E50" s="108">
        <v>0.43997498132271273</v>
      </c>
      <c r="F50" s="83">
        <f t="shared" si="2"/>
        <v>-70.555101280977453</v>
      </c>
    </row>
    <row r="51" spans="1:6" x14ac:dyDescent="0.25">
      <c r="A51" s="80" t="s">
        <v>104</v>
      </c>
      <c r="B51" s="81">
        <v>164716.84821488915</v>
      </c>
      <c r="C51" s="82">
        <f t="shared" si="3"/>
        <v>2.3902747717746773E-4</v>
      </c>
      <c r="D51" s="83">
        <f t="shared" si="4"/>
        <v>-569.02355356418173</v>
      </c>
      <c r="E51" s="108">
        <v>0.43997498132271273</v>
      </c>
      <c r="F51" s="83">
        <f t="shared" si="2"/>
        <v>-250.35612735158449</v>
      </c>
    </row>
    <row r="52" spans="1:6" x14ac:dyDescent="0.25">
      <c r="A52" s="80" t="s">
        <v>105</v>
      </c>
      <c r="B52" s="81">
        <v>1050006.2988619516</v>
      </c>
      <c r="C52" s="82">
        <f t="shared" si="3"/>
        <v>1.5237078620518177E-3</v>
      </c>
      <c r="D52" s="83">
        <f t="shared" si="4"/>
        <v>-3627.3054148275924</v>
      </c>
      <c r="E52" s="108">
        <v>0.43997498132271273</v>
      </c>
      <c r="F52" s="83">
        <f t="shared" si="2"/>
        <v>-1595.9236321405447</v>
      </c>
    </row>
    <row r="53" spans="1:6" x14ac:dyDescent="0.25">
      <c r="A53" s="80" t="s">
        <v>106</v>
      </c>
      <c r="B53" s="81">
        <v>3090243.4515683944</v>
      </c>
      <c r="C53" s="82">
        <f t="shared" si="3"/>
        <v>4.4843809488689266E-3</v>
      </c>
      <c r="D53" s="83">
        <f t="shared" si="4"/>
        <v>-10675.418630496491</v>
      </c>
      <c r="E53" s="108">
        <v>0.43997498132271273</v>
      </c>
      <c r="F53" s="83">
        <f t="shared" si="2"/>
        <v>-4696.9171125648336</v>
      </c>
    </row>
    <row r="54" spans="1:6" x14ac:dyDescent="0.25">
      <c r="A54" s="80" t="s">
        <v>107</v>
      </c>
      <c r="B54" s="81">
        <v>7011969.0293070618</v>
      </c>
      <c r="C54" s="82">
        <f t="shared" si="3"/>
        <v>1.0175360233552004E-2</v>
      </c>
      <c r="D54" s="83">
        <f t="shared" si="4"/>
        <v>-24223.238714068761</v>
      </c>
      <c r="E54" s="108">
        <v>0.43997498132271273</v>
      </c>
      <c r="F54" s="83">
        <f t="shared" si="2"/>
        <v>-10657.619000798015</v>
      </c>
    </row>
    <row r="55" spans="1:6" x14ac:dyDescent="0.25">
      <c r="A55" s="80" t="s">
        <v>108</v>
      </c>
      <c r="B55" s="81">
        <v>3561398.9513322068</v>
      </c>
      <c r="C55" s="82">
        <f t="shared" si="3"/>
        <v>5.1680943132717625E-3</v>
      </c>
      <c r="D55" s="83">
        <f t="shared" si="4"/>
        <v>-12303.051624099866</v>
      </c>
      <c r="E55" s="108">
        <v>0.43997498132271273</v>
      </c>
      <c r="F55" s="83">
        <f t="shared" si="2"/>
        <v>-5413.0349085257094</v>
      </c>
    </row>
    <row r="56" spans="1:6" x14ac:dyDescent="0.25">
      <c r="A56" s="80" t="s">
        <v>109</v>
      </c>
      <c r="B56" s="81">
        <v>26273.39794448575</v>
      </c>
      <c r="C56" s="82">
        <f t="shared" si="3"/>
        <v>3.8126421769296735E-5</v>
      </c>
      <c r="D56" s="83">
        <f t="shared" si="4"/>
        <v>-90.762920882708883</v>
      </c>
      <c r="E56" s="108">
        <v>0.43997498132271273</v>
      </c>
      <c r="F56" s="83">
        <f t="shared" si="2"/>
        <v>-39.933414420164695</v>
      </c>
    </row>
    <row r="57" spans="1:6" x14ac:dyDescent="0.25">
      <c r="A57" s="80" t="s">
        <v>285</v>
      </c>
      <c r="B57" s="81">
        <v>-11391.108851200772</v>
      </c>
      <c r="C57" s="82">
        <f t="shared" si="3"/>
        <v>-1.6530112374444547E-5</v>
      </c>
      <c r="D57" s="83">
        <f t="shared" si="4"/>
        <v>39.351221856130451</v>
      </c>
      <c r="E57" s="108">
        <v>0</v>
      </c>
      <c r="F57" s="83">
        <f t="shared" si="2"/>
        <v>0</v>
      </c>
    </row>
    <row r="58" spans="1:6" x14ac:dyDescent="0.25">
      <c r="A58" s="80" t="s">
        <v>270</v>
      </c>
      <c r="B58" s="81">
        <v>277058.49971783865</v>
      </c>
      <c r="C58" s="82">
        <f t="shared" si="3"/>
        <v>4.0205112552744277E-4</v>
      </c>
      <c r="D58" s="83">
        <f t="shared" si="4"/>
        <v>-957.11406430586862</v>
      </c>
      <c r="E58" s="108">
        <v>0</v>
      </c>
      <c r="F58" s="83">
        <f t="shared" si="2"/>
        <v>0</v>
      </c>
    </row>
    <row r="59" spans="1:6" x14ac:dyDescent="0.25">
      <c r="A59" s="80" t="s">
        <v>110</v>
      </c>
      <c r="B59" s="81">
        <v>7520436.4410260422</v>
      </c>
      <c r="C59" s="82">
        <f t="shared" si="3"/>
        <v>1.091321846704362E-2</v>
      </c>
      <c r="D59" s="83">
        <f t="shared" si="4"/>
        <v>-25979.767791837767</v>
      </c>
      <c r="E59" s="108">
        <v>0.48488009101542923</v>
      </c>
      <c r="F59" s="83">
        <f t="shared" si="2"/>
        <v>-12597.072171466014</v>
      </c>
    </row>
    <row r="60" spans="1:6" x14ac:dyDescent="0.25">
      <c r="A60" s="80" t="s">
        <v>286</v>
      </c>
      <c r="B60" s="81">
        <v>335059.03820657678</v>
      </c>
      <c r="C60" s="82">
        <f t="shared" si="3"/>
        <v>4.862181220438593E-4</v>
      </c>
      <c r="D60" s="83">
        <f t="shared" si="4"/>
        <v>-1157.4801645389264</v>
      </c>
      <c r="E60" s="108">
        <v>1</v>
      </c>
      <c r="F60" s="83">
        <f t="shared" si="2"/>
        <v>-1157.4801645389264</v>
      </c>
    </row>
    <row r="61" spans="1:6" x14ac:dyDescent="0.25">
      <c r="A61" s="80" t="s">
        <v>271</v>
      </c>
      <c r="B61" s="81">
        <v>72119.794933971585</v>
      </c>
      <c r="C61" s="82">
        <f t="shared" si="3"/>
        <v>1.0465603746335712E-4</v>
      </c>
      <c r="D61" s="83">
        <f t="shared" si="4"/>
        <v>-249.14186035244376</v>
      </c>
      <c r="E61" s="108">
        <v>0</v>
      </c>
      <c r="F61" s="83">
        <f t="shared" si="2"/>
        <v>0</v>
      </c>
    </row>
    <row r="62" spans="1:6" x14ac:dyDescent="0.25">
      <c r="A62" s="80" t="s">
        <v>287</v>
      </c>
      <c r="B62" s="81">
        <v>103416.80085379243</v>
      </c>
      <c r="C62" s="82">
        <f t="shared" si="3"/>
        <v>1.5007242594635895E-4</v>
      </c>
      <c r="D62" s="83">
        <f t="shared" si="4"/>
        <v>-357.25911561453131</v>
      </c>
      <c r="E62" s="108">
        <v>0</v>
      </c>
      <c r="F62" s="83">
        <f t="shared" si="2"/>
        <v>0</v>
      </c>
    </row>
    <row r="63" spans="1:6" x14ac:dyDescent="0.25">
      <c r="A63" s="80" t="s">
        <v>111</v>
      </c>
      <c r="B63" s="81">
        <v>12093962.319257226</v>
      </c>
      <c r="C63" s="82">
        <f t="shared" si="3"/>
        <v>1.7550052308432321E-2</v>
      </c>
      <c r="D63" s="83">
        <f t="shared" si="4"/>
        <v>-41779.268424303198</v>
      </c>
      <c r="E63" s="108">
        <v>0.48488009101542923</v>
      </c>
      <c r="F63" s="83">
        <f t="shared" si="2"/>
        <v>-20257.935476134182</v>
      </c>
    </row>
    <row r="64" spans="1:6" x14ac:dyDescent="0.25">
      <c r="A64" s="80" t="s">
        <v>112</v>
      </c>
      <c r="B64" s="81">
        <v>29890.802858170544</v>
      </c>
      <c r="C64" s="82">
        <f t="shared" si="3"/>
        <v>4.3375788666600523E-5</v>
      </c>
      <c r="D64" s="83">
        <f t="shared" si="4"/>
        <v>-103.25944823235854</v>
      </c>
      <c r="E64" s="108">
        <v>0</v>
      </c>
      <c r="F64" s="83">
        <f t="shared" si="2"/>
        <v>0</v>
      </c>
    </row>
    <row r="65" spans="1:6" x14ac:dyDescent="0.25">
      <c r="A65" s="80" t="s">
        <v>288</v>
      </c>
      <c r="B65" s="81">
        <v>254436.18896422963</v>
      </c>
      <c r="C65" s="82">
        <f t="shared" si="3"/>
        <v>3.6922294841039736E-4</v>
      </c>
      <c r="D65" s="83">
        <f t="shared" si="4"/>
        <v>-878.96402808092694</v>
      </c>
      <c r="E65" s="108">
        <v>0</v>
      </c>
      <c r="F65" s="83">
        <f t="shared" si="2"/>
        <v>0</v>
      </c>
    </row>
    <row r="66" spans="1:6" x14ac:dyDescent="0.25">
      <c r="A66" s="80" t="s">
        <v>113</v>
      </c>
      <c r="B66" s="81">
        <v>238135.9131878023</v>
      </c>
      <c r="C66" s="82">
        <f t="shared" si="3"/>
        <v>3.4556893949533226E-4</v>
      </c>
      <c r="D66" s="83">
        <f t="shared" si="4"/>
        <v>-822.6538148459191</v>
      </c>
      <c r="E66" s="108">
        <v>0</v>
      </c>
      <c r="F66" s="83">
        <f t="shared" si="2"/>
        <v>0</v>
      </c>
    </row>
    <row r="67" spans="1:6" x14ac:dyDescent="0.25">
      <c r="A67" s="80" t="s">
        <v>114</v>
      </c>
      <c r="B67" s="81">
        <v>2375.7183108197937</v>
      </c>
      <c r="C67" s="82">
        <f t="shared" si="3"/>
        <v>3.4475037646345642E-6</v>
      </c>
      <c r="D67" s="83">
        <f t="shared" si="4"/>
        <v>-8.207051617006222</v>
      </c>
      <c r="E67" s="108">
        <v>0.48488009101542923</v>
      </c>
      <c r="F67" s="83">
        <f t="shared" si="2"/>
        <v>-3.9794359350223023</v>
      </c>
    </row>
    <row r="68" spans="1:6" x14ac:dyDescent="0.25">
      <c r="A68" s="80" t="s">
        <v>115</v>
      </c>
      <c r="B68" s="81">
        <v>1048768.8912855959</v>
      </c>
      <c r="C68" s="82">
        <f t="shared" si="3"/>
        <v>1.5219122083926929E-3</v>
      </c>
      <c r="D68" s="83">
        <f t="shared" si="4"/>
        <v>-3623.0307212310599</v>
      </c>
      <c r="E68" s="108">
        <v>1</v>
      </c>
      <c r="F68" s="83">
        <f t="shared" si="2"/>
        <v>-3623.0307212310599</v>
      </c>
    </row>
    <row r="69" spans="1:6" x14ac:dyDescent="0.25">
      <c r="A69" s="80" t="s">
        <v>116</v>
      </c>
      <c r="B69" s="81">
        <v>100803.72622892987</v>
      </c>
      <c r="C69" s="82">
        <f t="shared" si="3"/>
        <v>1.4628048455101055E-4</v>
      </c>
      <c r="D69" s="83">
        <f t="shared" si="4"/>
        <v>-348.23210335147559</v>
      </c>
      <c r="E69" s="108">
        <v>0</v>
      </c>
      <c r="F69" s="83">
        <f t="shared" si="2"/>
        <v>0</v>
      </c>
    </row>
    <row r="70" spans="1:6" x14ac:dyDescent="0.25">
      <c r="A70" s="80" t="s">
        <v>117</v>
      </c>
      <c r="B70" s="81">
        <v>481183.07486533321</v>
      </c>
      <c r="C70" s="82">
        <f t="shared" si="3"/>
        <v>6.9826479617620936E-4</v>
      </c>
      <c r="D70" s="83">
        <f t="shared" si="4"/>
        <v>-1662.2738119515682</v>
      </c>
      <c r="E70" s="108">
        <v>0</v>
      </c>
      <c r="F70" s="83">
        <f t="shared" si="2"/>
        <v>0</v>
      </c>
    </row>
    <row r="71" spans="1:6" x14ac:dyDescent="0.25">
      <c r="A71" s="80" t="s">
        <v>118</v>
      </c>
      <c r="B71" s="81">
        <v>397296.11154958967</v>
      </c>
      <c r="C71" s="82">
        <f t="shared" si="3"/>
        <v>5.7653293069465214E-4</v>
      </c>
      <c r="D71" s="83">
        <f t="shared" si="4"/>
        <v>-1372.4816110872137</v>
      </c>
      <c r="E71" s="108">
        <v>0</v>
      </c>
      <c r="F71" s="83">
        <f t="shared" si="2"/>
        <v>0</v>
      </c>
    </row>
    <row r="72" spans="1:6" x14ac:dyDescent="0.25">
      <c r="A72" s="80" t="s">
        <v>289</v>
      </c>
      <c r="B72" s="81">
        <v>237266.36253731718</v>
      </c>
      <c r="C72" s="82">
        <f t="shared" si="3"/>
        <v>3.4430709833872922E-4</v>
      </c>
      <c r="D72" s="83">
        <f t="shared" si="4"/>
        <v>-819.64990354901533</v>
      </c>
      <c r="E72" s="108">
        <v>0</v>
      </c>
      <c r="F72" s="83">
        <f t="shared" si="2"/>
        <v>0</v>
      </c>
    </row>
    <row r="73" spans="1:6" x14ac:dyDescent="0.25">
      <c r="A73" s="80" t="s">
        <v>119</v>
      </c>
      <c r="B73" s="81">
        <v>1282694.9172727691</v>
      </c>
      <c r="C73" s="82">
        <f t="shared" ref="C73:C104" si="5">B73/$B$212</f>
        <v>1.8613720052734499E-3</v>
      </c>
      <c r="D73" s="83">
        <f t="shared" ref="D73:D104" si="6">$D$212*C73</f>
        <v>-4431.1412455698592</v>
      </c>
      <c r="E73" s="108">
        <v>0</v>
      </c>
      <c r="F73" s="83">
        <f t="shared" si="2"/>
        <v>0</v>
      </c>
    </row>
    <row r="74" spans="1:6" x14ac:dyDescent="0.25">
      <c r="A74" s="80" t="s">
        <v>120</v>
      </c>
      <c r="B74" s="81">
        <v>158.38122072131958</v>
      </c>
      <c r="C74" s="82">
        <f t="shared" si="5"/>
        <v>2.2983358430897096E-7</v>
      </c>
      <c r="D74" s="83">
        <f t="shared" si="6"/>
        <v>-0.54713677446708142</v>
      </c>
      <c r="E74" s="108">
        <v>0.48488009101542923</v>
      </c>
      <c r="F74" s="83">
        <f t="shared" ref="F74:F137" si="7">D74*E74</f>
        <v>-0.26529572900148679</v>
      </c>
    </row>
    <row r="75" spans="1:6" x14ac:dyDescent="0.25">
      <c r="A75" s="80" t="s">
        <v>121</v>
      </c>
      <c r="B75" s="81">
        <v>4471652.2124841465</v>
      </c>
      <c r="C75" s="82">
        <f t="shared" si="5"/>
        <v>6.4890007230511823E-3</v>
      </c>
      <c r="D75" s="83">
        <f t="shared" si="6"/>
        <v>-15447.572363279738</v>
      </c>
      <c r="E75" s="108">
        <v>1</v>
      </c>
      <c r="F75" s="83">
        <f t="shared" si="7"/>
        <v>-15447.572363279738</v>
      </c>
    </row>
    <row r="76" spans="1:6" x14ac:dyDescent="0.25">
      <c r="A76" s="80" t="s">
        <v>122</v>
      </c>
      <c r="B76" s="81">
        <v>192964.9778693362</v>
      </c>
      <c r="C76" s="82">
        <f t="shared" si="5"/>
        <v>2.8001951435799798E-4</v>
      </c>
      <c r="D76" s="83">
        <f t="shared" si="6"/>
        <v>-666.60829545133413</v>
      </c>
      <c r="E76" s="108">
        <v>0</v>
      </c>
      <c r="F76" s="83">
        <f t="shared" si="7"/>
        <v>0</v>
      </c>
    </row>
    <row r="77" spans="1:6" x14ac:dyDescent="0.25">
      <c r="A77" s="80" t="s">
        <v>123</v>
      </c>
      <c r="B77" s="81">
        <v>337156.11922746914</v>
      </c>
      <c r="C77" s="82">
        <f t="shared" si="5"/>
        <v>4.8926128363475322E-4</v>
      </c>
      <c r="D77" s="83">
        <f t="shared" si="6"/>
        <v>-1164.7246480726535</v>
      </c>
      <c r="E77" s="108">
        <v>0</v>
      </c>
      <c r="F77" s="83">
        <f t="shared" si="7"/>
        <v>0</v>
      </c>
    </row>
    <row r="78" spans="1:6" x14ac:dyDescent="0.25">
      <c r="A78" s="80" t="s">
        <v>124</v>
      </c>
      <c r="B78" s="81">
        <v>114855.35473515948</v>
      </c>
      <c r="C78" s="82">
        <f t="shared" si="5"/>
        <v>1.6667138777966671E-4</v>
      </c>
      <c r="D78" s="83">
        <f t="shared" si="6"/>
        <v>-396.77423897774344</v>
      </c>
      <c r="E78" s="108">
        <v>0</v>
      </c>
      <c r="F78" s="83">
        <f t="shared" si="7"/>
        <v>0</v>
      </c>
    </row>
    <row r="79" spans="1:6" x14ac:dyDescent="0.25">
      <c r="A79" s="80" t="s">
        <v>125</v>
      </c>
      <c r="B79" s="81">
        <v>206718.17696511245</v>
      </c>
      <c r="C79" s="82">
        <f t="shared" si="5"/>
        <v>2.9997735424268363E-4</v>
      </c>
      <c r="D79" s="83">
        <f t="shared" si="6"/>
        <v>-714.11949000833931</v>
      </c>
      <c r="E79" s="108">
        <v>0.48488009101542923</v>
      </c>
      <c r="F79" s="83">
        <f t="shared" si="7"/>
        <v>-346.26232331113545</v>
      </c>
    </row>
    <row r="80" spans="1:6" x14ac:dyDescent="0.25">
      <c r="A80" s="80" t="s">
        <v>126</v>
      </c>
      <c r="B80" s="81">
        <v>62254.207335890067</v>
      </c>
      <c r="C80" s="82">
        <f t="shared" si="5"/>
        <v>9.0339672501308388E-5</v>
      </c>
      <c r="D80" s="83">
        <f t="shared" si="6"/>
        <v>-215.06063688381971</v>
      </c>
      <c r="E80" s="108">
        <v>0</v>
      </c>
      <c r="F80" s="83">
        <f t="shared" si="7"/>
        <v>0</v>
      </c>
    </row>
    <row r="81" spans="1:6" x14ac:dyDescent="0.25">
      <c r="A81" s="80" t="s">
        <v>290</v>
      </c>
      <c r="B81" s="81">
        <v>145377.09634026111</v>
      </c>
      <c r="C81" s="82">
        <f t="shared" si="5"/>
        <v>2.109627579339345E-4</v>
      </c>
      <c r="D81" s="83">
        <f t="shared" si="6"/>
        <v>-502.21330035684991</v>
      </c>
      <c r="E81" s="108">
        <v>0</v>
      </c>
      <c r="F81" s="83">
        <f t="shared" si="7"/>
        <v>0</v>
      </c>
    </row>
    <row r="82" spans="1:6" x14ac:dyDescent="0.25">
      <c r="A82" s="80" t="s">
        <v>127</v>
      </c>
      <c r="B82" s="81">
        <v>493424.37830028537</v>
      </c>
      <c r="C82" s="82">
        <f t="shared" si="5"/>
        <v>7.1602866131284201E-4</v>
      </c>
      <c r="D82" s="83">
        <f t="shared" si="6"/>
        <v>-1704.5620784908028</v>
      </c>
      <c r="E82" s="108">
        <v>0</v>
      </c>
      <c r="F82" s="83">
        <f t="shared" si="7"/>
        <v>0</v>
      </c>
    </row>
    <row r="83" spans="1:6" x14ac:dyDescent="0.25">
      <c r="A83" s="80" t="s">
        <v>128</v>
      </c>
      <c r="B83" s="81">
        <v>640019.54417251644</v>
      </c>
      <c r="C83" s="82">
        <f t="shared" si="5"/>
        <v>9.2875901066446619E-4</v>
      </c>
      <c r="D83" s="83">
        <f t="shared" si="6"/>
        <v>-2210.9832680895938</v>
      </c>
      <c r="E83" s="108">
        <v>1</v>
      </c>
      <c r="F83" s="83">
        <f t="shared" si="7"/>
        <v>-2210.9832680895938</v>
      </c>
    </row>
    <row r="84" spans="1:6" x14ac:dyDescent="0.25">
      <c r="A84" s="80" t="s">
        <v>129</v>
      </c>
      <c r="B84" s="81">
        <v>241823.01164219656</v>
      </c>
      <c r="C84" s="82">
        <f t="shared" si="5"/>
        <v>3.5091944159156615E-4</v>
      </c>
      <c r="D84" s="83">
        <f t="shared" si="6"/>
        <v>-835.39110242516733</v>
      </c>
      <c r="E84" s="108">
        <v>0</v>
      </c>
      <c r="F84" s="83">
        <f t="shared" si="7"/>
        <v>0</v>
      </c>
    </row>
    <row r="85" spans="1:6" x14ac:dyDescent="0.25">
      <c r="A85" s="80" t="s">
        <v>130</v>
      </c>
      <c r="B85" s="81">
        <v>291678.60409065045</v>
      </c>
      <c r="C85" s="82">
        <f t="shared" si="5"/>
        <v>4.2326696775716666E-4</v>
      </c>
      <c r="D85" s="83">
        <f t="shared" si="6"/>
        <v>-1007.6200315694203</v>
      </c>
      <c r="E85" s="108">
        <v>0</v>
      </c>
      <c r="F85" s="83">
        <f t="shared" si="7"/>
        <v>0</v>
      </c>
    </row>
    <row r="86" spans="1:6" x14ac:dyDescent="0.25">
      <c r="A86" s="80" t="s">
        <v>131</v>
      </c>
      <c r="B86" s="81">
        <v>80011.402780601871</v>
      </c>
      <c r="C86" s="82">
        <f t="shared" si="5"/>
        <v>1.1610787821247752E-4</v>
      </c>
      <c r="D86" s="83">
        <f t="shared" si="6"/>
        <v>-276.40386049930328</v>
      </c>
      <c r="E86" s="108">
        <v>0</v>
      </c>
      <c r="F86" s="83">
        <f t="shared" si="7"/>
        <v>0</v>
      </c>
    </row>
    <row r="87" spans="1:6" x14ac:dyDescent="0.25">
      <c r="A87" s="80" t="s">
        <v>132</v>
      </c>
      <c r="B87" s="81">
        <v>459513.06958914176</v>
      </c>
      <c r="C87" s="82">
        <f t="shared" si="5"/>
        <v>6.6681854919100117E-4</v>
      </c>
      <c r="D87" s="83">
        <f t="shared" si="6"/>
        <v>-1587.4135681960151</v>
      </c>
      <c r="E87" s="108">
        <v>0</v>
      </c>
      <c r="F87" s="83">
        <f t="shared" si="7"/>
        <v>0</v>
      </c>
    </row>
    <row r="88" spans="1:6" x14ac:dyDescent="0.25">
      <c r="A88" s="80" t="s">
        <v>291</v>
      </c>
      <c r="B88" s="81">
        <v>687207.68043756578</v>
      </c>
      <c r="C88" s="82">
        <f t="shared" si="5"/>
        <v>9.9723568009069531E-4</v>
      </c>
      <c r="D88" s="83">
        <f t="shared" si="6"/>
        <v>-2373.9973208389474</v>
      </c>
      <c r="E88" s="108">
        <v>0</v>
      </c>
      <c r="F88" s="83">
        <f t="shared" si="7"/>
        <v>0</v>
      </c>
    </row>
    <row r="89" spans="1:6" x14ac:dyDescent="0.25">
      <c r="A89" s="80" t="s">
        <v>133</v>
      </c>
      <c r="B89" s="81">
        <v>4374089.7009049952</v>
      </c>
      <c r="C89" s="82">
        <f t="shared" si="5"/>
        <v>6.3474237000411332E-3</v>
      </c>
      <c r="D89" s="83">
        <f t="shared" si="6"/>
        <v>-15110.537216996521</v>
      </c>
      <c r="E89" s="108">
        <v>0</v>
      </c>
      <c r="F89" s="83">
        <f t="shared" si="7"/>
        <v>0</v>
      </c>
    </row>
    <row r="90" spans="1:6" x14ac:dyDescent="0.25">
      <c r="A90" s="80" t="s">
        <v>134</v>
      </c>
      <c r="B90" s="81">
        <v>4125322.9668273544</v>
      </c>
      <c r="C90" s="82">
        <f t="shared" si="5"/>
        <v>5.986427933690126E-3</v>
      </c>
      <c r="D90" s="83">
        <f t="shared" si="6"/>
        <v>-14251.158637528173</v>
      </c>
      <c r="E90" s="108">
        <v>1</v>
      </c>
      <c r="F90" s="83">
        <f t="shared" si="7"/>
        <v>-14251.158637528173</v>
      </c>
    </row>
    <row r="91" spans="1:6" x14ac:dyDescent="0.25">
      <c r="A91" s="80" t="s">
        <v>135</v>
      </c>
      <c r="B91" s="81">
        <v>890930.20087989781</v>
      </c>
      <c r="C91" s="82">
        <f t="shared" si="5"/>
        <v>1.2928659124154299E-3</v>
      </c>
      <c r="D91" s="83">
        <f t="shared" si="6"/>
        <v>-3077.7681480460992</v>
      </c>
      <c r="E91" s="108">
        <v>0</v>
      </c>
      <c r="F91" s="83">
        <f t="shared" si="7"/>
        <v>0</v>
      </c>
    </row>
    <row r="92" spans="1:6" x14ac:dyDescent="0.25">
      <c r="A92" s="80" t="s">
        <v>136</v>
      </c>
      <c r="B92" s="81">
        <v>819112.06173639093</v>
      </c>
      <c r="C92" s="82">
        <f t="shared" si="5"/>
        <v>1.1886476202304227E-3</v>
      </c>
      <c r="D92" s="83">
        <f t="shared" si="6"/>
        <v>-2829.6683744728994</v>
      </c>
      <c r="E92" s="108">
        <v>0</v>
      </c>
      <c r="F92" s="83">
        <f t="shared" si="7"/>
        <v>0</v>
      </c>
    </row>
    <row r="93" spans="1:6" x14ac:dyDescent="0.25">
      <c r="A93" s="80" t="s">
        <v>137</v>
      </c>
      <c r="B93" s="81">
        <v>80425.899607125088</v>
      </c>
      <c r="C93" s="82">
        <f t="shared" si="5"/>
        <v>1.1670937181690016E-4</v>
      </c>
      <c r="D93" s="83">
        <f t="shared" si="6"/>
        <v>-277.83576294113254</v>
      </c>
      <c r="E93" s="108">
        <v>0</v>
      </c>
      <c r="F93" s="83">
        <f t="shared" si="7"/>
        <v>0</v>
      </c>
    </row>
    <row r="94" spans="1:6" x14ac:dyDescent="0.25">
      <c r="A94" s="80" t="s">
        <v>138</v>
      </c>
      <c r="B94" s="81">
        <v>43800.445425817088</v>
      </c>
      <c r="C94" s="82">
        <f t="shared" si="5"/>
        <v>6.3560650187550468E-5</v>
      </c>
      <c r="D94" s="83">
        <f t="shared" si="6"/>
        <v>-151.31108550217851</v>
      </c>
      <c r="E94" s="108">
        <v>0</v>
      </c>
      <c r="F94" s="83">
        <f t="shared" si="7"/>
        <v>0</v>
      </c>
    </row>
    <row r="95" spans="1:6" x14ac:dyDescent="0.25">
      <c r="A95" s="80" t="s">
        <v>292</v>
      </c>
      <c r="B95" s="81">
        <v>-1481.4601465085086</v>
      </c>
      <c r="C95" s="82">
        <f t="shared" si="5"/>
        <v>-2.149808505909001E-6</v>
      </c>
      <c r="D95" s="83">
        <f t="shared" si="6"/>
        <v>5.1177868333798378</v>
      </c>
      <c r="E95" s="108">
        <v>0</v>
      </c>
      <c r="F95" s="83">
        <f t="shared" si="7"/>
        <v>0</v>
      </c>
    </row>
    <row r="96" spans="1:6" x14ac:dyDescent="0.25">
      <c r="A96" s="80" t="s">
        <v>139</v>
      </c>
      <c r="B96" s="81">
        <v>12195.266635366668</v>
      </c>
      <c r="C96" s="82">
        <f t="shared" si="5"/>
        <v>1.7697059219803273E-5</v>
      </c>
      <c r="D96" s="83">
        <f t="shared" si="6"/>
        <v>-42.129229843360832</v>
      </c>
      <c r="E96" s="108">
        <v>0</v>
      </c>
      <c r="F96" s="83">
        <f t="shared" si="7"/>
        <v>0</v>
      </c>
    </row>
    <row r="97" spans="1:6" x14ac:dyDescent="0.25">
      <c r="A97" s="80" t="s">
        <v>140</v>
      </c>
      <c r="B97" s="81">
        <v>3108025.7451841361</v>
      </c>
      <c r="C97" s="82">
        <f t="shared" si="5"/>
        <v>4.5101855755811529E-3</v>
      </c>
      <c r="D97" s="83">
        <f t="shared" si="6"/>
        <v>-10736.84855714583</v>
      </c>
      <c r="E97" s="108">
        <v>0.48488009101542923</v>
      </c>
      <c r="F97" s="83">
        <f t="shared" si="7"/>
        <v>-5206.0841056077497</v>
      </c>
    </row>
    <row r="98" spans="1:6" x14ac:dyDescent="0.25">
      <c r="A98" s="80" t="s">
        <v>141</v>
      </c>
      <c r="B98" s="81">
        <v>-66497.823705568007</v>
      </c>
      <c r="C98" s="82">
        <f t="shared" si="5"/>
        <v>-9.6497760917557188E-5</v>
      </c>
      <c r="D98" s="83">
        <f t="shared" si="6"/>
        <v>229.72044668959646</v>
      </c>
      <c r="E98" s="108">
        <v>1</v>
      </c>
      <c r="F98" s="83">
        <f t="shared" si="7"/>
        <v>229.72044668959646</v>
      </c>
    </row>
    <row r="99" spans="1:6" x14ac:dyDescent="0.25">
      <c r="A99" s="80" t="s">
        <v>142</v>
      </c>
      <c r="B99" s="81">
        <v>-653.16996596727483</v>
      </c>
      <c r="C99" s="82">
        <f t="shared" si="5"/>
        <v>-9.4784213530827871E-7</v>
      </c>
      <c r="D99" s="83">
        <f t="shared" si="6"/>
        <v>2.2564121347879116</v>
      </c>
      <c r="E99" s="108">
        <v>0</v>
      </c>
      <c r="F99" s="83">
        <f t="shared" si="7"/>
        <v>0</v>
      </c>
    </row>
    <row r="100" spans="1:6" x14ac:dyDescent="0.25">
      <c r="A100" s="80" t="s">
        <v>143</v>
      </c>
      <c r="B100" s="81">
        <v>9028.2655746917972</v>
      </c>
      <c r="C100" s="82">
        <f t="shared" si="5"/>
        <v>1.3101292108208844E-5</v>
      </c>
      <c r="D100" s="83">
        <f t="shared" si="6"/>
        <v>-31.188647764375595</v>
      </c>
      <c r="E100" s="108">
        <v>0</v>
      </c>
      <c r="F100" s="83">
        <f t="shared" si="7"/>
        <v>0</v>
      </c>
    </row>
    <row r="101" spans="1:6" x14ac:dyDescent="0.25">
      <c r="A101" s="80" t="s">
        <v>144</v>
      </c>
      <c r="B101" s="81">
        <v>-46397.957104391011</v>
      </c>
      <c r="C101" s="82">
        <f t="shared" si="5"/>
        <v>-6.7330007543505582E-5</v>
      </c>
      <c r="D101" s="83">
        <f t="shared" si="6"/>
        <v>160.28433469790343</v>
      </c>
      <c r="E101" s="108">
        <v>0</v>
      </c>
      <c r="F101" s="83">
        <f t="shared" si="7"/>
        <v>0</v>
      </c>
    </row>
    <row r="102" spans="1:6" x14ac:dyDescent="0.25">
      <c r="A102" s="80" t="s">
        <v>145</v>
      </c>
      <c r="B102" s="81">
        <v>13896.317581120407</v>
      </c>
      <c r="C102" s="82">
        <f t="shared" si="5"/>
        <v>2.0165525078155632E-5</v>
      </c>
      <c r="D102" s="83">
        <f t="shared" si="6"/>
        <v>-48.00560535950558</v>
      </c>
      <c r="E102" s="108">
        <v>0</v>
      </c>
      <c r="F102" s="83">
        <f t="shared" si="7"/>
        <v>0</v>
      </c>
    </row>
    <row r="103" spans="1:6" x14ac:dyDescent="0.25">
      <c r="A103" s="80" t="s">
        <v>293</v>
      </c>
      <c r="B103" s="81">
        <v>9961.901805860196</v>
      </c>
      <c r="C103" s="82">
        <f t="shared" si="5"/>
        <v>1.4456130519435129E-5</v>
      </c>
      <c r="D103" s="83">
        <f t="shared" si="6"/>
        <v>-34.413946279695843</v>
      </c>
      <c r="E103" s="108">
        <v>0</v>
      </c>
      <c r="F103" s="83">
        <f t="shared" si="7"/>
        <v>0</v>
      </c>
    </row>
    <row r="104" spans="1:6" x14ac:dyDescent="0.25">
      <c r="A104" s="80" t="s">
        <v>146</v>
      </c>
      <c r="B104" s="81">
        <v>67783.575673718151</v>
      </c>
      <c r="C104" s="82">
        <f t="shared" si="5"/>
        <v>9.8363569136652974E-5</v>
      </c>
      <c r="D104" s="83">
        <f t="shared" si="6"/>
        <v>-234.16214868819506</v>
      </c>
      <c r="E104" s="108">
        <v>0</v>
      </c>
      <c r="F104" s="83">
        <f t="shared" si="7"/>
        <v>0</v>
      </c>
    </row>
    <row r="105" spans="1:6" x14ac:dyDescent="0.25">
      <c r="A105" s="80" t="s">
        <v>147</v>
      </c>
      <c r="B105" s="81">
        <v>285642.99082718603</v>
      </c>
      <c r="C105" s="82">
        <f t="shared" ref="C105:C136" si="8">B105/$B$212</f>
        <v>4.1450843803042829E-4</v>
      </c>
      <c r="D105" s="83">
        <f t="shared" ref="D105:D136" si="9">$D$212*C105</f>
        <v>-986.76966838960095</v>
      </c>
      <c r="E105" s="108">
        <v>1</v>
      </c>
      <c r="F105" s="83">
        <f t="shared" si="7"/>
        <v>-986.76966838960095</v>
      </c>
    </row>
    <row r="106" spans="1:6" x14ac:dyDescent="0.25">
      <c r="A106" s="80" t="s">
        <v>148</v>
      </c>
      <c r="B106" s="81">
        <v>11416.55428325962</v>
      </c>
      <c r="C106" s="82">
        <f t="shared" si="8"/>
        <v>1.6567037300441082E-5</v>
      </c>
      <c r="D106" s="83">
        <f t="shared" si="9"/>
        <v>-39.439124522609433</v>
      </c>
      <c r="E106" s="108">
        <v>0</v>
      </c>
      <c r="F106" s="83">
        <f t="shared" si="7"/>
        <v>0</v>
      </c>
    </row>
    <row r="107" spans="1:6" x14ac:dyDescent="0.25">
      <c r="A107" s="80" t="s">
        <v>149</v>
      </c>
      <c r="B107" s="81">
        <v>103248.76250405515</v>
      </c>
      <c r="C107" s="82">
        <f t="shared" si="8"/>
        <v>1.4982857850001654E-4</v>
      </c>
      <c r="D107" s="83">
        <f t="shared" si="9"/>
        <v>-356.67861774841236</v>
      </c>
      <c r="E107" s="108">
        <v>0</v>
      </c>
      <c r="F107" s="83">
        <f t="shared" si="7"/>
        <v>0</v>
      </c>
    </row>
    <row r="108" spans="1:6" x14ac:dyDescent="0.25">
      <c r="A108" s="80" t="s">
        <v>150</v>
      </c>
      <c r="B108" s="81">
        <v>6301.3768538816912</v>
      </c>
      <c r="C108" s="82">
        <f t="shared" si="8"/>
        <v>9.1441903390650244E-6</v>
      </c>
      <c r="D108" s="83">
        <f t="shared" si="9"/>
        <v>-21.768458348990738</v>
      </c>
      <c r="E108" s="108">
        <v>0</v>
      </c>
      <c r="F108" s="83">
        <f t="shared" si="7"/>
        <v>0</v>
      </c>
    </row>
    <row r="109" spans="1:6" x14ac:dyDescent="0.25">
      <c r="A109" s="80" t="s">
        <v>151</v>
      </c>
      <c r="B109" s="81">
        <v>96670.13133061002</v>
      </c>
      <c r="C109" s="82">
        <f t="shared" si="8"/>
        <v>1.4028205287309228E-4</v>
      </c>
      <c r="D109" s="83">
        <f t="shared" si="9"/>
        <v>-333.95236886452028</v>
      </c>
      <c r="E109" s="108">
        <v>0</v>
      </c>
      <c r="F109" s="83">
        <f t="shared" si="7"/>
        <v>0</v>
      </c>
    </row>
    <row r="110" spans="1:6" x14ac:dyDescent="0.25">
      <c r="A110" s="80" t="s">
        <v>294</v>
      </c>
      <c r="B110" s="81">
        <v>158153.19170752182</v>
      </c>
      <c r="C110" s="82">
        <f t="shared" si="8"/>
        <v>2.2950268191202712E-4</v>
      </c>
      <c r="D110" s="83">
        <f t="shared" si="9"/>
        <v>-546.34903550076967</v>
      </c>
      <c r="E110" s="108">
        <v>0</v>
      </c>
      <c r="F110" s="83">
        <f t="shared" si="7"/>
        <v>0</v>
      </c>
    </row>
    <row r="111" spans="1:6" x14ac:dyDescent="0.25">
      <c r="A111" s="80" t="s">
        <v>152</v>
      </c>
      <c r="B111" s="81">
        <v>764621.58621098334</v>
      </c>
      <c r="C111" s="82">
        <f t="shared" si="8"/>
        <v>1.109574222237482E-3</v>
      </c>
      <c r="D111" s="83">
        <f t="shared" si="9"/>
        <v>-2641.4279828256604</v>
      </c>
      <c r="E111" s="108">
        <v>0</v>
      </c>
      <c r="F111" s="83">
        <f t="shared" si="7"/>
        <v>0</v>
      </c>
    </row>
    <row r="112" spans="1:6" x14ac:dyDescent="0.25">
      <c r="A112" s="80" t="s">
        <v>153</v>
      </c>
      <c r="B112" s="81">
        <v>2502798.1590100266</v>
      </c>
      <c r="C112" s="82">
        <f t="shared" si="8"/>
        <v>3.6319146238891018E-3</v>
      </c>
      <c r="D112" s="83">
        <f t="shared" si="9"/>
        <v>-8646.0560515086709</v>
      </c>
      <c r="E112" s="108">
        <v>0.48488009101542923</v>
      </c>
      <c r="F112" s="83">
        <f t="shared" si="7"/>
        <v>-4192.3004451800271</v>
      </c>
    </row>
    <row r="113" spans="1:6" x14ac:dyDescent="0.25">
      <c r="A113" s="80" t="s">
        <v>154</v>
      </c>
      <c r="B113" s="81">
        <v>1255484.2638996919</v>
      </c>
      <c r="C113" s="82">
        <f t="shared" si="8"/>
        <v>1.8218854931248446E-3</v>
      </c>
      <c r="D113" s="83">
        <f t="shared" si="9"/>
        <v>-4337.1405234521562</v>
      </c>
      <c r="E113" s="108">
        <v>1</v>
      </c>
      <c r="F113" s="83">
        <f t="shared" si="7"/>
        <v>-4337.1405234521562</v>
      </c>
    </row>
    <row r="114" spans="1:6" x14ac:dyDescent="0.25">
      <c r="A114" s="80" t="s">
        <v>155</v>
      </c>
      <c r="B114" s="81">
        <v>156565.90075285922</v>
      </c>
      <c r="C114" s="82">
        <f t="shared" si="8"/>
        <v>2.2719929791366014E-4</v>
      </c>
      <c r="D114" s="83">
        <f t="shared" si="9"/>
        <v>-540.86565022870525</v>
      </c>
      <c r="E114" s="108">
        <v>0</v>
      </c>
      <c r="F114" s="83">
        <f t="shared" si="7"/>
        <v>0</v>
      </c>
    </row>
    <row r="115" spans="1:6" x14ac:dyDescent="0.25">
      <c r="A115" s="80" t="s">
        <v>156</v>
      </c>
      <c r="B115" s="81">
        <v>446686.4480408224</v>
      </c>
      <c r="C115" s="82">
        <f t="shared" si="8"/>
        <v>6.482053045676877E-4</v>
      </c>
      <c r="D115" s="83">
        <f t="shared" si="9"/>
        <v>-1543.1032875371368</v>
      </c>
      <c r="E115" s="108">
        <v>0</v>
      </c>
      <c r="F115" s="83">
        <f t="shared" si="7"/>
        <v>0</v>
      </c>
    </row>
    <row r="116" spans="1:6" x14ac:dyDescent="0.25">
      <c r="A116" s="80" t="s">
        <v>157</v>
      </c>
      <c r="B116" s="81">
        <v>207742.69586105214</v>
      </c>
      <c r="C116" s="82">
        <f t="shared" si="8"/>
        <v>3.0146407627307139E-4</v>
      </c>
      <c r="D116" s="83">
        <f t="shared" si="9"/>
        <v>-717.65874776599571</v>
      </c>
      <c r="E116" s="108">
        <v>0</v>
      </c>
      <c r="F116" s="83">
        <f t="shared" si="7"/>
        <v>0</v>
      </c>
    </row>
    <row r="117" spans="1:6" x14ac:dyDescent="0.25">
      <c r="A117" s="80" t="s">
        <v>295</v>
      </c>
      <c r="B117" s="81">
        <v>294837.10225882224</v>
      </c>
      <c r="C117" s="82">
        <f t="shared" si="8"/>
        <v>4.2785039596739339E-4</v>
      </c>
      <c r="D117" s="83">
        <f t="shared" si="9"/>
        <v>-1018.5312399312654</v>
      </c>
      <c r="E117" s="108">
        <v>0</v>
      </c>
      <c r="F117" s="83">
        <f t="shared" si="7"/>
        <v>0</v>
      </c>
    </row>
    <row r="118" spans="1:6" x14ac:dyDescent="0.25">
      <c r="A118" s="80" t="s">
        <v>158</v>
      </c>
      <c r="B118" s="81">
        <v>1944535.4043068837</v>
      </c>
      <c r="C118" s="82">
        <f t="shared" si="8"/>
        <v>2.8217962947382786E-3</v>
      </c>
      <c r="D118" s="83">
        <f t="shared" si="9"/>
        <v>-6717.506179735462</v>
      </c>
      <c r="E118" s="108">
        <v>0</v>
      </c>
      <c r="F118" s="83">
        <f t="shared" si="7"/>
        <v>0</v>
      </c>
    </row>
    <row r="119" spans="1:6" x14ac:dyDescent="0.25">
      <c r="A119" s="80" t="s">
        <v>159</v>
      </c>
      <c r="B119" s="81">
        <v>1584435.4270468885</v>
      </c>
      <c r="C119" s="82">
        <f t="shared" si="8"/>
        <v>2.2992402233409648E-3</v>
      </c>
      <c r="D119" s="83">
        <f t="shared" si="9"/>
        <v>-5473.520692400587</v>
      </c>
      <c r="E119" s="108">
        <v>0.48488009101542923</v>
      </c>
      <c r="F119" s="83">
        <f t="shared" si="7"/>
        <v>-2654.0012115060317</v>
      </c>
    </row>
    <row r="120" spans="1:6" x14ac:dyDescent="0.25">
      <c r="A120" s="80" t="s">
        <v>160</v>
      </c>
      <c r="B120" s="81">
        <v>2151857.42589649</v>
      </c>
      <c r="C120" s="82">
        <f t="shared" si="8"/>
        <v>3.1226499130593741E-3</v>
      </c>
      <c r="D120" s="83">
        <f t="shared" si="9"/>
        <v>-7433.711684731059</v>
      </c>
      <c r="E120" s="108">
        <v>1</v>
      </c>
      <c r="F120" s="83">
        <f t="shared" si="7"/>
        <v>-7433.711684731059</v>
      </c>
    </row>
    <row r="121" spans="1:6" x14ac:dyDescent="0.25">
      <c r="A121" s="80" t="s">
        <v>161</v>
      </c>
      <c r="B121" s="81">
        <v>324811.89109059464</v>
      </c>
      <c r="C121" s="82">
        <f t="shared" si="8"/>
        <v>4.7134806017742436E-4</v>
      </c>
      <c r="D121" s="83">
        <f t="shared" si="9"/>
        <v>-1122.0808224010525</v>
      </c>
      <c r="E121" s="108">
        <v>0</v>
      </c>
      <c r="F121" s="83">
        <f t="shared" si="7"/>
        <v>0</v>
      </c>
    </row>
    <row r="122" spans="1:6" x14ac:dyDescent="0.25">
      <c r="A122" s="80" t="s">
        <v>162</v>
      </c>
      <c r="B122" s="81">
        <v>706216.96510776656</v>
      </c>
      <c r="C122" s="82">
        <f t="shared" si="8"/>
        <v>1.0248208446133836E-3</v>
      </c>
      <c r="D122" s="83">
        <f t="shared" si="9"/>
        <v>-2439.6659566280396</v>
      </c>
      <c r="E122" s="108">
        <v>0</v>
      </c>
      <c r="F122" s="83">
        <f t="shared" si="7"/>
        <v>0</v>
      </c>
    </row>
    <row r="123" spans="1:6" x14ac:dyDescent="0.25">
      <c r="A123" s="80" t="s">
        <v>272</v>
      </c>
      <c r="B123" s="81">
        <v>28985.129323353987</v>
      </c>
      <c r="C123" s="82">
        <f t="shared" si="8"/>
        <v>4.206152808840405E-5</v>
      </c>
      <c r="D123" s="83">
        <f t="shared" si="9"/>
        <v>-100.13074841363674</v>
      </c>
      <c r="E123" s="108">
        <v>0</v>
      </c>
      <c r="F123" s="83">
        <f t="shared" si="7"/>
        <v>0</v>
      </c>
    </row>
    <row r="124" spans="1:6" x14ac:dyDescent="0.25">
      <c r="A124" s="80" t="s">
        <v>163</v>
      </c>
      <c r="B124" s="81">
        <v>3910816.3537368006</v>
      </c>
      <c r="C124" s="82">
        <f t="shared" si="8"/>
        <v>5.6751484554789615E-3</v>
      </c>
      <c r="D124" s="83">
        <f t="shared" si="9"/>
        <v>-13510.133559847196</v>
      </c>
      <c r="E124" s="108">
        <v>0</v>
      </c>
      <c r="F124" s="83">
        <f t="shared" si="7"/>
        <v>0</v>
      </c>
    </row>
    <row r="125" spans="1:6" x14ac:dyDescent="0.25">
      <c r="A125" s="80" t="s">
        <v>296</v>
      </c>
      <c r="B125" s="81">
        <v>3616984.4061082136</v>
      </c>
      <c r="C125" s="82">
        <f t="shared" si="8"/>
        <v>5.2487566812496732E-3</v>
      </c>
      <c r="D125" s="83">
        <f t="shared" si="9"/>
        <v>-12495.074682735985</v>
      </c>
      <c r="E125" s="108">
        <v>0</v>
      </c>
      <c r="F125" s="83">
        <f t="shared" si="7"/>
        <v>0</v>
      </c>
    </row>
    <row r="126" spans="1:6" x14ac:dyDescent="0.25">
      <c r="A126" s="80" t="s">
        <v>164</v>
      </c>
      <c r="B126" s="81">
        <v>20649317.335210305</v>
      </c>
      <c r="C126" s="82">
        <f t="shared" si="8"/>
        <v>2.9965084213080004E-2</v>
      </c>
      <c r="D126" s="83">
        <f t="shared" si="9"/>
        <v>-71334.220245805569</v>
      </c>
      <c r="E126" s="108">
        <v>0</v>
      </c>
      <c r="F126" s="83">
        <f t="shared" si="7"/>
        <v>0</v>
      </c>
    </row>
    <row r="127" spans="1:6" x14ac:dyDescent="0.25">
      <c r="A127" s="80" t="s">
        <v>165</v>
      </c>
      <c r="B127" s="81">
        <v>1123557.1477135264</v>
      </c>
      <c r="C127" s="82">
        <f t="shared" si="8"/>
        <v>1.6304405614434275E-3</v>
      </c>
      <c r="D127" s="83">
        <f t="shared" si="9"/>
        <v>-3881.3909308798716</v>
      </c>
      <c r="E127" s="108">
        <v>0.48488009101542923</v>
      </c>
      <c r="F127" s="83">
        <f t="shared" si="7"/>
        <v>-1882.0091878314936</v>
      </c>
    </row>
    <row r="128" spans="1:6" x14ac:dyDescent="0.25">
      <c r="A128" s="80" t="s">
        <v>166</v>
      </c>
      <c r="B128" s="81">
        <v>24606278.188336052</v>
      </c>
      <c r="C128" s="82">
        <f t="shared" si="8"/>
        <v>3.5707194873057728E-2</v>
      </c>
      <c r="D128" s="83">
        <f t="shared" si="9"/>
        <v>-85003.762556514019</v>
      </c>
      <c r="E128" s="108">
        <v>1</v>
      </c>
      <c r="F128" s="83">
        <f t="shared" si="7"/>
        <v>-85003.762556514019</v>
      </c>
    </row>
    <row r="129" spans="1:6" x14ac:dyDescent="0.25">
      <c r="A129" s="80" t="s">
        <v>167</v>
      </c>
      <c r="B129" s="81">
        <v>3616018.9159698277</v>
      </c>
      <c r="C129" s="82">
        <f t="shared" si="8"/>
        <v>5.2473556183073016E-3</v>
      </c>
      <c r="D129" s="83">
        <f t="shared" si="9"/>
        <v>-12491.739343118759</v>
      </c>
      <c r="E129" s="108">
        <v>0</v>
      </c>
      <c r="F129" s="83">
        <f t="shared" si="7"/>
        <v>0</v>
      </c>
    </row>
    <row r="130" spans="1:6" x14ac:dyDescent="0.25">
      <c r="A130" s="80" t="s">
        <v>168</v>
      </c>
      <c r="B130" s="81">
        <v>3490774.9663782148</v>
      </c>
      <c r="C130" s="82">
        <f t="shared" si="8"/>
        <v>5.0656089079551842E-3</v>
      </c>
      <c r="D130" s="83">
        <f t="shared" si="9"/>
        <v>-12059.077122882136</v>
      </c>
      <c r="E130" s="108">
        <v>0</v>
      </c>
      <c r="F130" s="83">
        <f t="shared" si="7"/>
        <v>0</v>
      </c>
    </row>
    <row r="131" spans="1:6" x14ac:dyDescent="0.25">
      <c r="A131" s="80" t="s">
        <v>169</v>
      </c>
      <c r="B131" s="81">
        <v>652784.63545819512</v>
      </c>
      <c r="C131" s="82">
        <f t="shared" si="8"/>
        <v>9.4728296616157026E-4</v>
      </c>
      <c r="D131" s="83">
        <f t="shared" si="9"/>
        <v>-2255.0809890189785</v>
      </c>
      <c r="E131" s="108">
        <v>0</v>
      </c>
      <c r="F131" s="83">
        <f t="shared" si="7"/>
        <v>0</v>
      </c>
    </row>
    <row r="132" spans="1:6" x14ac:dyDescent="0.25">
      <c r="A132" s="80" t="s">
        <v>170</v>
      </c>
      <c r="B132" s="81">
        <v>431457.25144544902</v>
      </c>
      <c r="C132" s="82">
        <f t="shared" si="8"/>
        <v>6.2610558325148819E-4</v>
      </c>
      <c r="D132" s="83">
        <f t="shared" si="9"/>
        <v>-1490.4931771656613</v>
      </c>
      <c r="E132" s="108">
        <v>0</v>
      </c>
      <c r="F132" s="83">
        <f t="shared" si="7"/>
        <v>0</v>
      </c>
    </row>
    <row r="133" spans="1:6" x14ac:dyDescent="0.25">
      <c r="A133" s="80" t="s">
        <v>297</v>
      </c>
      <c r="B133" s="81">
        <v>418691.79037173255</v>
      </c>
      <c r="C133" s="82">
        <f t="shared" si="8"/>
        <v>6.075810911395647E-4</v>
      </c>
      <c r="D133" s="83">
        <f t="shared" si="9"/>
        <v>-1446.3941787828426</v>
      </c>
      <c r="E133" s="108">
        <v>0</v>
      </c>
      <c r="F133" s="83">
        <f t="shared" si="7"/>
        <v>0</v>
      </c>
    </row>
    <row r="134" spans="1:6" x14ac:dyDescent="0.25">
      <c r="A134" s="80" t="s">
        <v>171</v>
      </c>
      <c r="B134" s="81">
        <v>3545208.7149279332</v>
      </c>
      <c r="C134" s="82">
        <f t="shared" si="8"/>
        <v>5.1445999870716177E-3</v>
      </c>
      <c r="D134" s="83">
        <f t="shared" si="9"/>
        <v>-12247.121548022978</v>
      </c>
      <c r="E134" s="108">
        <v>0</v>
      </c>
      <c r="F134" s="83">
        <f t="shared" si="7"/>
        <v>0</v>
      </c>
    </row>
    <row r="135" spans="1:6" x14ac:dyDescent="0.25">
      <c r="A135" s="80" t="s">
        <v>298</v>
      </c>
      <c r="B135" s="81">
        <v>6742.0195339594857</v>
      </c>
      <c r="C135" s="82">
        <f t="shared" si="8"/>
        <v>9.7836252802818799E-6</v>
      </c>
      <c r="D135" s="83">
        <f t="shared" si="9"/>
        <v>-23.290683102482877</v>
      </c>
      <c r="E135" s="108">
        <v>0.48488009101542923</v>
      </c>
      <c r="F135" s="83">
        <f t="shared" si="7"/>
        <v>-11.293188542543417</v>
      </c>
    </row>
    <row r="136" spans="1:6" x14ac:dyDescent="0.25">
      <c r="A136" s="80" t="s">
        <v>172</v>
      </c>
      <c r="B136" s="81">
        <v>6941877.5084574046</v>
      </c>
      <c r="C136" s="82">
        <f t="shared" si="8"/>
        <v>1.0073647509068783E-2</v>
      </c>
      <c r="D136" s="83">
        <f t="shared" si="9"/>
        <v>-23981.103639843946</v>
      </c>
      <c r="E136" s="108">
        <v>1</v>
      </c>
      <c r="F136" s="83">
        <f t="shared" si="7"/>
        <v>-23981.103639843946</v>
      </c>
    </row>
    <row r="137" spans="1:6" x14ac:dyDescent="0.25">
      <c r="A137" s="80" t="s">
        <v>173</v>
      </c>
      <c r="B137" s="81">
        <v>696767.32582321705</v>
      </c>
      <c r="C137" s="82">
        <f t="shared" ref="C137:C168" si="10">B137/$B$212</f>
        <v>1.0111080795689952E-3</v>
      </c>
      <c r="D137" s="83">
        <f t="shared" ref="D137:D168" si="11">$D$212*C137</f>
        <v>-2407.0216498441996</v>
      </c>
      <c r="E137" s="108">
        <v>0</v>
      </c>
      <c r="F137" s="83">
        <f t="shared" si="7"/>
        <v>0</v>
      </c>
    </row>
    <row r="138" spans="1:6" x14ac:dyDescent="0.25">
      <c r="A138" s="80" t="s">
        <v>174</v>
      </c>
      <c r="B138" s="81">
        <v>657906.93254579732</v>
      </c>
      <c r="C138" s="82">
        <f t="shared" si="10"/>
        <v>9.5471614475545479E-4</v>
      </c>
      <c r="D138" s="83">
        <f t="shared" si="11"/>
        <v>-2272.7762504496509</v>
      </c>
      <c r="E138" s="108">
        <v>0</v>
      </c>
      <c r="F138" s="83">
        <f t="shared" ref="F138:F201" si="12">D138*E138</f>
        <v>0</v>
      </c>
    </row>
    <row r="139" spans="1:6" x14ac:dyDescent="0.25">
      <c r="A139" s="80" t="s">
        <v>175</v>
      </c>
      <c r="B139" s="81">
        <v>119335.31851502207</v>
      </c>
      <c r="C139" s="82">
        <f t="shared" si="10"/>
        <v>1.7317244976423055E-4</v>
      </c>
      <c r="D139" s="83">
        <f t="shared" si="11"/>
        <v>-412.25052411483244</v>
      </c>
      <c r="E139" s="108">
        <v>0</v>
      </c>
      <c r="F139" s="83">
        <f t="shared" si="12"/>
        <v>0</v>
      </c>
    </row>
    <row r="140" spans="1:6" x14ac:dyDescent="0.25">
      <c r="A140" s="80" t="s">
        <v>176</v>
      </c>
      <c r="B140" s="81">
        <v>834931.63768115302</v>
      </c>
      <c r="C140" s="82">
        <f t="shared" si="10"/>
        <v>1.2116040656036412E-3</v>
      </c>
      <c r="D140" s="83">
        <f t="shared" si="11"/>
        <v>-2884.3179832865849</v>
      </c>
      <c r="E140" s="108">
        <v>0.48488009101542923</v>
      </c>
      <c r="F140" s="83">
        <f t="shared" si="12"/>
        <v>-1398.5483662534386</v>
      </c>
    </row>
    <row r="141" spans="1:6" x14ac:dyDescent="0.25">
      <c r="A141" s="80" t="s">
        <v>177</v>
      </c>
      <c r="B141" s="81">
        <v>54110.81589572291</v>
      </c>
      <c r="C141" s="82">
        <f t="shared" si="10"/>
        <v>7.8522458095455074E-5</v>
      </c>
      <c r="D141" s="83">
        <f t="shared" si="11"/>
        <v>-186.92883624796224</v>
      </c>
      <c r="E141" s="108">
        <v>0</v>
      </c>
      <c r="F141" s="83">
        <f t="shared" si="12"/>
        <v>0</v>
      </c>
    </row>
    <row r="142" spans="1:6" x14ac:dyDescent="0.25">
      <c r="A142" s="80" t="s">
        <v>299</v>
      </c>
      <c r="B142" s="81">
        <v>68383.690149913557</v>
      </c>
      <c r="C142" s="82">
        <f t="shared" si="10"/>
        <v>9.9234420241547418E-5</v>
      </c>
      <c r="D142" s="83">
        <f t="shared" si="11"/>
        <v>-236.23527766978248</v>
      </c>
      <c r="E142" s="108">
        <v>0</v>
      </c>
      <c r="F142" s="83">
        <f t="shared" si="12"/>
        <v>0</v>
      </c>
    </row>
    <row r="143" spans="1:6" x14ac:dyDescent="0.25">
      <c r="A143" s="80" t="s">
        <v>178</v>
      </c>
      <c r="B143" s="81">
        <v>610764.82929010794</v>
      </c>
      <c r="C143" s="82">
        <f t="shared" si="10"/>
        <v>8.8630627574590095E-4</v>
      </c>
      <c r="D143" s="83">
        <f t="shared" si="11"/>
        <v>-2109.9212213026253</v>
      </c>
      <c r="E143" s="108">
        <v>0</v>
      </c>
      <c r="F143" s="83">
        <f t="shared" si="12"/>
        <v>0</v>
      </c>
    </row>
    <row r="144" spans="1:6" x14ac:dyDescent="0.25">
      <c r="A144" s="80" t="s">
        <v>179</v>
      </c>
      <c r="B144" s="81">
        <v>189135.03651774841</v>
      </c>
      <c r="C144" s="82">
        <f t="shared" si="10"/>
        <v>2.7446172698573489E-4</v>
      </c>
      <c r="D144" s="83">
        <f t="shared" si="11"/>
        <v>-653.37754910424678</v>
      </c>
      <c r="E144" s="108">
        <v>1</v>
      </c>
      <c r="F144" s="83">
        <f t="shared" si="12"/>
        <v>-653.37754910424678</v>
      </c>
    </row>
    <row r="145" spans="1:6" x14ac:dyDescent="0.25">
      <c r="A145" s="80" t="s">
        <v>180</v>
      </c>
      <c r="B145" s="81">
        <v>61565.371835039194</v>
      </c>
      <c r="C145" s="82">
        <f t="shared" si="10"/>
        <v>8.934007462323425E-5</v>
      </c>
      <c r="D145" s="83">
        <f t="shared" si="11"/>
        <v>-212.68101616642974</v>
      </c>
      <c r="E145" s="108">
        <v>0</v>
      </c>
      <c r="F145" s="83">
        <f t="shared" si="12"/>
        <v>0</v>
      </c>
    </row>
    <row r="146" spans="1:6" x14ac:dyDescent="0.25">
      <c r="A146" s="80" t="s">
        <v>181</v>
      </c>
      <c r="B146" s="81">
        <v>231328.51493159067</v>
      </c>
      <c r="C146" s="82">
        <f t="shared" si="10"/>
        <v>3.3569044042885076E-4</v>
      </c>
      <c r="D146" s="83">
        <f t="shared" si="11"/>
        <v>-799.13727729523271</v>
      </c>
      <c r="E146" s="108">
        <v>0</v>
      </c>
      <c r="F146" s="83">
        <f t="shared" si="12"/>
        <v>0</v>
      </c>
    </row>
    <row r="147" spans="1:6" x14ac:dyDescent="0.25">
      <c r="A147" s="80" t="s">
        <v>182</v>
      </c>
      <c r="B147" s="81">
        <v>44417.792869354162</v>
      </c>
      <c r="C147" s="82">
        <f t="shared" si="10"/>
        <v>6.4456508768927128E-5</v>
      </c>
      <c r="D147" s="83">
        <f t="shared" si="11"/>
        <v>-153.44374673211502</v>
      </c>
      <c r="E147" s="108">
        <v>0</v>
      </c>
      <c r="F147" s="83">
        <f t="shared" si="12"/>
        <v>0</v>
      </c>
    </row>
    <row r="148" spans="1:6" x14ac:dyDescent="0.25">
      <c r="A148" s="80" t="s">
        <v>183</v>
      </c>
      <c r="B148" s="81">
        <v>13119.341683812896</v>
      </c>
      <c r="C148" s="82">
        <f t="shared" si="10"/>
        <v>1.9038023000658218E-5</v>
      </c>
      <c r="D148" s="83">
        <f t="shared" si="11"/>
        <v>-45.321498718860937</v>
      </c>
      <c r="E148" s="108">
        <v>0</v>
      </c>
      <c r="F148" s="83">
        <f t="shared" si="12"/>
        <v>0</v>
      </c>
    </row>
    <row r="149" spans="1:6" x14ac:dyDescent="0.25">
      <c r="A149" s="80" t="s">
        <v>300</v>
      </c>
      <c r="B149" s="81">
        <v>32733.92114416523</v>
      </c>
      <c r="C149" s="82">
        <f t="shared" si="10"/>
        <v>4.7501555997528648E-5</v>
      </c>
      <c r="D149" s="83">
        <f t="shared" si="11"/>
        <v>-113.08115917348475</v>
      </c>
      <c r="E149" s="108">
        <v>0</v>
      </c>
      <c r="F149" s="83">
        <f t="shared" si="12"/>
        <v>0</v>
      </c>
    </row>
    <row r="150" spans="1:6" x14ac:dyDescent="0.25">
      <c r="A150" s="80" t="s">
        <v>184</v>
      </c>
      <c r="B150" s="81">
        <v>184301.14502911473</v>
      </c>
      <c r="C150" s="82">
        <f t="shared" si="10"/>
        <v>2.6744706576558837E-4</v>
      </c>
      <c r="D150" s="83">
        <f t="shared" si="11"/>
        <v>-636.67860092611284</v>
      </c>
      <c r="E150" s="108">
        <v>0</v>
      </c>
      <c r="F150" s="83">
        <f t="shared" si="12"/>
        <v>0</v>
      </c>
    </row>
    <row r="151" spans="1:6" x14ac:dyDescent="0.25">
      <c r="A151" s="80" t="s">
        <v>185</v>
      </c>
      <c r="B151" s="81">
        <v>-110199.69992610118</v>
      </c>
      <c r="C151" s="82">
        <f t="shared" si="10"/>
        <v>-1.5991537322694436E-4</v>
      </c>
      <c r="D151" s="83">
        <f t="shared" si="11"/>
        <v>380.69101936585275</v>
      </c>
      <c r="E151" s="108">
        <v>0.48488009101542923</v>
      </c>
      <c r="F151" s="83">
        <f t="shared" si="12"/>
        <v>184.58949611887121</v>
      </c>
    </row>
    <row r="152" spans="1:6" x14ac:dyDescent="0.25">
      <c r="A152" s="80" t="s">
        <v>186</v>
      </c>
      <c r="B152" s="81">
        <v>178591.5043136038</v>
      </c>
      <c r="C152" s="82">
        <f t="shared" si="10"/>
        <v>2.5916156837653035E-4</v>
      </c>
      <c r="D152" s="83">
        <f t="shared" si="11"/>
        <v>-616.95432812266392</v>
      </c>
      <c r="E152" s="108">
        <v>1</v>
      </c>
      <c r="F152" s="83">
        <f t="shared" si="12"/>
        <v>-616.95432812266392</v>
      </c>
    </row>
    <row r="153" spans="1:6" x14ac:dyDescent="0.25">
      <c r="A153" s="80" t="s">
        <v>187</v>
      </c>
      <c r="B153" s="81">
        <v>12706.747650093046</v>
      </c>
      <c r="C153" s="82">
        <f t="shared" si="10"/>
        <v>1.8439290618103947E-5</v>
      </c>
      <c r="D153" s="83">
        <f t="shared" si="11"/>
        <v>-43.896169581064662</v>
      </c>
      <c r="E153" s="108">
        <v>0</v>
      </c>
      <c r="F153" s="83">
        <f t="shared" si="12"/>
        <v>0</v>
      </c>
    </row>
    <row r="154" spans="1:6" x14ac:dyDescent="0.25">
      <c r="A154" s="80" t="s">
        <v>188</v>
      </c>
      <c r="B154" s="81">
        <v>29319.366600073972</v>
      </c>
      <c r="C154" s="82">
        <f t="shared" si="10"/>
        <v>4.254655371813695E-5</v>
      </c>
      <c r="D154" s="83">
        <f t="shared" si="11"/>
        <v>-101.28538975721503</v>
      </c>
      <c r="E154" s="108">
        <v>0</v>
      </c>
      <c r="F154" s="83">
        <f t="shared" si="12"/>
        <v>0</v>
      </c>
    </row>
    <row r="155" spans="1:6" x14ac:dyDescent="0.25">
      <c r="A155" s="80" t="s">
        <v>189</v>
      </c>
      <c r="B155" s="81">
        <v>15049.052075112884</v>
      </c>
      <c r="C155" s="82">
        <f t="shared" si="10"/>
        <v>2.1838306101715555E-5</v>
      </c>
      <c r="D155" s="83">
        <f t="shared" si="11"/>
        <v>-51.987791063009816</v>
      </c>
      <c r="E155" s="108">
        <v>0</v>
      </c>
      <c r="F155" s="83">
        <f t="shared" si="12"/>
        <v>0</v>
      </c>
    </row>
    <row r="156" spans="1:6" x14ac:dyDescent="0.25">
      <c r="A156" s="80" t="s">
        <v>190</v>
      </c>
      <c r="B156" s="81">
        <v>6510.9332297219007</v>
      </c>
      <c r="C156" s="82">
        <f t="shared" si="10"/>
        <v>9.4482863218766406E-6</v>
      </c>
      <c r="D156" s="83">
        <f t="shared" si="11"/>
        <v>-22.49238255556045</v>
      </c>
      <c r="E156" s="108">
        <v>0</v>
      </c>
      <c r="F156" s="83">
        <f t="shared" si="12"/>
        <v>0</v>
      </c>
    </row>
    <row r="157" spans="1:6" x14ac:dyDescent="0.25">
      <c r="A157" s="80" t="s">
        <v>191</v>
      </c>
      <c r="B157" s="81">
        <v>43856.892786538345</v>
      </c>
      <c r="C157" s="82">
        <f t="shared" si="10"/>
        <v>6.3642563303134889E-5</v>
      </c>
      <c r="D157" s="83">
        <f t="shared" si="11"/>
        <v>-151.50608606305025</v>
      </c>
      <c r="E157" s="108">
        <v>0</v>
      </c>
      <c r="F157" s="83">
        <f t="shared" si="12"/>
        <v>0</v>
      </c>
    </row>
    <row r="158" spans="1:6" x14ac:dyDescent="0.25">
      <c r="A158" s="80" t="s">
        <v>192</v>
      </c>
      <c r="B158" s="81">
        <v>1416516.4405391794</v>
      </c>
      <c r="C158" s="82">
        <f t="shared" si="10"/>
        <v>2.0555659899512387E-3</v>
      </c>
      <c r="D158" s="83">
        <f t="shared" si="11"/>
        <v>-4893.4351732261403</v>
      </c>
      <c r="E158" s="108">
        <v>0.48488009101542923</v>
      </c>
      <c r="F158" s="83">
        <f t="shared" si="12"/>
        <v>-2372.7292921719936</v>
      </c>
    </row>
    <row r="159" spans="1:6" x14ac:dyDescent="0.25">
      <c r="A159" s="80" t="s">
        <v>193</v>
      </c>
      <c r="B159" s="81">
        <v>13077.345450096307</v>
      </c>
      <c r="C159" s="82">
        <f t="shared" si="10"/>
        <v>1.8977080517208465E-5</v>
      </c>
      <c r="D159" s="83">
        <f t="shared" si="11"/>
        <v>-45.176420383495092</v>
      </c>
      <c r="E159" s="108">
        <v>0</v>
      </c>
      <c r="F159" s="83">
        <f t="shared" si="12"/>
        <v>0</v>
      </c>
    </row>
    <row r="160" spans="1:6" x14ac:dyDescent="0.25">
      <c r="A160" s="80" t="s">
        <v>194</v>
      </c>
      <c r="B160" s="81">
        <v>1710538.1273414169</v>
      </c>
      <c r="C160" s="82">
        <f t="shared" si="10"/>
        <v>2.4822331025960622E-3</v>
      </c>
      <c r="D160" s="83">
        <f t="shared" si="11"/>
        <v>-5909.1495149119282</v>
      </c>
      <c r="E160" s="108">
        <v>0.47809395618940054</v>
      </c>
      <c r="F160" s="83">
        <f t="shared" si="12"/>
        <v>-2825.1286692989211</v>
      </c>
    </row>
    <row r="161" spans="1:6" x14ac:dyDescent="0.25">
      <c r="A161" s="80" t="s">
        <v>195</v>
      </c>
      <c r="B161" s="81">
        <v>290051.3653205735</v>
      </c>
      <c r="C161" s="82">
        <f t="shared" si="10"/>
        <v>4.2090561382044354E-4</v>
      </c>
      <c r="D161" s="83">
        <f t="shared" si="11"/>
        <v>-1001.9986443374438</v>
      </c>
      <c r="E161" s="108">
        <v>0</v>
      </c>
      <c r="F161" s="83">
        <f t="shared" si="12"/>
        <v>0</v>
      </c>
    </row>
    <row r="162" spans="1:6" x14ac:dyDescent="0.25">
      <c r="A162" s="80" t="s">
        <v>196</v>
      </c>
      <c r="B162" s="81">
        <v>448129.31478997756</v>
      </c>
      <c r="C162" s="82">
        <f t="shared" si="10"/>
        <v>6.5029910858768617E-4</v>
      </c>
      <c r="D162" s="83">
        <f t="shared" si="11"/>
        <v>-1548.0877513234568</v>
      </c>
      <c r="E162" s="108">
        <v>0.47809395618940054</v>
      </c>
      <c r="F162" s="83">
        <f t="shared" si="12"/>
        <v>-740.13139755858435</v>
      </c>
    </row>
    <row r="163" spans="1:6" x14ac:dyDescent="0.25">
      <c r="A163" s="80" t="s">
        <v>301</v>
      </c>
      <c r="B163" s="81">
        <v>1674872.188194585</v>
      </c>
      <c r="C163" s="82">
        <f t="shared" si="10"/>
        <v>2.4304767731870001E-3</v>
      </c>
      <c r="D163" s="83">
        <f t="shared" si="11"/>
        <v>-5785.9395357599624</v>
      </c>
      <c r="E163" s="108">
        <v>0</v>
      </c>
      <c r="F163" s="83">
        <f t="shared" si="12"/>
        <v>0</v>
      </c>
    </row>
    <row r="164" spans="1:6" x14ac:dyDescent="0.25">
      <c r="A164" s="80" t="s">
        <v>197</v>
      </c>
      <c r="B164" s="81">
        <v>3103438.2925687726</v>
      </c>
      <c r="C164" s="82">
        <f t="shared" si="10"/>
        <v>4.5035285320716087E-3</v>
      </c>
      <c r="D164" s="83">
        <f t="shared" si="11"/>
        <v>-10721.000945821967</v>
      </c>
      <c r="E164" s="108">
        <v>0</v>
      </c>
      <c r="F164" s="83">
        <f t="shared" si="12"/>
        <v>0</v>
      </c>
    </row>
    <row r="165" spans="1:6" x14ac:dyDescent="0.25">
      <c r="A165" s="80" t="s">
        <v>198</v>
      </c>
      <c r="B165" s="81">
        <v>3563256.1327908109</v>
      </c>
      <c r="C165" s="82">
        <f t="shared" si="10"/>
        <v>5.1707893466185137E-3</v>
      </c>
      <c r="D165" s="83">
        <f t="shared" si="11"/>
        <v>-12309.467361194407</v>
      </c>
      <c r="E165" s="108">
        <v>1</v>
      </c>
      <c r="F165" s="83">
        <f t="shared" si="12"/>
        <v>-12309.467361194407</v>
      </c>
    </row>
    <row r="166" spans="1:6" x14ac:dyDescent="0.25">
      <c r="A166" s="80" t="s">
        <v>199</v>
      </c>
      <c r="B166" s="81">
        <v>469646.70484512782</v>
      </c>
      <c r="C166" s="82">
        <f t="shared" si="10"/>
        <v>6.8152388927081482E-4</v>
      </c>
      <c r="D166" s="83">
        <f t="shared" si="11"/>
        <v>-1622.4207772725379</v>
      </c>
      <c r="E166" s="108">
        <v>0</v>
      </c>
      <c r="F166" s="83">
        <f t="shared" si="12"/>
        <v>0</v>
      </c>
    </row>
    <row r="167" spans="1:6" x14ac:dyDescent="0.25">
      <c r="A167" s="80" t="s">
        <v>200</v>
      </c>
      <c r="B167" s="81">
        <v>813548.09748803196</v>
      </c>
      <c r="C167" s="82">
        <f t="shared" si="10"/>
        <v>1.1805735200287491E-3</v>
      </c>
      <c r="D167" s="83">
        <f t="shared" si="11"/>
        <v>-2810.4473491629997</v>
      </c>
      <c r="E167" s="108">
        <v>0</v>
      </c>
      <c r="F167" s="83">
        <f t="shared" si="12"/>
        <v>0</v>
      </c>
    </row>
    <row r="168" spans="1:6" x14ac:dyDescent="0.25">
      <c r="A168" s="80" t="s">
        <v>201</v>
      </c>
      <c r="B168" s="81">
        <v>166428.18544344982</v>
      </c>
      <c r="C168" s="82">
        <f t="shared" si="10"/>
        <v>2.4151086988911726E-4</v>
      </c>
      <c r="D168" s="83">
        <f t="shared" si="11"/>
        <v>-574.93546361889503</v>
      </c>
      <c r="E168" s="108">
        <v>0</v>
      </c>
      <c r="F168" s="83">
        <f t="shared" si="12"/>
        <v>0</v>
      </c>
    </row>
    <row r="169" spans="1:6" x14ac:dyDescent="0.25">
      <c r="A169" s="80" t="s">
        <v>202</v>
      </c>
      <c r="B169" s="81">
        <v>65149.989543019452</v>
      </c>
      <c r="C169" s="82">
        <f t="shared" ref="C169:C200" si="13">B169/$B$212</f>
        <v>9.4541862641096212E-5</v>
      </c>
      <c r="D169" s="83">
        <f t="shared" ref="D169:D200" si="14">$D$212*C169</f>
        <v>-225.06427828241553</v>
      </c>
      <c r="E169" s="108">
        <v>0</v>
      </c>
      <c r="F169" s="83">
        <f t="shared" si="12"/>
        <v>0</v>
      </c>
    </row>
    <row r="170" spans="1:6" x14ac:dyDescent="0.25">
      <c r="A170" s="80" t="s">
        <v>203</v>
      </c>
      <c r="B170" s="81">
        <v>25647061.491111942</v>
      </c>
      <c r="C170" s="82">
        <f t="shared" si="13"/>
        <v>3.72175188614478E-2</v>
      </c>
      <c r="D170" s="83">
        <f t="shared" si="14"/>
        <v>-88599.206616147683</v>
      </c>
      <c r="E170" s="108">
        <v>0.47809395618940054</v>
      </c>
      <c r="F170" s="83">
        <f t="shared" si="12"/>
        <v>-42358.745206356158</v>
      </c>
    </row>
    <row r="171" spans="1:6" x14ac:dyDescent="0.25">
      <c r="A171" s="80" t="s">
        <v>302</v>
      </c>
      <c r="B171" s="81">
        <v>164863.07665034125</v>
      </c>
      <c r="C171" s="82">
        <f t="shared" si="13"/>
        <v>2.3923967534903622E-4</v>
      </c>
      <c r="D171" s="83">
        <f t="shared" si="14"/>
        <v>-569.528707863058</v>
      </c>
      <c r="E171" s="108">
        <v>0</v>
      </c>
      <c r="F171" s="83">
        <f t="shared" si="12"/>
        <v>0</v>
      </c>
    </row>
    <row r="172" spans="1:6" x14ac:dyDescent="0.25">
      <c r="A172" s="80" t="s">
        <v>204</v>
      </c>
      <c r="B172" s="81">
        <v>704599.59083359304</v>
      </c>
      <c r="C172" s="82">
        <f t="shared" si="13"/>
        <v>1.0224738054574189E-3</v>
      </c>
      <c r="D172" s="83">
        <f t="shared" si="14"/>
        <v>-2434.0786468482115</v>
      </c>
      <c r="E172" s="108">
        <v>0</v>
      </c>
      <c r="F172" s="83">
        <f t="shared" si="12"/>
        <v>0</v>
      </c>
    </row>
    <row r="173" spans="1:6" x14ac:dyDescent="0.25">
      <c r="A173" s="80" t="s">
        <v>205</v>
      </c>
      <c r="B173" s="81">
        <v>2178593.5900174789</v>
      </c>
      <c r="C173" s="82">
        <f t="shared" si="13"/>
        <v>3.1614478740967628E-3</v>
      </c>
      <c r="D173" s="83">
        <f t="shared" si="14"/>
        <v>-7526.0732572215238</v>
      </c>
      <c r="E173" s="108">
        <v>1</v>
      </c>
      <c r="F173" s="83">
        <f t="shared" si="12"/>
        <v>-7526.0732572215238</v>
      </c>
    </row>
    <row r="174" spans="1:6" x14ac:dyDescent="0.25">
      <c r="A174" s="80" t="s">
        <v>206</v>
      </c>
      <c r="B174" s="81">
        <v>341198.30021283566</v>
      </c>
      <c r="C174" s="82">
        <f t="shared" si="13"/>
        <v>4.9512706077715213E-4</v>
      </c>
      <c r="D174" s="83">
        <f t="shared" si="14"/>
        <v>-1178.6885880907512</v>
      </c>
      <c r="E174" s="108">
        <v>0</v>
      </c>
      <c r="F174" s="83">
        <f t="shared" si="12"/>
        <v>0</v>
      </c>
    </row>
    <row r="175" spans="1:6" x14ac:dyDescent="0.25">
      <c r="A175" s="80" t="s">
        <v>207</v>
      </c>
      <c r="B175" s="81">
        <v>384524.04245821625</v>
      </c>
      <c r="C175" s="82">
        <f t="shared" si="13"/>
        <v>5.5799884941315188E-4</v>
      </c>
      <c r="D175" s="83">
        <f t="shared" si="14"/>
        <v>-1328.3597849382622</v>
      </c>
      <c r="E175" s="108">
        <v>0</v>
      </c>
      <c r="F175" s="83">
        <f t="shared" si="12"/>
        <v>0</v>
      </c>
    </row>
    <row r="176" spans="1:6" x14ac:dyDescent="0.25">
      <c r="A176" s="80" t="s">
        <v>208</v>
      </c>
      <c r="B176" s="81">
        <v>68624.142221020636</v>
      </c>
      <c r="C176" s="82">
        <f t="shared" si="13"/>
        <v>9.9583350254243142E-5</v>
      </c>
      <c r="D176" s="83">
        <f t="shared" si="14"/>
        <v>-237.06593278154563</v>
      </c>
      <c r="E176" s="108">
        <v>0</v>
      </c>
      <c r="F176" s="83">
        <f t="shared" si="12"/>
        <v>0</v>
      </c>
    </row>
    <row r="177" spans="1:6" x14ac:dyDescent="0.25">
      <c r="A177" s="80" t="s">
        <v>209</v>
      </c>
      <c r="B177" s="81">
        <v>-8675.5708107646569</v>
      </c>
      <c r="C177" s="82">
        <f t="shared" si="13"/>
        <v>-1.258948205022847E-5</v>
      </c>
      <c r="D177" s="83">
        <f t="shared" si="14"/>
        <v>29.97024400016879</v>
      </c>
      <c r="E177" s="108">
        <v>0.47809395618940054</v>
      </c>
      <c r="F177" s="83">
        <f t="shared" si="12"/>
        <v>14.328592522002342</v>
      </c>
    </row>
    <row r="178" spans="1:6" x14ac:dyDescent="0.25">
      <c r="A178" s="80" t="s">
        <v>210</v>
      </c>
      <c r="B178" s="81">
        <v>2592.3065610496037</v>
      </c>
      <c r="C178" s="82">
        <f t="shared" si="13"/>
        <v>3.7618039931769042E-6</v>
      </c>
      <c r="D178" s="83">
        <f t="shared" si="14"/>
        <v>-8.9552678264690879</v>
      </c>
      <c r="E178" s="108">
        <v>0</v>
      </c>
      <c r="F178" s="83">
        <f t="shared" si="12"/>
        <v>0</v>
      </c>
    </row>
    <row r="179" spans="1:6" x14ac:dyDescent="0.25">
      <c r="A179" s="80" t="s">
        <v>211</v>
      </c>
      <c r="B179" s="81">
        <v>2096129.0447771212</v>
      </c>
      <c r="C179" s="82">
        <f t="shared" si="13"/>
        <v>3.0417801387132241E-3</v>
      </c>
      <c r="D179" s="83">
        <f t="shared" si="14"/>
        <v>-7241.1948790576498</v>
      </c>
      <c r="E179" s="108">
        <v>0.47809395618940054</v>
      </c>
      <c r="F179" s="83">
        <f t="shared" si="12"/>
        <v>-3461.9715072670997</v>
      </c>
    </row>
    <row r="180" spans="1:6" x14ac:dyDescent="0.25">
      <c r="A180" s="80" t="s">
        <v>303</v>
      </c>
      <c r="B180" s="81">
        <v>-2.4006113307430135</v>
      </c>
      <c r="C180" s="82">
        <f t="shared" si="13"/>
        <v>-3.4836270623789041E-9</v>
      </c>
      <c r="D180" s="83">
        <f t="shared" si="14"/>
        <v>8.2930459449038468E-3</v>
      </c>
      <c r="E180" s="108">
        <v>0</v>
      </c>
      <c r="F180" s="83">
        <f t="shared" si="12"/>
        <v>0</v>
      </c>
    </row>
    <row r="181" spans="1:6" x14ac:dyDescent="0.25">
      <c r="A181" s="80" t="s">
        <v>212</v>
      </c>
      <c r="B181" s="81">
        <v>2053047.6966231144</v>
      </c>
      <c r="C181" s="82">
        <f t="shared" si="13"/>
        <v>2.9792630005196731E-3</v>
      </c>
      <c r="D181" s="83">
        <f t="shared" si="14"/>
        <v>-7092.3679552511221</v>
      </c>
      <c r="E181" s="108">
        <v>0</v>
      </c>
      <c r="F181" s="83">
        <f t="shared" si="12"/>
        <v>0</v>
      </c>
    </row>
    <row r="182" spans="1:6" x14ac:dyDescent="0.25">
      <c r="A182" s="80" t="s">
        <v>213</v>
      </c>
      <c r="B182" s="81">
        <v>55845.678680499499</v>
      </c>
      <c r="C182" s="82">
        <f t="shared" si="13"/>
        <v>8.1039989721322714E-5</v>
      </c>
      <c r="D182" s="83">
        <f t="shared" si="14"/>
        <v>-192.922016650807</v>
      </c>
      <c r="E182" s="108">
        <v>0</v>
      </c>
      <c r="F182" s="83">
        <f t="shared" si="12"/>
        <v>0</v>
      </c>
    </row>
    <row r="183" spans="1:6" x14ac:dyDescent="0.25">
      <c r="A183" s="80" t="s">
        <v>214</v>
      </c>
      <c r="B183" s="81">
        <v>2417346.8952890234</v>
      </c>
      <c r="C183" s="82">
        <f t="shared" si="13"/>
        <v>3.5079127369527321E-3</v>
      </c>
      <c r="D183" s="83">
        <f t="shared" si="14"/>
        <v>-8350.8598875094613</v>
      </c>
      <c r="E183" s="108">
        <v>1</v>
      </c>
      <c r="F183" s="83">
        <f t="shared" si="12"/>
        <v>-8350.8598875094613</v>
      </c>
    </row>
    <row r="184" spans="1:6" x14ac:dyDescent="0.25">
      <c r="A184" s="80" t="s">
        <v>273</v>
      </c>
      <c r="B184" s="81">
        <v>342844.63431699114</v>
      </c>
      <c r="C184" s="82">
        <f t="shared" si="13"/>
        <v>4.975161247482775E-4</v>
      </c>
      <c r="D184" s="83">
        <f t="shared" si="14"/>
        <v>-1184.375941221005</v>
      </c>
      <c r="E184" s="108">
        <v>0</v>
      </c>
      <c r="F184" s="83">
        <f t="shared" si="12"/>
        <v>0</v>
      </c>
    </row>
    <row r="185" spans="1:6" x14ac:dyDescent="0.25">
      <c r="A185" s="80" t="s">
        <v>215</v>
      </c>
      <c r="B185" s="81">
        <v>869577.52096414566</v>
      </c>
      <c r="C185" s="82">
        <f t="shared" si="13"/>
        <v>1.2618801494740353E-3</v>
      </c>
      <c r="D185" s="83">
        <f t="shared" si="14"/>
        <v>-3004.0041224746001</v>
      </c>
      <c r="E185" s="108">
        <v>0</v>
      </c>
      <c r="F185" s="83">
        <f t="shared" si="12"/>
        <v>0</v>
      </c>
    </row>
    <row r="186" spans="1:6" x14ac:dyDescent="0.25">
      <c r="A186" s="80" t="s">
        <v>216</v>
      </c>
      <c r="B186" s="81">
        <v>1459915.8079784981</v>
      </c>
      <c r="C186" s="82">
        <f t="shared" si="13"/>
        <v>2.1185446191718809E-3</v>
      </c>
      <c r="D186" s="83">
        <f t="shared" si="14"/>
        <v>-5043.3607124189575</v>
      </c>
      <c r="E186" s="108">
        <v>0.47809395618940054</v>
      </c>
      <c r="F186" s="83">
        <f t="shared" si="12"/>
        <v>-2411.2002754905729</v>
      </c>
    </row>
    <row r="187" spans="1:6" x14ac:dyDescent="0.25">
      <c r="A187" s="80" t="s">
        <v>217</v>
      </c>
      <c r="B187" s="81">
        <v>321.89000513703951</v>
      </c>
      <c r="C187" s="82">
        <f t="shared" si="13"/>
        <v>4.6710798980425033E-7</v>
      </c>
      <c r="D187" s="83">
        <f t="shared" si="14"/>
        <v>-1.1119870041522226</v>
      </c>
      <c r="E187" s="108">
        <v>0.47809395618940054</v>
      </c>
      <c r="F187" s="83">
        <f t="shared" si="12"/>
        <v>-0.53163426604633546</v>
      </c>
    </row>
    <row r="188" spans="1:6" x14ac:dyDescent="0.25">
      <c r="A188" s="80" t="s">
        <v>274</v>
      </c>
      <c r="B188" s="81">
        <v>0.45677594031082652</v>
      </c>
      <c r="C188" s="82">
        <f t="shared" si="13"/>
        <v>6.6284658692244956E-10</v>
      </c>
      <c r="D188" s="83">
        <f t="shared" si="14"/>
        <v>-1.5779580022026712E-3</v>
      </c>
      <c r="E188" s="108">
        <v>0</v>
      </c>
      <c r="F188" s="83">
        <f t="shared" si="12"/>
        <v>0</v>
      </c>
    </row>
    <row r="189" spans="1:6" x14ac:dyDescent="0.25">
      <c r="A189" s="80" t="s">
        <v>218</v>
      </c>
      <c r="B189" s="81">
        <v>74725664.877605215</v>
      </c>
      <c r="C189" s="82">
        <f t="shared" si="13"/>
        <v>0.10843752384577464</v>
      </c>
      <c r="D189" s="83">
        <f t="shared" si="14"/>
        <v>-258143.98364172649</v>
      </c>
      <c r="E189" s="108">
        <v>0.43694520408491577</v>
      </c>
      <c r="F189" s="83">
        <f t="shared" si="12"/>
        <v>-112794.77561562734</v>
      </c>
    </row>
    <row r="190" spans="1:6" x14ac:dyDescent="0.25">
      <c r="A190" s="80" t="s">
        <v>219</v>
      </c>
      <c r="B190" s="81">
        <v>2299311.1788454033</v>
      </c>
      <c r="C190" s="82">
        <f t="shared" si="13"/>
        <v>3.3366261938691378E-3</v>
      </c>
      <c r="D190" s="83">
        <f t="shared" si="14"/>
        <v>-7943.0989113486048</v>
      </c>
      <c r="E190" s="108">
        <v>0.43694520408491577</v>
      </c>
      <c r="F190" s="83">
        <f t="shared" si="12"/>
        <v>-3470.6989748858882</v>
      </c>
    </row>
    <row r="191" spans="1:6" x14ac:dyDescent="0.25">
      <c r="A191" s="80" t="s">
        <v>220</v>
      </c>
      <c r="B191" s="81">
        <v>-22561796.874633592</v>
      </c>
      <c r="C191" s="82">
        <f t="shared" si="13"/>
        <v>-3.2740362907494415E-2</v>
      </c>
      <c r="D191" s="83">
        <f t="shared" si="14"/>
        <v>77940.987649597242</v>
      </c>
      <c r="E191" s="108">
        <v>0.43694520408491577</v>
      </c>
      <c r="F191" s="83">
        <f t="shared" si="12"/>
        <v>34055.940755133168</v>
      </c>
    </row>
    <row r="192" spans="1:6" x14ac:dyDescent="0.25">
      <c r="A192" s="80" t="s">
        <v>331</v>
      </c>
      <c r="B192" s="81">
        <v>0</v>
      </c>
      <c r="C192" s="82">
        <f t="shared" si="13"/>
        <v>0</v>
      </c>
      <c r="D192" s="83">
        <f t="shared" si="14"/>
        <v>0</v>
      </c>
      <c r="E192" s="108">
        <v>0.43694520408491577</v>
      </c>
      <c r="F192" s="83">
        <f t="shared" si="12"/>
        <v>0</v>
      </c>
    </row>
    <row r="193" spans="1:6" x14ac:dyDescent="0.25">
      <c r="A193" s="80" t="s">
        <v>247</v>
      </c>
      <c r="B193" s="81">
        <v>21947.201440564768</v>
      </c>
      <c r="C193" s="82">
        <f t="shared" si="13"/>
        <v>3.184849788164952E-5</v>
      </c>
      <c r="D193" s="83">
        <f t="shared" si="14"/>
        <v>-75.817833390101455</v>
      </c>
      <c r="E193" s="108">
        <v>0</v>
      </c>
      <c r="F193" s="83">
        <f t="shared" si="12"/>
        <v>0</v>
      </c>
    </row>
    <row r="194" spans="1:6" x14ac:dyDescent="0.25">
      <c r="A194" s="80" t="s">
        <v>304</v>
      </c>
      <c r="B194" s="81">
        <v>33670.823471505268</v>
      </c>
      <c r="C194" s="82">
        <f t="shared" si="13"/>
        <v>4.8861133976908322E-5</v>
      </c>
      <c r="D194" s="83">
        <f t="shared" si="14"/>
        <v>-116.31774060048046</v>
      </c>
      <c r="E194" s="108">
        <v>0</v>
      </c>
      <c r="F194" s="83">
        <f t="shared" si="12"/>
        <v>0</v>
      </c>
    </row>
    <row r="195" spans="1:6" x14ac:dyDescent="0.25">
      <c r="A195" s="80" t="s">
        <v>248</v>
      </c>
      <c r="B195" s="81">
        <v>130995.65642599353</v>
      </c>
      <c r="C195" s="82">
        <f t="shared" si="13"/>
        <v>1.9009325163788101E-4</v>
      </c>
      <c r="D195" s="83">
        <f t="shared" si="14"/>
        <v>-452.53181279760349</v>
      </c>
      <c r="E195" s="108">
        <v>0</v>
      </c>
      <c r="F195" s="83">
        <f t="shared" si="12"/>
        <v>0</v>
      </c>
    </row>
    <row r="196" spans="1:6" x14ac:dyDescent="0.25">
      <c r="A196" s="80" t="s">
        <v>249</v>
      </c>
      <c r="B196" s="81">
        <v>462531.81749994244</v>
      </c>
      <c r="C196" s="82">
        <f t="shared" si="13"/>
        <v>6.7119917998362103E-4</v>
      </c>
      <c r="D196" s="83">
        <f t="shared" si="14"/>
        <v>-1597.8420014870485</v>
      </c>
      <c r="E196" s="108">
        <v>0.43694520408491577</v>
      </c>
      <c r="F196" s="83">
        <f t="shared" si="12"/>
        <v>-698.16939943520867</v>
      </c>
    </row>
    <row r="197" spans="1:6" x14ac:dyDescent="0.25">
      <c r="A197" s="80" t="s">
        <v>250</v>
      </c>
      <c r="B197" s="81">
        <v>91321.838481155341</v>
      </c>
      <c r="C197" s="82">
        <f t="shared" si="13"/>
        <v>1.3252092241882533E-4</v>
      </c>
      <c r="D197" s="83">
        <f t="shared" si="14"/>
        <v>-315.47639244996236</v>
      </c>
      <c r="E197" s="108">
        <v>1</v>
      </c>
      <c r="F197" s="83">
        <f t="shared" si="12"/>
        <v>-315.47639244996236</v>
      </c>
    </row>
    <row r="198" spans="1:6" x14ac:dyDescent="0.25">
      <c r="A198" s="80" t="s">
        <v>251</v>
      </c>
      <c r="B198" s="81">
        <v>242737.34058433821</v>
      </c>
      <c r="C198" s="82">
        <f t="shared" si="13"/>
        <v>3.5224626239173916E-4</v>
      </c>
      <c r="D198" s="83">
        <f t="shared" si="14"/>
        <v>-838.54970283200157</v>
      </c>
      <c r="E198" s="108">
        <v>0</v>
      </c>
      <c r="F198" s="83">
        <f t="shared" si="12"/>
        <v>0</v>
      </c>
    </row>
    <row r="199" spans="1:6" x14ac:dyDescent="0.25">
      <c r="A199" s="80" t="s">
        <v>252</v>
      </c>
      <c r="B199" s="81">
        <v>78603.384277695135</v>
      </c>
      <c r="C199" s="82">
        <f t="shared" si="13"/>
        <v>1.1406464393367488E-4</v>
      </c>
      <c r="D199" s="83">
        <f t="shared" si="14"/>
        <v>-271.53978192633986</v>
      </c>
      <c r="E199" s="108">
        <v>0</v>
      </c>
      <c r="F199" s="83">
        <f t="shared" si="12"/>
        <v>0</v>
      </c>
    </row>
    <row r="200" spans="1:6" x14ac:dyDescent="0.25">
      <c r="A200" s="80" t="s">
        <v>221</v>
      </c>
      <c r="B200" s="81">
        <v>-3265276.9559912845</v>
      </c>
      <c r="C200" s="82">
        <f t="shared" si="13"/>
        <v>-4.7383793554505839E-3</v>
      </c>
      <c r="D200" s="83">
        <f t="shared" si="14"/>
        <v>11280.081649239841</v>
      </c>
      <c r="E200" s="108">
        <v>0.43694520408491577</v>
      </c>
      <c r="F200" s="83">
        <f t="shared" si="12"/>
        <v>4928.7775783216157</v>
      </c>
    </row>
    <row r="201" spans="1:6" x14ac:dyDescent="0.25">
      <c r="A201" s="80" t="s">
        <v>275</v>
      </c>
      <c r="B201" s="81">
        <v>1163.7957573242468</v>
      </c>
      <c r="C201" s="82">
        <f t="shared" ref="C201:C206" si="15">B201/$B$212</f>
        <v>1.6888324833665067E-6</v>
      </c>
      <c r="D201" s="83">
        <f t="shared" ref="D201:D206" si="16">$D$212*C201</f>
        <v>-4.0203974555876716</v>
      </c>
      <c r="E201" s="108">
        <v>0</v>
      </c>
      <c r="F201" s="83">
        <f t="shared" si="12"/>
        <v>0</v>
      </c>
    </row>
    <row r="202" spans="1:6" x14ac:dyDescent="0.25">
      <c r="A202" s="80" t="s">
        <v>305</v>
      </c>
      <c r="B202" s="81">
        <v>1539.247583287698</v>
      </c>
      <c r="C202" s="82">
        <f t="shared" si="15"/>
        <v>2.2336662616612356E-6</v>
      </c>
      <c r="D202" s="83">
        <f t="shared" si="16"/>
        <v>-5.3174167618529813</v>
      </c>
      <c r="E202" s="108">
        <v>0</v>
      </c>
      <c r="F202" s="83">
        <f t="shared" ref="F202:F206" si="17">D202*E202</f>
        <v>0</v>
      </c>
    </row>
    <row r="203" spans="1:6" x14ac:dyDescent="0.25">
      <c r="A203" s="80" t="s">
        <v>222</v>
      </c>
      <c r="B203" s="81">
        <v>11454.126464359211</v>
      </c>
      <c r="C203" s="82">
        <f t="shared" si="15"/>
        <v>1.6621559856922821E-5</v>
      </c>
      <c r="D203" s="83">
        <f t="shared" si="16"/>
        <v>-39.568919721073613</v>
      </c>
      <c r="E203" s="108">
        <v>0</v>
      </c>
      <c r="F203" s="83">
        <f t="shared" si="17"/>
        <v>0</v>
      </c>
    </row>
    <row r="204" spans="1:6" x14ac:dyDescent="0.25">
      <c r="A204" s="80" t="s">
        <v>223</v>
      </c>
      <c r="B204" s="81">
        <v>2025809.7217265198</v>
      </c>
      <c r="C204" s="82">
        <f t="shared" si="15"/>
        <v>2.9397368409706361E-3</v>
      </c>
      <c r="D204" s="83">
        <f t="shared" si="16"/>
        <v>-6998.2728494041949</v>
      </c>
      <c r="E204" s="108">
        <v>0.43694520408491577</v>
      </c>
      <c r="F204" s="83">
        <f t="shared" si="17"/>
        <v>-3057.8617584248409</v>
      </c>
    </row>
    <row r="205" spans="1:6" x14ac:dyDescent="0.25">
      <c r="A205" s="80" t="s">
        <v>253</v>
      </c>
      <c r="B205" s="81">
        <v>271.2362026570226</v>
      </c>
      <c r="C205" s="82">
        <f t="shared" si="15"/>
        <v>3.9360214782475475E-7</v>
      </c>
      <c r="D205" s="83">
        <f t="shared" si="16"/>
        <v>-0.93700061386435896</v>
      </c>
      <c r="E205" s="108">
        <v>0</v>
      </c>
      <c r="F205" s="83">
        <f t="shared" si="17"/>
        <v>0</v>
      </c>
    </row>
    <row r="206" spans="1:6" x14ac:dyDescent="0.25">
      <c r="A206" s="80" t="s">
        <v>332</v>
      </c>
      <c r="B206" s="81">
        <v>157.20537794519501</v>
      </c>
      <c r="C206" s="82">
        <f t="shared" si="15"/>
        <v>2.2812726989499104E-7</v>
      </c>
      <c r="D206" s="83">
        <f t="shared" si="16"/>
        <v>-0.54307475991207799</v>
      </c>
      <c r="E206" s="108">
        <v>0</v>
      </c>
      <c r="F206" s="83">
        <f t="shared" si="17"/>
        <v>0</v>
      </c>
    </row>
    <row r="207" spans="1:6" x14ac:dyDescent="0.25">
      <c r="A207" s="80"/>
      <c r="B207" s="81"/>
      <c r="C207" s="77"/>
      <c r="E207" s="85"/>
    </row>
    <row r="208" spans="1:6" x14ac:dyDescent="0.25">
      <c r="A208" s="86" t="s">
        <v>276</v>
      </c>
      <c r="B208" s="92">
        <f>SUM(B9:B207)</f>
        <v>459314843.57839173</v>
      </c>
      <c r="C208" s="88">
        <f>SUM(C9:C207)</f>
        <v>0.66653089517276287</v>
      </c>
      <c r="D208" s="92">
        <f>SUM(D9:D207)</f>
        <v>-1586728.7853685864</v>
      </c>
      <c r="E208" s="85"/>
      <c r="F208" s="92">
        <f>SUM(F9:F207)</f>
        <v>-699948.94787264836</v>
      </c>
    </row>
    <row r="209" spans="1:6" x14ac:dyDescent="0.25">
      <c r="A209" s="89"/>
      <c r="B209" s="93"/>
      <c r="C209" s="77"/>
      <c r="D209" s="83"/>
      <c r="E209" s="85"/>
      <c r="F209" s="83"/>
    </row>
    <row r="210" spans="1:6" x14ac:dyDescent="0.25">
      <c r="A210" s="89" t="s">
        <v>277</v>
      </c>
      <c r="B210" s="84">
        <v>229797764.56160837</v>
      </c>
      <c r="C210" s="82">
        <f>B210/B212</f>
        <v>0.33346910482723696</v>
      </c>
      <c r="D210" s="91">
        <f>$D$212*C210</f>
        <v>-793849.21463141416</v>
      </c>
      <c r="E210" s="85"/>
      <c r="F210" s="83"/>
    </row>
    <row r="211" spans="1:6" x14ac:dyDescent="0.25">
      <c r="A211" s="89"/>
      <c r="B211" s="93"/>
      <c r="C211" s="77"/>
      <c r="D211" s="90"/>
      <c r="E211" s="85"/>
      <c r="F211" s="83"/>
    </row>
    <row r="212" spans="1:6" x14ac:dyDescent="0.25">
      <c r="A212" s="86" t="s">
        <v>278</v>
      </c>
      <c r="B212" s="92">
        <f>SUM(B208:B210)</f>
        <v>689112608.1400001</v>
      </c>
      <c r="C212" s="88">
        <f>C208+C210</f>
        <v>0.99999999999999978</v>
      </c>
      <c r="D212" s="87">
        <f>'3.7'!I20</f>
        <v>-2380578</v>
      </c>
      <c r="E212" s="85"/>
      <c r="F212" s="83"/>
    </row>
    <row r="213" spans="1:6" x14ac:dyDescent="0.25">
      <c r="A213" s="89"/>
      <c r="B213" s="90"/>
      <c r="C213" s="77"/>
      <c r="D213" s="90"/>
      <c r="E213" s="85"/>
      <c r="F213" s="83"/>
    </row>
  </sheetData>
  <phoneticPr fontId="8" type="noConversion"/>
  <pageMargins left="0.75" right="0.75" top="1" bottom="1" header="0.5" footer="0.5"/>
  <pageSetup scale="69" fitToHeight="4"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5"/>
  <sheetViews>
    <sheetView workbookViewId="0">
      <selection activeCell="I25" sqref="I25"/>
    </sheetView>
  </sheetViews>
  <sheetFormatPr defaultRowHeight="15.75" x14ac:dyDescent="0.25"/>
  <cols>
    <col min="1" max="1" width="4.375" customWidth="1"/>
    <col min="2" max="2" width="1.625" customWidth="1"/>
    <col min="3" max="3" width="40.125" customWidth="1"/>
    <col min="4" max="4" width="1.5" customWidth="1"/>
    <col min="5" max="6" width="1.25" customWidth="1"/>
    <col min="7" max="7" width="7.75" customWidth="1"/>
    <col min="8" max="8" width="1.25" customWidth="1"/>
    <col min="9" max="9" width="13.5" customWidth="1"/>
    <col min="10" max="10" width="1.75" customWidth="1"/>
    <col min="11" max="11" width="14" customWidth="1"/>
    <col min="12" max="12" width="1.875" customWidth="1"/>
    <col min="13" max="13" width="8.625" customWidth="1"/>
    <col min="14" max="14" width="1.625" customWidth="1"/>
    <col min="15" max="15" width="11.5" customWidth="1"/>
  </cols>
  <sheetData>
    <row r="1" spans="1:15" x14ac:dyDescent="0.25">
      <c r="A1" s="7" t="s">
        <v>15</v>
      </c>
      <c r="L1" s="7" t="s">
        <v>230</v>
      </c>
      <c r="N1" s="18"/>
      <c r="O1" s="18"/>
    </row>
    <row r="2" spans="1:15" x14ac:dyDescent="0.25">
      <c r="A2" s="17" t="s">
        <v>13</v>
      </c>
      <c r="L2" t="s">
        <v>335</v>
      </c>
      <c r="N2" s="18"/>
      <c r="O2" s="18"/>
    </row>
    <row r="3" spans="1:15" x14ac:dyDescent="0.25">
      <c r="A3" s="5" t="s">
        <v>242</v>
      </c>
      <c r="L3" t="s">
        <v>579</v>
      </c>
      <c r="N3" s="18"/>
      <c r="O3" s="18"/>
    </row>
    <row r="4" spans="1:15" x14ac:dyDescent="0.25">
      <c r="A4" t="s">
        <v>334</v>
      </c>
      <c r="L4" s="5" t="s">
        <v>320</v>
      </c>
      <c r="N4" s="18"/>
      <c r="O4" s="18"/>
    </row>
    <row r="5" spans="1:15" x14ac:dyDescent="0.25">
      <c r="M5" s="18"/>
      <c r="N5" s="18"/>
      <c r="O5" s="18"/>
    </row>
    <row r="6" spans="1:15" x14ac:dyDescent="0.25">
      <c r="A6" s="18"/>
      <c r="B6" s="18"/>
      <c r="C6" s="18"/>
      <c r="D6" s="18"/>
      <c r="E6" s="18"/>
      <c r="F6" s="18"/>
      <c r="G6" s="18"/>
      <c r="H6" s="18"/>
      <c r="I6" s="18"/>
      <c r="J6" s="18"/>
      <c r="K6" s="18"/>
      <c r="L6" s="18"/>
      <c r="M6" s="18"/>
      <c r="N6" s="18"/>
      <c r="O6" s="18"/>
    </row>
    <row r="7" spans="1:15" x14ac:dyDescent="0.25">
      <c r="A7" s="18"/>
      <c r="B7" s="18"/>
      <c r="C7" s="18"/>
      <c r="D7" s="18"/>
      <c r="E7" s="18"/>
      <c r="F7" s="18"/>
      <c r="G7" s="18"/>
      <c r="H7" s="18"/>
      <c r="I7" s="18"/>
      <c r="J7" s="18"/>
      <c r="K7" s="18"/>
      <c r="L7" s="18"/>
      <c r="M7" s="18"/>
      <c r="N7" s="18"/>
      <c r="O7" s="18"/>
    </row>
    <row r="8" spans="1:15" x14ac:dyDescent="0.25">
      <c r="G8" s="1"/>
      <c r="H8" s="1"/>
      <c r="I8" s="1" t="s">
        <v>4</v>
      </c>
      <c r="J8" s="1"/>
      <c r="K8" s="1"/>
      <c r="L8" s="1"/>
      <c r="M8" s="1"/>
      <c r="N8" s="1"/>
      <c r="O8" s="1" t="s">
        <v>9</v>
      </c>
    </row>
    <row r="9" spans="1:15" x14ac:dyDescent="0.25">
      <c r="A9" s="4"/>
      <c r="C9" s="2" t="s">
        <v>1</v>
      </c>
      <c r="D9" s="4"/>
      <c r="E9" s="15"/>
      <c r="G9" s="10" t="s">
        <v>11</v>
      </c>
      <c r="H9" s="1"/>
      <c r="I9" s="10" t="s">
        <v>6</v>
      </c>
      <c r="J9" s="1"/>
      <c r="K9" s="10" t="s">
        <v>7</v>
      </c>
      <c r="L9" s="1"/>
      <c r="M9" s="11" t="s">
        <v>10</v>
      </c>
      <c r="N9" s="1"/>
      <c r="O9" s="10" t="s">
        <v>8</v>
      </c>
    </row>
    <row r="11" spans="1:15" x14ac:dyDescent="0.25">
      <c r="C11" s="3" t="s">
        <v>12</v>
      </c>
    </row>
    <row r="13" spans="1:15" x14ac:dyDescent="0.25">
      <c r="A13">
        <v>1</v>
      </c>
      <c r="C13" t="s">
        <v>243</v>
      </c>
      <c r="G13" s="57" t="s">
        <v>234</v>
      </c>
      <c r="I13" s="47">
        <f>K23</f>
        <v>-7554016.8119579796</v>
      </c>
      <c r="K13" s="1" t="s">
        <v>235</v>
      </c>
      <c r="L13" s="1"/>
      <c r="M13" s="1" t="s">
        <v>235</v>
      </c>
      <c r="O13" s="47">
        <f>'3.8.1-4'!F208</f>
        <v>-3332280.9597319146</v>
      </c>
    </row>
    <row r="16" spans="1:15" x14ac:dyDescent="0.25">
      <c r="I16" s="47"/>
    </row>
    <row r="17" spans="1:15" x14ac:dyDescent="0.25">
      <c r="C17" s="3" t="s">
        <v>236</v>
      </c>
      <c r="I17" s="47"/>
    </row>
    <row r="18" spans="1:15" x14ac:dyDescent="0.25">
      <c r="A18" t="s">
        <v>237</v>
      </c>
      <c r="C18" t="s">
        <v>340</v>
      </c>
      <c r="K18" s="51">
        <v>11900000</v>
      </c>
    </row>
    <row r="19" spans="1:15" x14ac:dyDescent="0.25">
      <c r="A19" t="s">
        <v>238</v>
      </c>
      <c r="C19" t="s">
        <v>337</v>
      </c>
      <c r="K19" s="2">
        <v>21</v>
      </c>
      <c r="M19" t="s">
        <v>339</v>
      </c>
    </row>
    <row r="20" spans="1:15" x14ac:dyDescent="0.25">
      <c r="A20" t="s">
        <v>239</v>
      </c>
      <c r="C20" t="s">
        <v>338</v>
      </c>
      <c r="K20" s="51">
        <f>K18/K19</f>
        <v>566666.66666666663</v>
      </c>
    </row>
    <row r="21" spans="1:15" x14ac:dyDescent="0.25">
      <c r="A21" s="4" t="s">
        <v>240</v>
      </c>
      <c r="B21" s="4"/>
      <c r="C21" s="20" t="s">
        <v>323</v>
      </c>
      <c r="D21" s="4"/>
      <c r="E21" s="4"/>
      <c r="F21" s="4"/>
      <c r="G21" s="4"/>
      <c r="H21" s="4"/>
      <c r="J21" s="4"/>
      <c r="K21" s="51">
        <f>K20-K18</f>
        <v>-11333333.333333334</v>
      </c>
      <c r="M21" s="13" t="s">
        <v>341</v>
      </c>
    </row>
    <row r="22" spans="1:15" x14ac:dyDescent="0.25">
      <c r="A22" s="20" t="s">
        <v>241</v>
      </c>
      <c r="B22" s="4"/>
      <c r="C22" s="20" t="s">
        <v>713</v>
      </c>
      <c r="D22" s="4"/>
      <c r="E22" s="4"/>
      <c r="F22" s="4"/>
      <c r="G22" s="4"/>
      <c r="H22" s="4"/>
      <c r="I22" s="23"/>
      <c r="J22" s="4"/>
      <c r="K22" s="66">
        <f>'3.8.1-4'!C208</f>
        <v>0.66653089517276287</v>
      </c>
    </row>
    <row r="23" spans="1:15" x14ac:dyDescent="0.25">
      <c r="A23" s="20" t="s">
        <v>306</v>
      </c>
      <c r="B23" s="4"/>
      <c r="C23" s="20" t="s">
        <v>243</v>
      </c>
      <c r="D23" s="4"/>
      <c r="E23" s="4"/>
      <c r="F23" s="4"/>
      <c r="G23" s="4"/>
      <c r="H23" s="4"/>
      <c r="I23" s="64"/>
      <c r="J23" s="4"/>
      <c r="K23" s="67">
        <f>K21*K22</f>
        <v>-7554016.8119579796</v>
      </c>
    </row>
    <row r="24" spans="1:15" x14ac:dyDescent="0.25">
      <c r="A24" s="4"/>
      <c r="B24" s="4"/>
      <c r="C24" s="20"/>
      <c r="D24" s="4"/>
      <c r="E24" s="4"/>
      <c r="F24" s="4"/>
      <c r="G24" s="4"/>
      <c r="H24" s="4"/>
      <c r="I24" s="51"/>
      <c r="J24" s="4"/>
      <c r="K24" s="4"/>
      <c r="L24" s="4"/>
      <c r="M24" s="4"/>
    </row>
    <row r="25" spans="1:15" x14ac:dyDescent="0.25">
      <c r="A25" s="4"/>
      <c r="B25" s="4"/>
      <c r="C25" s="20"/>
      <c r="D25" s="4"/>
      <c r="E25" s="4"/>
      <c r="F25" s="4"/>
      <c r="G25" s="4"/>
      <c r="H25" s="4"/>
      <c r="I25" s="22"/>
      <c r="J25" s="4"/>
      <c r="K25" s="4"/>
      <c r="L25" s="4"/>
      <c r="M25" s="4"/>
    </row>
    <row r="26" spans="1:15" x14ac:dyDescent="0.25">
      <c r="A26" s="4"/>
      <c r="B26" s="4"/>
      <c r="C26" s="20"/>
      <c r="D26" s="4"/>
      <c r="E26" s="4"/>
      <c r="F26" s="4"/>
      <c r="G26" s="4"/>
      <c r="H26" s="4"/>
      <c r="I26" s="51"/>
      <c r="J26" s="4"/>
      <c r="K26" s="4"/>
      <c r="L26" s="4"/>
      <c r="M26" s="4"/>
    </row>
    <row r="27" spans="1:15" x14ac:dyDescent="0.25">
      <c r="A27" s="4"/>
      <c r="B27" s="4"/>
      <c r="C27" s="4"/>
      <c r="D27" s="4"/>
      <c r="E27" s="4"/>
      <c r="F27" s="4"/>
      <c r="G27" s="4"/>
      <c r="H27" s="4"/>
      <c r="I27" s="51"/>
      <c r="J27" s="4"/>
      <c r="K27" s="4"/>
      <c r="L27" s="4"/>
      <c r="M27" s="4"/>
    </row>
    <row r="28" spans="1:15" x14ac:dyDescent="0.25">
      <c r="A28" s="4"/>
      <c r="B28" s="4"/>
      <c r="C28" s="4"/>
      <c r="D28" s="4"/>
      <c r="E28" s="4"/>
      <c r="F28" s="4"/>
      <c r="G28" s="4"/>
      <c r="H28" s="4"/>
      <c r="I28" s="4"/>
      <c r="J28" s="4"/>
      <c r="K28" s="4"/>
      <c r="L28" s="4"/>
      <c r="M28" s="4"/>
    </row>
    <row r="29" spans="1:15" x14ac:dyDescent="0.25">
      <c r="A29" s="4"/>
      <c r="B29" s="4"/>
      <c r="C29" t="s">
        <v>5</v>
      </c>
      <c r="D29" s="4"/>
      <c r="E29" s="4"/>
      <c r="F29" s="4"/>
      <c r="G29" s="4"/>
      <c r="H29" s="4"/>
      <c r="I29" s="4"/>
      <c r="J29" s="4"/>
      <c r="K29" s="4"/>
      <c r="L29" s="4"/>
      <c r="M29" s="4"/>
    </row>
    <row r="30" spans="1:15" ht="6" customHeight="1" x14ac:dyDescent="0.25"/>
    <row r="31" spans="1:15" x14ac:dyDescent="0.25">
      <c r="C31" s="153" t="s">
        <v>715</v>
      </c>
      <c r="D31" s="154"/>
      <c r="E31" s="154"/>
      <c r="F31" s="154"/>
      <c r="G31" s="154"/>
      <c r="H31" s="154"/>
      <c r="I31" s="154"/>
      <c r="J31" s="154"/>
      <c r="K31" s="154"/>
      <c r="L31" s="154"/>
      <c r="M31" s="154"/>
      <c r="N31" s="154"/>
      <c r="O31" s="155"/>
    </row>
    <row r="32" spans="1:15" x14ac:dyDescent="0.25">
      <c r="C32" s="156"/>
      <c r="D32" s="157"/>
      <c r="E32" s="157"/>
      <c r="F32" s="157"/>
      <c r="G32" s="157"/>
      <c r="H32" s="157"/>
      <c r="I32" s="157"/>
      <c r="J32" s="157"/>
      <c r="K32" s="157"/>
      <c r="L32" s="157"/>
      <c r="M32" s="157"/>
      <c r="N32" s="157"/>
      <c r="O32" s="158"/>
    </row>
    <row r="33" spans="3:15" x14ac:dyDescent="0.25">
      <c r="C33" s="156"/>
      <c r="D33" s="157"/>
      <c r="E33" s="157"/>
      <c r="F33" s="157"/>
      <c r="G33" s="157"/>
      <c r="H33" s="157"/>
      <c r="I33" s="157"/>
      <c r="J33" s="157"/>
      <c r="K33" s="157"/>
      <c r="L33" s="157"/>
      <c r="M33" s="157"/>
      <c r="N33" s="157"/>
      <c r="O33" s="158"/>
    </row>
    <row r="34" spans="3:15" x14ac:dyDescent="0.25">
      <c r="C34" s="156"/>
      <c r="D34" s="157"/>
      <c r="E34" s="157"/>
      <c r="F34" s="157"/>
      <c r="G34" s="157"/>
      <c r="H34" s="157"/>
      <c r="I34" s="157"/>
      <c r="J34" s="157"/>
      <c r="K34" s="157"/>
      <c r="L34" s="157"/>
      <c r="M34" s="157"/>
      <c r="N34" s="157"/>
      <c r="O34" s="158"/>
    </row>
    <row r="35" spans="3:15" x14ac:dyDescent="0.25">
      <c r="C35" s="159"/>
      <c r="D35" s="160"/>
      <c r="E35" s="160"/>
      <c r="F35" s="160"/>
      <c r="G35" s="160"/>
      <c r="H35" s="160"/>
      <c r="I35" s="160"/>
      <c r="J35" s="160"/>
      <c r="K35" s="160"/>
      <c r="L35" s="160"/>
      <c r="M35" s="160"/>
      <c r="N35" s="160"/>
      <c r="O35" s="161"/>
    </row>
  </sheetData>
  <mergeCells count="1">
    <mergeCell ref="C31:O35"/>
  </mergeCells>
  <phoneticPr fontId="8" type="noConversion"/>
  <pageMargins left="0.75" right="0.75" top="1" bottom="1" header="0.5" footer="0.5"/>
  <pageSetup scale="74"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13"/>
  <sheetViews>
    <sheetView workbookViewId="0">
      <selection activeCell="E4" sqref="E4"/>
    </sheetView>
  </sheetViews>
  <sheetFormatPr defaultColWidth="9" defaultRowHeight="15.75" x14ac:dyDescent="0.25"/>
  <cols>
    <col min="1" max="1" width="17.625" style="70" customWidth="1"/>
    <col min="2" max="2" width="14.75" style="70" customWidth="1"/>
    <col min="3" max="3" width="9.625" style="70" customWidth="1"/>
    <col min="4" max="4" width="12" style="70" customWidth="1"/>
    <col min="5" max="5" width="10.875" style="70" customWidth="1"/>
    <col min="6" max="6" width="12.125" style="70" customWidth="1"/>
    <col min="7" max="16384" width="9" style="70"/>
  </cols>
  <sheetData>
    <row r="1" spans="1:6" x14ac:dyDescent="0.25">
      <c r="A1" s="70" t="s">
        <v>15</v>
      </c>
      <c r="E1" s="70" t="s">
        <v>230</v>
      </c>
    </row>
    <row r="2" spans="1:6" x14ac:dyDescent="0.25">
      <c r="A2" s="72" t="s">
        <v>13</v>
      </c>
      <c r="E2" t="s">
        <v>335</v>
      </c>
    </row>
    <row r="3" spans="1:6" x14ac:dyDescent="0.25">
      <c r="A3" s="73" t="s">
        <v>242</v>
      </c>
      <c r="E3" s="70" t="str">
        <f>'3.8'!L3</f>
        <v>Exhibit OCS 3.8D</v>
      </c>
    </row>
    <row r="4" spans="1:6" x14ac:dyDescent="0.25">
      <c r="A4" t="s">
        <v>334</v>
      </c>
      <c r="E4" s="5" t="s">
        <v>320</v>
      </c>
    </row>
    <row r="5" spans="1:6" x14ac:dyDescent="0.25">
      <c r="E5" s="70" t="s">
        <v>580</v>
      </c>
    </row>
    <row r="6" spans="1:6" x14ac:dyDescent="0.25">
      <c r="A6" s="77"/>
      <c r="B6" s="78" t="s">
        <v>63</v>
      </c>
      <c r="C6" s="79"/>
      <c r="E6" s="74"/>
    </row>
    <row r="7" spans="1:6" x14ac:dyDescent="0.25">
      <c r="A7" s="77"/>
      <c r="B7" s="78" t="s">
        <v>324</v>
      </c>
      <c r="C7" s="107" t="s">
        <v>326</v>
      </c>
      <c r="D7" s="74" t="s">
        <v>279</v>
      </c>
      <c r="E7" s="74" t="s">
        <v>9</v>
      </c>
      <c r="F7" s="74" t="s">
        <v>9</v>
      </c>
    </row>
    <row r="8" spans="1:6" x14ac:dyDescent="0.25">
      <c r="A8" s="75" t="s">
        <v>232</v>
      </c>
      <c r="B8" s="106" t="s">
        <v>325</v>
      </c>
      <c r="C8" s="76" t="s">
        <v>4</v>
      </c>
      <c r="D8" s="36" t="s">
        <v>233</v>
      </c>
      <c r="E8" s="36" t="s">
        <v>8</v>
      </c>
      <c r="F8" s="36" t="s">
        <v>2</v>
      </c>
    </row>
    <row r="9" spans="1:6" x14ac:dyDescent="0.25">
      <c r="A9" s="80" t="s">
        <v>67</v>
      </c>
      <c r="B9" s="81">
        <v>13056773.543274013</v>
      </c>
      <c r="C9" s="82">
        <f t="shared" ref="C9:C40" si="0">B9/$B$212</f>
        <v>1.8947227766614016E-2</v>
      </c>
      <c r="D9" s="83">
        <f t="shared" ref="D9:D40" si="1">$D$212*C9</f>
        <v>-214735.24802162554</v>
      </c>
      <c r="E9" s="108">
        <v>0.43997498132271273</v>
      </c>
      <c r="F9" s="83">
        <f>D9*E9</f>
        <v>-94478.136737642781</v>
      </c>
    </row>
    <row r="10" spans="1:6" x14ac:dyDescent="0.25">
      <c r="A10" s="80" t="s">
        <v>68</v>
      </c>
      <c r="B10" s="81">
        <v>19170731.324116077</v>
      </c>
      <c r="C10" s="82">
        <f t="shared" si="0"/>
        <v>2.7819446484748326E-2</v>
      </c>
      <c r="D10" s="83">
        <f t="shared" si="1"/>
        <v>-315287.06016048102</v>
      </c>
      <c r="E10" s="108">
        <v>0.43997498132271273</v>
      </c>
      <c r="F10" s="83">
        <f t="shared" ref="F10:F73" si="2">D10*E10</f>
        <v>-138718.41840540065</v>
      </c>
    </row>
    <row r="11" spans="1:6" x14ac:dyDescent="0.25">
      <c r="A11" s="80" t="s">
        <v>327</v>
      </c>
      <c r="B11" s="81">
        <v>113187.9424132823</v>
      </c>
      <c r="C11" s="82">
        <f t="shared" si="0"/>
        <v>1.6425173632911828E-4</v>
      </c>
      <c r="D11" s="83">
        <f t="shared" si="1"/>
        <v>-1861.519678396674</v>
      </c>
      <c r="E11" s="108">
        <v>0.43356209499257142</v>
      </c>
      <c r="F11" s="83">
        <f t="shared" si="2"/>
        <v>-807.08437163555971</v>
      </c>
    </row>
    <row r="12" spans="1:6" x14ac:dyDescent="0.25">
      <c r="A12" s="80" t="s">
        <v>69</v>
      </c>
      <c r="B12" s="81">
        <v>872.00810885038345</v>
      </c>
      <c r="C12" s="82">
        <f t="shared" si="0"/>
        <v>1.2654072767643025E-6</v>
      </c>
      <c r="D12" s="83">
        <f t="shared" si="1"/>
        <v>-14.341282469995429</v>
      </c>
      <c r="E12" s="108">
        <v>0.43997498132271273</v>
      </c>
      <c r="F12" s="83">
        <f t="shared" si="2"/>
        <v>-6.309805486879986</v>
      </c>
    </row>
    <row r="13" spans="1:6" x14ac:dyDescent="0.25">
      <c r="A13" s="80" t="s">
        <v>70</v>
      </c>
      <c r="B13" s="81">
        <v>31565308.678211786</v>
      </c>
      <c r="C13" s="82">
        <f t="shared" si="0"/>
        <v>4.5805733787704805E-2</v>
      </c>
      <c r="D13" s="83">
        <f t="shared" si="1"/>
        <v>-519131.64959398785</v>
      </c>
      <c r="E13" s="108">
        <v>0.43997498132271273</v>
      </c>
      <c r="F13" s="83">
        <f t="shared" si="2"/>
        <v>-228404.93783414384</v>
      </c>
    </row>
    <row r="14" spans="1:6" x14ac:dyDescent="0.25">
      <c r="A14" s="80" t="s">
        <v>71</v>
      </c>
      <c r="B14" s="81">
        <v>3308477.7516890108</v>
      </c>
      <c r="C14" s="82">
        <f t="shared" si="0"/>
        <v>4.8010698289485667E-3</v>
      </c>
      <c r="D14" s="83">
        <f t="shared" si="1"/>
        <v>-54412.124728083756</v>
      </c>
      <c r="E14" s="108">
        <v>0.43997498132271273</v>
      </c>
      <c r="F14" s="83">
        <f t="shared" si="2"/>
        <v>-23939.973560967766</v>
      </c>
    </row>
    <row r="15" spans="1:6" x14ac:dyDescent="0.25">
      <c r="A15" s="80" t="s">
        <v>72</v>
      </c>
      <c r="B15" s="81">
        <v>8014161.0322651491</v>
      </c>
      <c r="C15" s="82">
        <f t="shared" si="0"/>
        <v>1.1629682779852712E-2</v>
      </c>
      <c r="D15" s="83">
        <f t="shared" si="1"/>
        <v>-131803.07150499741</v>
      </c>
      <c r="E15" s="108">
        <v>0.43997498132271273</v>
      </c>
      <c r="F15" s="83">
        <f t="shared" si="2"/>
        <v>-57990.053923687403</v>
      </c>
    </row>
    <row r="16" spans="1:6" x14ac:dyDescent="0.25">
      <c r="A16" s="80" t="s">
        <v>73</v>
      </c>
      <c r="B16" s="81">
        <v>25775295.357480701</v>
      </c>
      <c r="C16" s="82">
        <f t="shared" si="0"/>
        <v>3.7403604364533979E-2</v>
      </c>
      <c r="D16" s="83">
        <f t="shared" si="1"/>
        <v>-423907.51613138511</v>
      </c>
      <c r="E16" s="108">
        <v>0.43997498132271273</v>
      </c>
      <c r="F16" s="83">
        <f t="shared" si="2"/>
        <v>-186508.7014924637</v>
      </c>
    </row>
    <row r="17" spans="1:6" x14ac:dyDescent="0.25">
      <c r="A17" s="80" t="s">
        <v>74</v>
      </c>
      <c r="B17" s="81">
        <v>11935827.858545976</v>
      </c>
      <c r="C17" s="82">
        <f t="shared" si="0"/>
        <v>1.7320576807848934E-2</v>
      </c>
      <c r="D17" s="83">
        <f t="shared" si="1"/>
        <v>-196299.87048895459</v>
      </c>
      <c r="E17" s="108">
        <v>0.43997498132271273</v>
      </c>
      <c r="F17" s="83">
        <f t="shared" si="2"/>
        <v>-86367.031852028726</v>
      </c>
    </row>
    <row r="18" spans="1:6" x14ac:dyDescent="0.25">
      <c r="A18" s="80" t="s">
        <v>75</v>
      </c>
      <c r="B18" s="81">
        <v>2459627.4397744909</v>
      </c>
      <c r="C18" s="82">
        <f t="shared" si="0"/>
        <v>3.569267795597774E-3</v>
      </c>
      <c r="D18" s="83">
        <f t="shared" si="1"/>
        <v>-40451.701683441439</v>
      </c>
      <c r="E18" s="108">
        <v>0.43997498132271273</v>
      </c>
      <c r="F18" s="83">
        <f t="shared" si="2"/>
        <v>-17797.736692644095</v>
      </c>
    </row>
    <row r="19" spans="1:6" x14ac:dyDescent="0.25">
      <c r="A19" s="80" t="s">
        <v>76</v>
      </c>
      <c r="B19" s="81">
        <v>5225772.1575494986</v>
      </c>
      <c r="C19" s="82">
        <f t="shared" si="0"/>
        <v>7.5833355765387925E-3</v>
      </c>
      <c r="D19" s="83">
        <f t="shared" si="1"/>
        <v>-85944.46986743965</v>
      </c>
      <c r="E19" s="108">
        <v>0.43997498132271273</v>
      </c>
      <c r="F19" s="83">
        <f t="shared" si="2"/>
        <v>-37813.416524717206</v>
      </c>
    </row>
    <row r="20" spans="1:6" x14ac:dyDescent="0.25">
      <c r="A20" s="80" t="s">
        <v>77</v>
      </c>
      <c r="B20" s="81">
        <v>3382381.8803454172</v>
      </c>
      <c r="C20" s="82">
        <f t="shared" si="0"/>
        <v>4.9083151873753738E-3</v>
      </c>
      <c r="D20" s="83">
        <f t="shared" si="1"/>
        <v>-55627.572123587575</v>
      </c>
      <c r="E20" s="108">
        <v>0.43997498132271273</v>
      </c>
      <c r="F20" s="83">
        <f t="shared" si="2"/>
        <v>-24474.7400061033</v>
      </c>
    </row>
    <row r="21" spans="1:6" x14ac:dyDescent="0.25">
      <c r="A21" s="80" t="s">
        <v>78</v>
      </c>
      <c r="B21" s="81">
        <v>26971.450006091491</v>
      </c>
      <c r="C21" s="82">
        <f t="shared" si="0"/>
        <v>3.9139394182455549E-5</v>
      </c>
      <c r="D21" s="83">
        <f t="shared" si="1"/>
        <v>-443.57980073449625</v>
      </c>
      <c r="E21" s="108">
        <v>0.43997498132271273</v>
      </c>
      <c r="F21" s="83">
        <f t="shared" si="2"/>
        <v>-195.16401454329261</v>
      </c>
    </row>
    <row r="22" spans="1:6" x14ac:dyDescent="0.25">
      <c r="A22" s="80" t="s">
        <v>79</v>
      </c>
      <c r="B22" s="81">
        <v>537604.5030679527</v>
      </c>
      <c r="C22" s="82">
        <f t="shared" si="0"/>
        <v>7.8014028000302231E-4</v>
      </c>
      <c r="D22" s="83">
        <f t="shared" si="1"/>
        <v>-8841.5898400342539</v>
      </c>
      <c r="E22" s="108">
        <v>0.43997498132271273</v>
      </c>
      <c r="F22" s="83">
        <f t="shared" si="2"/>
        <v>-3890.0783247321574</v>
      </c>
    </row>
    <row r="23" spans="1:6" x14ac:dyDescent="0.25">
      <c r="A23" s="80" t="s">
        <v>80</v>
      </c>
      <c r="B23" s="81">
        <v>26702.388621789931</v>
      </c>
      <c r="C23" s="82">
        <f t="shared" si="0"/>
        <v>3.8748948004104832E-5</v>
      </c>
      <c r="D23" s="83">
        <f t="shared" si="1"/>
        <v>-439.15474404652144</v>
      </c>
      <c r="E23" s="108">
        <v>0.43997498132271273</v>
      </c>
      <c r="F23" s="83">
        <f t="shared" si="2"/>
        <v>-193.21710030964897</v>
      </c>
    </row>
    <row r="24" spans="1:6" x14ac:dyDescent="0.25">
      <c r="A24" s="80" t="s">
        <v>81</v>
      </c>
      <c r="B24" s="81">
        <v>6646876.3120349906</v>
      </c>
      <c r="C24" s="82">
        <f t="shared" si="0"/>
        <v>9.6455589892277972E-3</v>
      </c>
      <c r="D24" s="83">
        <f t="shared" si="1"/>
        <v>-109316.33521124837</v>
      </c>
      <c r="E24" s="108">
        <v>0.43997498132271273</v>
      </c>
      <c r="F24" s="83">
        <f t="shared" si="2"/>
        <v>-48096.452542836407</v>
      </c>
    </row>
    <row r="25" spans="1:6" x14ac:dyDescent="0.25">
      <c r="A25" s="80" t="s">
        <v>82</v>
      </c>
      <c r="B25" s="81">
        <v>5320157.3097708924</v>
      </c>
      <c r="C25" s="82">
        <f t="shared" si="0"/>
        <v>7.7203018010810354E-3</v>
      </c>
      <c r="D25" s="83">
        <f t="shared" si="1"/>
        <v>-87496.753745585069</v>
      </c>
      <c r="E25" s="108">
        <v>0.43997498132271273</v>
      </c>
      <c r="F25" s="83">
        <f t="shared" si="2"/>
        <v>-38496.382595011783</v>
      </c>
    </row>
    <row r="26" spans="1:6" x14ac:dyDescent="0.25">
      <c r="A26" s="80" t="s">
        <v>83</v>
      </c>
      <c r="B26" s="81">
        <v>203.55296077494913</v>
      </c>
      <c r="C26" s="82">
        <f t="shared" si="0"/>
        <v>2.9538417723100971E-7</v>
      </c>
      <c r="D26" s="83">
        <f t="shared" si="1"/>
        <v>-3.3476873419514437</v>
      </c>
      <c r="E26" s="108">
        <v>0.43997498132271273</v>
      </c>
      <c r="F26" s="83">
        <f t="shared" si="2"/>
        <v>-1.4728986757493683</v>
      </c>
    </row>
    <row r="27" spans="1:6" x14ac:dyDescent="0.25">
      <c r="A27" s="80" t="s">
        <v>328</v>
      </c>
      <c r="B27" s="81">
        <v>0</v>
      </c>
      <c r="C27" s="82">
        <f t="shared" si="0"/>
        <v>0</v>
      </c>
      <c r="D27" s="83">
        <f t="shared" si="1"/>
        <v>0</v>
      </c>
      <c r="E27" s="108">
        <v>0.43997498132271273</v>
      </c>
      <c r="F27" s="83">
        <f t="shared" si="2"/>
        <v>0</v>
      </c>
    </row>
    <row r="28" spans="1:6" x14ac:dyDescent="0.25">
      <c r="A28" s="80" t="s">
        <v>84</v>
      </c>
      <c r="B28" s="81">
        <v>240270.77013597137</v>
      </c>
      <c r="C28" s="82">
        <f t="shared" si="0"/>
        <v>3.4866691930726939E-4</v>
      </c>
      <c r="D28" s="83">
        <f t="shared" si="1"/>
        <v>-3951.55841881572</v>
      </c>
      <c r="E28" s="108">
        <v>0.43997498132271273</v>
      </c>
      <c r="F28" s="83">
        <f t="shared" si="2"/>
        <v>-1738.5868415140546</v>
      </c>
    </row>
    <row r="29" spans="1:6" x14ac:dyDescent="0.25">
      <c r="A29" s="80" t="s">
        <v>85</v>
      </c>
      <c r="B29" s="81">
        <v>10772.747648023511</v>
      </c>
      <c r="C29" s="82">
        <f t="shared" si="0"/>
        <v>1.5632782684241527E-5</v>
      </c>
      <c r="D29" s="83">
        <f t="shared" si="1"/>
        <v>-177.17153708807066</v>
      </c>
      <c r="E29" s="108">
        <v>0.43997498132271273</v>
      </c>
      <c r="F29" s="83">
        <f t="shared" si="2"/>
        <v>-77.951043721240197</v>
      </c>
    </row>
    <row r="30" spans="1:6" x14ac:dyDescent="0.25">
      <c r="A30" s="80" t="s">
        <v>86</v>
      </c>
      <c r="B30" s="81">
        <v>387838.42119753361</v>
      </c>
      <c r="C30" s="82">
        <f t="shared" si="0"/>
        <v>5.6280848241096234E-4</v>
      </c>
      <c r="D30" s="83">
        <f t="shared" si="1"/>
        <v>-6378.4961339909069</v>
      </c>
      <c r="E30" s="108">
        <v>0.43997498132271273</v>
      </c>
      <c r="F30" s="83">
        <f t="shared" si="2"/>
        <v>-2806.3787174196445</v>
      </c>
    </row>
    <row r="31" spans="1:6" x14ac:dyDescent="0.25">
      <c r="A31" s="80" t="s">
        <v>87</v>
      </c>
      <c r="B31" s="81">
        <v>311244.11488918663</v>
      </c>
      <c r="C31" s="82">
        <f t="shared" si="0"/>
        <v>4.5165929517567945E-4</v>
      </c>
      <c r="D31" s="83">
        <f t="shared" si="1"/>
        <v>-5118.8053453243674</v>
      </c>
      <c r="E31" s="108">
        <v>0.43997498132271273</v>
      </c>
      <c r="F31" s="83">
        <f t="shared" si="2"/>
        <v>-2252.1462862036906</v>
      </c>
    </row>
    <row r="32" spans="1:6" x14ac:dyDescent="0.25">
      <c r="A32" s="80" t="s">
        <v>88</v>
      </c>
      <c r="B32" s="81">
        <v>906379.57413102372</v>
      </c>
      <c r="C32" s="82">
        <f t="shared" si="0"/>
        <v>1.3152851412448453E-3</v>
      </c>
      <c r="D32" s="83">
        <f t="shared" si="1"/>
        <v>-14906.564934108248</v>
      </c>
      <c r="E32" s="108">
        <v>0.43997498132271273</v>
      </c>
      <c r="F32" s="83">
        <f t="shared" si="2"/>
        <v>-6558.5156284700806</v>
      </c>
    </row>
    <row r="33" spans="1:6" x14ac:dyDescent="0.25">
      <c r="A33" s="80" t="s">
        <v>89</v>
      </c>
      <c r="B33" s="81">
        <v>209704.46411756871</v>
      </c>
      <c r="C33" s="82">
        <f t="shared" si="0"/>
        <v>3.0431087987721906E-4</v>
      </c>
      <c r="D33" s="83">
        <f t="shared" si="1"/>
        <v>-3448.8566386084831</v>
      </c>
      <c r="E33" s="108">
        <v>0.43997498132271273</v>
      </c>
      <c r="F33" s="83">
        <f t="shared" si="2"/>
        <v>-1517.4106351564812</v>
      </c>
    </row>
    <row r="34" spans="1:6" x14ac:dyDescent="0.25">
      <c r="A34" s="80" t="s">
        <v>90</v>
      </c>
      <c r="B34" s="81">
        <v>810459.18886156986</v>
      </c>
      <c r="C34" s="82">
        <f t="shared" si="0"/>
        <v>1.1760910761001735E-3</v>
      </c>
      <c r="D34" s="83">
        <f t="shared" si="1"/>
        <v>-13329.032195801967</v>
      </c>
      <c r="E34" s="108">
        <v>0.43997498132271273</v>
      </c>
      <c r="F34" s="83">
        <f t="shared" si="2"/>
        <v>-5864.4406913978073</v>
      </c>
    </row>
    <row r="35" spans="1:6" x14ac:dyDescent="0.25">
      <c r="A35" s="80" t="s">
        <v>91</v>
      </c>
      <c r="B35" s="81">
        <v>87504.880160048429</v>
      </c>
      <c r="C35" s="82">
        <f t="shared" si="0"/>
        <v>1.2698197526270037E-4</v>
      </c>
      <c r="D35" s="83">
        <f t="shared" si="1"/>
        <v>-1439.1290529772709</v>
      </c>
      <c r="E35" s="108">
        <v>0.43997498132271273</v>
      </c>
      <c r="F35" s="83">
        <f t="shared" si="2"/>
        <v>-633.18077820464805</v>
      </c>
    </row>
    <row r="36" spans="1:6" x14ac:dyDescent="0.25">
      <c r="A36" s="80" t="s">
        <v>329</v>
      </c>
      <c r="B36" s="81">
        <v>4140.7631231896357</v>
      </c>
      <c r="C36" s="82">
        <f t="shared" si="0"/>
        <v>6.0088337875083526E-6</v>
      </c>
      <c r="D36" s="83">
        <f t="shared" si="1"/>
        <v>-68.100116258428002</v>
      </c>
      <c r="E36" s="108">
        <v>0.43997498132271273</v>
      </c>
      <c r="F36" s="83">
        <f t="shared" si="2"/>
        <v>-29.962347378876427</v>
      </c>
    </row>
    <row r="37" spans="1:6" x14ac:dyDescent="0.25">
      <c r="A37" s="80" t="s">
        <v>92</v>
      </c>
      <c r="B37" s="81">
        <v>5858981.3924137084</v>
      </c>
      <c r="C37" s="82">
        <f t="shared" si="0"/>
        <v>8.5022118637878667E-3</v>
      </c>
      <c r="D37" s="83">
        <f t="shared" si="1"/>
        <v>-96358.401122929165</v>
      </c>
      <c r="E37" s="108">
        <v>0.43997498132271273</v>
      </c>
      <c r="F37" s="83">
        <f t="shared" si="2"/>
        <v>-42395.285734347221</v>
      </c>
    </row>
    <row r="38" spans="1:6" x14ac:dyDescent="0.25">
      <c r="A38" s="80" t="s">
        <v>284</v>
      </c>
      <c r="B38" s="81">
        <v>35973.286988250722</v>
      </c>
      <c r="C38" s="82">
        <f t="shared" si="0"/>
        <v>5.2202334659566104E-5</v>
      </c>
      <c r="D38" s="83">
        <f t="shared" si="1"/>
        <v>-591.62645947508258</v>
      </c>
      <c r="E38" s="108">
        <v>0</v>
      </c>
      <c r="F38" s="83">
        <f t="shared" si="2"/>
        <v>0</v>
      </c>
    </row>
    <row r="39" spans="1:6" x14ac:dyDescent="0.25">
      <c r="A39" s="80" t="s">
        <v>93</v>
      </c>
      <c r="B39" s="81">
        <v>4175810.2644076617</v>
      </c>
      <c r="C39" s="82">
        <f t="shared" si="0"/>
        <v>6.059692153476467E-3</v>
      </c>
      <c r="D39" s="83">
        <f t="shared" si="1"/>
        <v>-68676.511072733294</v>
      </c>
      <c r="E39" s="108">
        <v>0.43997498132271273</v>
      </c>
      <c r="F39" s="83">
        <f t="shared" si="2"/>
        <v>-30215.946676534906</v>
      </c>
    </row>
    <row r="40" spans="1:6" x14ac:dyDescent="0.25">
      <c r="A40" s="80" t="s">
        <v>94</v>
      </c>
      <c r="B40" s="81">
        <v>848687.86487659498</v>
      </c>
      <c r="C40" s="82">
        <f t="shared" si="0"/>
        <v>1.2315662996898406E-3</v>
      </c>
      <c r="D40" s="83">
        <f t="shared" si="1"/>
        <v>-13957.75139648486</v>
      </c>
      <c r="E40" s="108">
        <v>0.43997498132271273</v>
      </c>
      <c r="F40" s="83">
        <f t="shared" si="2"/>
        <v>-6141.0614099754939</v>
      </c>
    </row>
    <row r="41" spans="1:6" x14ac:dyDescent="0.25">
      <c r="A41" s="80" t="s">
        <v>95</v>
      </c>
      <c r="B41" s="81">
        <v>1705795.4825058074</v>
      </c>
      <c r="C41" s="82">
        <f t="shared" ref="C41:C72" si="3">B41/$B$212</f>
        <v>2.4753508531935873E-3</v>
      </c>
      <c r="D41" s="83">
        <f t="shared" ref="D41:D72" si="4">$D$212*C41</f>
        <v>-28053.976336193991</v>
      </c>
      <c r="E41" s="108">
        <v>0.43997498132271273</v>
      </c>
      <c r="F41" s="83">
        <f t="shared" si="2"/>
        <v>-12343.047714544777</v>
      </c>
    </row>
    <row r="42" spans="1:6" x14ac:dyDescent="0.25">
      <c r="A42" s="80" t="s">
        <v>96</v>
      </c>
      <c r="B42" s="81">
        <v>86424.775696209908</v>
      </c>
      <c r="C42" s="82">
        <f t="shared" si="3"/>
        <v>1.2541459070017748E-4</v>
      </c>
      <c r="D42" s="83">
        <f t="shared" si="4"/>
        <v>-1421.3653612686783</v>
      </c>
      <c r="E42" s="108">
        <v>0.43997498132271273</v>
      </c>
      <c r="F42" s="83">
        <f t="shared" si="2"/>
        <v>-625.36519827693758</v>
      </c>
    </row>
    <row r="43" spans="1:6" x14ac:dyDescent="0.25">
      <c r="A43" s="80" t="s">
        <v>97</v>
      </c>
      <c r="B43" s="81">
        <v>448963.1594376415</v>
      </c>
      <c r="C43" s="82">
        <f t="shared" si="3"/>
        <v>6.5150913527681404E-4</v>
      </c>
      <c r="D43" s="83">
        <f t="shared" si="4"/>
        <v>-7383.7701998038929</v>
      </c>
      <c r="E43" s="108">
        <v>0.43997498132271273</v>
      </c>
      <c r="F43" s="83">
        <f t="shared" si="2"/>
        <v>-3248.6741557499208</v>
      </c>
    </row>
    <row r="44" spans="1:6" x14ac:dyDescent="0.25">
      <c r="A44" s="80" t="s">
        <v>330</v>
      </c>
      <c r="B44" s="81">
        <v>45440.043909546075</v>
      </c>
      <c r="C44" s="82">
        <f t="shared" si="3"/>
        <v>6.5939939819406807E-5</v>
      </c>
      <c r="D44" s="83">
        <f t="shared" si="4"/>
        <v>-747.31931795327716</v>
      </c>
      <c r="E44" s="108">
        <v>0</v>
      </c>
      <c r="F44" s="83">
        <f t="shared" si="2"/>
        <v>0</v>
      </c>
    </row>
    <row r="45" spans="1:6" x14ac:dyDescent="0.25">
      <c r="A45" s="80" t="s">
        <v>98</v>
      </c>
      <c r="B45" s="81">
        <v>29336345.2571619</v>
      </c>
      <c r="C45" s="82">
        <f t="shared" si="3"/>
        <v>4.2571192154420616E-2</v>
      </c>
      <c r="D45" s="83">
        <f t="shared" si="4"/>
        <v>-482473.5110834337</v>
      </c>
      <c r="E45" s="108">
        <v>0.43997498132271273</v>
      </c>
      <c r="F45" s="83">
        <f t="shared" si="2"/>
        <v>-212276.27402763738</v>
      </c>
    </row>
    <row r="46" spans="1:6" x14ac:dyDescent="0.25">
      <c r="A46" s="80" t="s">
        <v>99</v>
      </c>
      <c r="B46" s="81">
        <v>6713824.9221918751</v>
      </c>
      <c r="C46" s="82">
        <f t="shared" si="3"/>
        <v>9.7427109051353971E-3</v>
      </c>
      <c r="D46" s="83">
        <f t="shared" si="4"/>
        <v>-110417.39025820118</v>
      </c>
      <c r="E46" s="108">
        <v>0.43997498132271273</v>
      </c>
      <c r="F46" s="83">
        <f t="shared" si="2"/>
        <v>-48580.889216554744</v>
      </c>
    </row>
    <row r="47" spans="1:6" x14ac:dyDescent="0.25">
      <c r="A47" s="80" t="s">
        <v>100</v>
      </c>
      <c r="B47" s="81">
        <v>9994829.2864634041</v>
      </c>
      <c r="C47" s="82">
        <f t="shared" si="3"/>
        <v>1.45039129576234E-2</v>
      </c>
      <c r="D47" s="83">
        <f t="shared" si="4"/>
        <v>-164377.68018639853</v>
      </c>
      <c r="E47" s="108">
        <v>0.43997498132271273</v>
      </c>
      <c r="F47" s="83">
        <f t="shared" si="2"/>
        <v>-72322.066769881538</v>
      </c>
    </row>
    <row r="48" spans="1:6" x14ac:dyDescent="0.25">
      <c r="A48" s="80" t="s">
        <v>101</v>
      </c>
      <c r="B48" s="81">
        <v>1914830.7231969472</v>
      </c>
      <c r="C48" s="82">
        <f t="shared" si="3"/>
        <v>2.7786905950905635E-3</v>
      </c>
      <c r="D48" s="83">
        <f t="shared" si="4"/>
        <v>-31491.826744359721</v>
      </c>
      <c r="E48" s="108">
        <v>0.43997498132271273</v>
      </c>
      <c r="F48" s="83">
        <f t="shared" si="2"/>
        <v>-13855.615883667773</v>
      </c>
    </row>
    <row r="49" spans="1:6" x14ac:dyDescent="0.25">
      <c r="A49" s="80" t="s">
        <v>102</v>
      </c>
      <c r="B49" s="81">
        <v>505468.64157438307</v>
      </c>
      <c r="C49" s="82">
        <f t="shared" si="3"/>
        <v>7.335065932673983E-4</v>
      </c>
      <c r="D49" s="83">
        <f t="shared" si="4"/>
        <v>-8313.074723697182</v>
      </c>
      <c r="E49" s="108">
        <v>0.43997498132271273</v>
      </c>
      <c r="F49" s="83">
        <f t="shared" si="2"/>
        <v>-3657.5448962929831</v>
      </c>
    </row>
    <row r="50" spans="1:6" x14ac:dyDescent="0.25">
      <c r="A50" s="80" t="s">
        <v>103</v>
      </c>
      <c r="B50" s="81">
        <v>46420.329438009816</v>
      </c>
      <c r="C50" s="82">
        <f t="shared" si="3"/>
        <v>6.7362472968393383E-5</v>
      </c>
      <c r="D50" s="83">
        <f t="shared" si="4"/>
        <v>-763.44136030845834</v>
      </c>
      <c r="E50" s="108">
        <v>0.43997498132271273</v>
      </c>
      <c r="F50" s="83">
        <f t="shared" si="2"/>
        <v>-335.89509824270039</v>
      </c>
    </row>
    <row r="51" spans="1:6" x14ac:dyDescent="0.25">
      <c r="A51" s="80" t="s">
        <v>104</v>
      </c>
      <c r="B51" s="81">
        <v>164716.84821488915</v>
      </c>
      <c r="C51" s="82">
        <f t="shared" si="3"/>
        <v>2.3902747717746773E-4</v>
      </c>
      <c r="D51" s="83">
        <f t="shared" si="4"/>
        <v>-2708.9780746779679</v>
      </c>
      <c r="E51" s="108">
        <v>0.43997498132271273</v>
      </c>
      <c r="F51" s="83">
        <f t="shared" si="2"/>
        <v>-1191.8825778100772</v>
      </c>
    </row>
    <row r="52" spans="1:6" x14ac:dyDescent="0.25">
      <c r="A52" s="80" t="s">
        <v>105</v>
      </c>
      <c r="B52" s="81">
        <v>1050006.2988619516</v>
      </c>
      <c r="C52" s="82">
        <f t="shared" si="3"/>
        <v>1.5237078620518177E-3</v>
      </c>
      <c r="D52" s="83">
        <f t="shared" si="4"/>
        <v>-17268.689103253935</v>
      </c>
      <c r="E52" s="108">
        <v>0.43997498132271273</v>
      </c>
      <c r="F52" s="83">
        <f t="shared" si="2"/>
        <v>-7597.7911656718834</v>
      </c>
    </row>
    <row r="53" spans="1:6" x14ac:dyDescent="0.25">
      <c r="A53" s="80" t="s">
        <v>106</v>
      </c>
      <c r="B53" s="81">
        <v>3090243.4515683944</v>
      </c>
      <c r="C53" s="82">
        <f t="shared" si="3"/>
        <v>4.4843809488689266E-3</v>
      </c>
      <c r="D53" s="83">
        <f t="shared" si="4"/>
        <v>-50822.984087181168</v>
      </c>
      <c r="E53" s="108">
        <v>0.43997498132271273</v>
      </c>
      <c r="F53" s="83">
        <f t="shared" si="2"/>
        <v>-22360.841474522062</v>
      </c>
    </row>
    <row r="54" spans="1:6" x14ac:dyDescent="0.25">
      <c r="A54" s="80" t="s">
        <v>107</v>
      </c>
      <c r="B54" s="81">
        <v>7011969.0293070618</v>
      </c>
      <c r="C54" s="82">
        <f t="shared" si="3"/>
        <v>1.0175360233552004E-2</v>
      </c>
      <c r="D54" s="83">
        <f t="shared" si="4"/>
        <v>-115320.74931358939</v>
      </c>
      <c r="E54" s="108">
        <v>0.43997498132271273</v>
      </c>
      <c r="F54" s="83">
        <f t="shared" si="2"/>
        <v>-50738.244525367729</v>
      </c>
    </row>
    <row r="55" spans="1:6" x14ac:dyDescent="0.25">
      <c r="A55" s="80" t="s">
        <v>108</v>
      </c>
      <c r="B55" s="81">
        <v>3561398.9513322068</v>
      </c>
      <c r="C55" s="82">
        <f t="shared" si="3"/>
        <v>5.1680943132717625E-3</v>
      </c>
      <c r="D55" s="83">
        <f t="shared" si="4"/>
        <v>-58571.735550413308</v>
      </c>
      <c r="E55" s="108">
        <v>0.43997498132271273</v>
      </c>
      <c r="F55" s="83">
        <f t="shared" si="2"/>
        <v>-25770.098254831966</v>
      </c>
    </row>
    <row r="56" spans="1:6" x14ac:dyDescent="0.25">
      <c r="A56" s="80" t="s">
        <v>109</v>
      </c>
      <c r="B56" s="81">
        <v>26273.39794448575</v>
      </c>
      <c r="C56" s="82">
        <f t="shared" si="3"/>
        <v>3.8126421769296735E-5</v>
      </c>
      <c r="D56" s="83">
        <f t="shared" si="4"/>
        <v>-432.09944671869636</v>
      </c>
      <c r="E56" s="108">
        <v>0.43997498132271273</v>
      </c>
      <c r="F56" s="83">
        <f t="shared" si="2"/>
        <v>-190.11294599961295</v>
      </c>
    </row>
    <row r="57" spans="1:6" x14ac:dyDescent="0.25">
      <c r="A57" s="80" t="s">
        <v>285</v>
      </c>
      <c r="B57" s="81">
        <v>-11391.108851200772</v>
      </c>
      <c r="C57" s="82">
        <f t="shared" si="3"/>
        <v>-1.6530112374444547E-5</v>
      </c>
      <c r="D57" s="83">
        <f t="shared" si="4"/>
        <v>187.34127357703821</v>
      </c>
      <c r="E57" s="108">
        <v>0</v>
      </c>
      <c r="F57" s="83">
        <f t="shared" si="2"/>
        <v>0</v>
      </c>
    </row>
    <row r="58" spans="1:6" x14ac:dyDescent="0.25">
      <c r="A58" s="80" t="s">
        <v>270</v>
      </c>
      <c r="B58" s="81">
        <v>277058.49971783865</v>
      </c>
      <c r="C58" s="82">
        <f t="shared" si="3"/>
        <v>4.0205112552744277E-4</v>
      </c>
      <c r="D58" s="83">
        <f t="shared" si="4"/>
        <v>-4556.5794226443513</v>
      </c>
      <c r="E58" s="108">
        <v>0</v>
      </c>
      <c r="F58" s="83">
        <f t="shared" si="2"/>
        <v>0</v>
      </c>
    </row>
    <row r="59" spans="1:6" x14ac:dyDescent="0.25">
      <c r="A59" s="80" t="s">
        <v>110</v>
      </c>
      <c r="B59" s="81">
        <v>7520436.4410260422</v>
      </c>
      <c r="C59" s="82">
        <f t="shared" si="3"/>
        <v>1.091321846704362E-2</v>
      </c>
      <c r="D59" s="83">
        <f t="shared" si="4"/>
        <v>-123683.14262649436</v>
      </c>
      <c r="E59" s="108">
        <v>0.48488009101542923</v>
      </c>
      <c r="F59" s="83">
        <f t="shared" si="2"/>
        <v>-59971.4934538089</v>
      </c>
    </row>
    <row r="60" spans="1:6" x14ac:dyDescent="0.25">
      <c r="A60" s="80" t="s">
        <v>286</v>
      </c>
      <c r="B60" s="81">
        <v>335059.03820657678</v>
      </c>
      <c r="C60" s="82">
        <f t="shared" si="3"/>
        <v>4.862181220438593E-4</v>
      </c>
      <c r="D60" s="83">
        <f t="shared" si="4"/>
        <v>-5510.4720498304059</v>
      </c>
      <c r="E60" s="108">
        <v>1</v>
      </c>
      <c r="F60" s="83">
        <f t="shared" si="2"/>
        <v>-5510.4720498304059</v>
      </c>
    </row>
    <row r="61" spans="1:6" x14ac:dyDescent="0.25">
      <c r="A61" s="80" t="s">
        <v>271</v>
      </c>
      <c r="B61" s="81">
        <v>72119.794933971585</v>
      </c>
      <c r="C61" s="82">
        <f t="shared" si="3"/>
        <v>1.0465603746335712E-4</v>
      </c>
      <c r="D61" s="83">
        <f t="shared" si="4"/>
        <v>-1186.1017579180475</v>
      </c>
      <c r="E61" s="108">
        <v>0</v>
      </c>
      <c r="F61" s="83">
        <f t="shared" si="2"/>
        <v>0</v>
      </c>
    </row>
    <row r="62" spans="1:6" x14ac:dyDescent="0.25">
      <c r="A62" s="80" t="s">
        <v>287</v>
      </c>
      <c r="B62" s="81">
        <v>103416.80085379243</v>
      </c>
      <c r="C62" s="82">
        <f t="shared" si="3"/>
        <v>1.5007242594635895E-4</v>
      </c>
      <c r="D62" s="83">
        <f t="shared" si="4"/>
        <v>-1700.8208273920682</v>
      </c>
      <c r="E62" s="108">
        <v>0</v>
      </c>
      <c r="F62" s="83">
        <f t="shared" si="2"/>
        <v>0</v>
      </c>
    </row>
    <row r="63" spans="1:6" x14ac:dyDescent="0.25">
      <c r="A63" s="80" t="s">
        <v>111</v>
      </c>
      <c r="B63" s="81">
        <v>12093962.319257226</v>
      </c>
      <c r="C63" s="82">
        <f t="shared" si="3"/>
        <v>1.7550052308432321E-2</v>
      </c>
      <c r="D63" s="83">
        <f t="shared" si="4"/>
        <v>-198900.59282889965</v>
      </c>
      <c r="E63" s="108">
        <v>0.48488009101542923</v>
      </c>
      <c r="F63" s="83">
        <f t="shared" si="2"/>
        <v>-96442.937553899697</v>
      </c>
    </row>
    <row r="64" spans="1:6" x14ac:dyDescent="0.25">
      <c r="A64" s="80" t="s">
        <v>112</v>
      </c>
      <c r="B64" s="81">
        <v>29890.802858170544</v>
      </c>
      <c r="C64" s="82">
        <f t="shared" si="3"/>
        <v>4.3375788666600523E-5</v>
      </c>
      <c r="D64" s="83">
        <f t="shared" si="4"/>
        <v>-491.59227155480596</v>
      </c>
      <c r="E64" s="108">
        <v>0</v>
      </c>
      <c r="F64" s="83">
        <f t="shared" si="2"/>
        <v>0</v>
      </c>
    </row>
    <row r="65" spans="1:6" x14ac:dyDescent="0.25">
      <c r="A65" s="80" t="s">
        <v>288</v>
      </c>
      <c r="B65" s="81">
        <v>254436.18896422963</v>
      </c>
      <c r="C65" s="82">
        <f t="shared" si="3"/>
        <v>3.6922294841039736E-4</v>
      </c>
      <c r="D65" s="83">
        <f t="shared" si="4"/>
        <v>-4184.5267486511702</v>
      </c>
      <c r="E65" s="108">
        <v>0</v>
      </c>
      <c r="F65" s="83">
        <f t="shared" si="2"/>
        <v>0</v>
      </c>
    </row>
    <row r="66" spans="1:6" x14ac:dyDescent="0.25">
      <c r="A66" s="80" t="s">
        <v>113</v>
      </c>
      <c r="B66" s="81">
        <v>238135.9131878023</v>
      </c>
      <c r="C66" s="82">
        <f t="shared" si="3"/>
        <v>3.4556893949533226E-4</v>
      </c>
      <c r="D66" s="83">
        <f t="shared" si="4"/>
        <v>-3916.447980947099</v>
      </c>
      <c r="E66" s="108">
        <v>0</v>
      </c>
      <c r="F66" s="83">
        <f t="shared" si="2"/>
        <v>0</v>
      </c>
    </row>
    <row r="67" spans="1:6" x14ac:dyDescent="0.25">
      <c r="A67" s="80" t="s">
        <v>114</v>
      </c>
      <c r="B67" s="81">
        <v>2375.7183108197937</v>
      </c>
      <c r="C67" s="82">
        <f t="shared" si="3"/>
        <v>3.4475037646345642E-6</v>
      </c>
      <c r="D67" s="83">
        <f t="shared" si="4"/>
        <v>-39.07170933252506</v>
      </c>
      <c r="E67" s="108">
        <v>0.48488009101542923</v>
      </c>
      <c r="F67" s="83">
        <f t="shared" si="2"/>
        <v>-18.945093977283147</v>
      </c>
    </row>
    <row r="68" spans="1:6" x14ac:dyDescent="0.25">
      <c r="A68" s="80" t="s">
        <v>115</v>
      </c>
      <c r="B68" s="81">
        <v>1048768.8912855959</v>
      </c>
      <c r="C68" s="82">
        <f t="shared" si="3"/>
        <v>1.5219122083926929E-3</v>
      </c>
      <c r="D68" s="83">
        <f t="shared" si="4"/>
        <v>-17248.338361783855</v>
      </c>
      <c r="E68" s="108">
        <v>1</v>
      </c>
      <c r="F68" s="83">
        <f t="shared" si="2"/>
        <v>-17248.338361783855</v>
      </c>
    </row>
    <row r="69" spans="1:6" x14ac:dyDescent="0.25">
      <c r="A69" s="80" t="s">
        <v>116</v>
      </c>
      <c r="B69" s="81">
        <v>100803.72622892987</v>
      </c>
      <c r="C69" s="82">
        <f t="shared" si="3"/>
        <v>1.4628048455101055E-4</v>
      </c>
      <c r="D69" s="83">
        <f t="shared" si="4"/>
        <v>-1657.8454915781197</v>
      </c>
      <c r="E69" s="108">
        <v>0</v>
      </c>
      <c r="F69" s="83">
        <f t="shared" si="2"/>
        <v>0</v>
      </c>
    </row>
    <row r="70" spans="1:6" x14ac:dyDescent="0.25">
      <c r="A70" s="80" t="s">
        <v>117</v>
      </c>
      <c r="B70" s="81">
        <v>481183.07486533321</v>
      </c>
      <c r="C70" s="82">
        <f t="shared" si="3"/>
        <v>6.9826479617620936E-4</v>
      </c>
      <c r="D70" s="83">
        <f t="shared" si="4"/>
        <v>-7913.6676899970398</v>
      </c>
      <c r="E70" s="108">
        <v>0</v>
      </c>
      <c r="F70" s="83">
        <f t="shared" si="2"/>
        <v>0</v>
      </c>
    </row>
    <row r="71" spans="1:6" x14ac:dyDescent="0.25">
      <c r="A71" s="80" t="s">
        <v>118</v>
      </c>
      <c r="B71" s="81">
        <v>397296.11154958967</v>
      </c>
      <c r="C71" s="82">
        <f t="shared" si="3"/>
        <v>5.7653293069465214E-4</v>
      </c>
      <c r="D71" s="83">
        <f t="shared" si="4"/>
        <v>-6534.0398812060575</v>
      </c>
      <c r="E71" s="108">
        <v>0</v>
      </c>
      <c r="F71" s="83">
        <f t="shared" si="2"/>
        <v>0</v>
      </c>
    </row>
    <row r="72" spans="1:6" x14ac:dyDescent="0.25">
      <c r="A72" s="80" t="s">
        <v>289</v>
      </c>
      <c r="B72" s="81">
        <v>237266.36253731718</v>
      </c>
      <c r="C72" s="82">
        <f t="shared" si="3"/>
        <v>3.4430709833872922E-4</v>
      </c>
      <c r="D72" s="83">
        <f t="shared" si="4"/>
        <v>-3902.147114505598</v>
      </c>
      <c r="E72" s="108">
        <v>0</v>
      </c>
      <c r="F72" s="83">
        <f t="shared" si="2"/>
        <v>0</v>
      </c>
    </row>
    <row r="73" spans="1:6" x14ac:dyDescent="0.25">
      <c r="A73" s="80" t="s">
        <v>119</v>
      </c>
      <c r="B73" s="81">
        <v>1282694.9172727691</v>
      </c>
      <c r="C73" s="82">
        <f t="shared" ref="C73:C104" si="5">B73/$B$212</f>
        <v>1.8613720052734499E-3</v>
      </c>
      <c r="D73" s="83">
        <f t="shared" ref="D73:D104" si="6">$D$212*C73</f>
        <v>-21095.5493930991</v>
      </c>
      <c r="E73" s="108">
        <v>0</v>
      </c>
      <c r="F73" s="83">
        <f t="shared" si="2"/>
        <v>0</v>
      </c>
    </row>
    <row r="74" spans="1:6" x14ac:dyDescent="0.25">
      <c r="A74" s="80" t="s">
        <v>120</v>
      </c>
      <c r="B74" s="81">
        <v>158.38122072131958</v>
      </c>
      <c r="C74" s="82">
        <f t="shared" si="5"/>
        <v>2.2983358430897096E-7</v>
      </c>
      <c r="D74" s="83">
        <f t="shared" si="6"/>
        <v>-2.6047806221683376</v>
      </c>
      <c r="E74" s="108">
        <v>0.48488009101542923</v>
      </c>
      <c r="F74" s="83">
        <f t="shared" ref="F74:F137" si="7">D74*E74</f>
        <v>-1.2630062651522098</v>
      </c>
    </row>
    <row r="75" spans="1:6" x14ac:dyDescent="0.25">
      <c r="A75" s="80" t="s">
        <v>121</v>
      </c>
      <c r="B75" s="81">
        <v>4471652.2124841465</v>
      </c>
      <c r="C75" s="82">
        <f t="shared" si="5"/>
        <v>6.4890007230511823E-3</v>
      </c>
      <c r="D75" s="83">
        <f t="shared" si="6"/>
        <v>-73542.008194580063</v>
      </c>
      <c r="E75" s="108">
        <v>1</v>
      </c>
      <c r="F75" s="83">
        <f t="shared" si="7"/>
        <v>-73542.008194580063</v>
      </c>
    </row>
    <row r="76" spans="1:6" x14ac:dyDescent="0.25">
      <c r="A76" s="80" t="s">
        <v>122</v>
      </c>
      <c r="B76" s="81">
        <v>192964.9778693362</v>
      </c>
      <c r="C76" s="82">
        <f t="shared" si="5"/>
        <v>2.8001951435799798E-4</v>
      </c>
      <c r="D76" s="83">
        <f t="shared" si="6"/>
        <v>-3173.5544960573106</v>
      </c>
      <c r="E76" s="108">
        <v>0</v>
      </c>
      <c r="F76" s="83">
        <f t="shared" si="7"/>
        <v>0</v>
      </c>
    </row>
    <row r="77" spans="1:6" x14ac:dyDescent="0.25">
      <c r="A77" s="80" t="s">
        <v>123</v>
      </c>
      <c r="B77" s="81">
        <v>337156.11922746914</v>
      </c>
      <c r="C77" s="82">
        <f t="shared" si="5"/>
        <v>4.8926128363475322E-4</v>
      </c>
      <c r="D77" s="83">
        <f t="shared" si="6"/>
        <v>-5544.9612145272031</v>
      </c>
      <c r="E77" s="108">
        <v>0</v>
      </c>
      <c r="F77" s="83">
        <f t="shared" si="7"/>
        <v>0</v>
      </c>
    </row>
    <row r="78" spans="1:6" x14ac:dyDescent="0.25">
      <c r="A78" s="80" t="s">
        <v>124</v>
      </c>
      <c r="B78" s="81">
        <v>114855.35473515948</v>
      </c>
      <c r="C78" s="82">
        <f t="shared" si="5"/>
        <v>1.6667138777966671E-4</v>
      </c>
      <c r="D78" s="83">
        <f t="shared" si="6"/>
        <v>-1888.9423948362228</v>
      </c>
      <c r="E78" s="108">
        <v>0</v>
      </c>
      <c r="F78" s="83">
        <f t="shared" si="7"/>
        <v>0</v>
      </c>
    </row>
    <row r="79" spans="1:6" x14ac:dyDescent="0.25">
      <c r="A79" s="80" t="s">
        <v>125</v>
      </c>
      <c r="B79" s="81">
        <v>206718.17696511245</v>
      </c>
      <c r="C79" s="82">
        <f t="shared" si="5"/>
        <v>2.9997735424268363E-4</v>
      </c>
      <c r="D79" s="83">
        <f t="shared" si="6"/>
        <v>-3399.7433480837481</v>
      </c>
      <c r="E79" s="108">
        <v>0.48488009101542923</v>
      </c>
      <c r="F79" s="83">
        <f t="shared" si="7"/>
        <v>-1648.4678640479478</v>
      </c>
    </row>
    <row r="80" spans="1:6" x14ac:dyDescent="0.25">
      <c r="A80" s="80" t="s">
        <v>126</v>
      </c>
      <c r="B80" s="81">
        <v>62254.207335890067</v>
      </c>
      <c r="C80" s="82">
        <f t="shared" si="5"/>
        <v>9.0339672501308388E-5</v>
      </c>
      <c r="D80" s="83">
        <f t="shared" si="6"/>
        <v>-1023.8496216814951</v>
      </c>
      <c r="E80" s="108">
        <v>0</v>
      </c>
      <c r="F80" s="83">
        <f t="shared" si="7"/>
        <v>0</v>
      </c>
    </row>
    <row r="81" spans="1:6" x14ac:dyDescent="0.25">
      <c r="A81" s="80" t="s">
        <v>290</v>
      </c>
      <c r="B81" s="81">
        <v>145377.09634026111</v>
      </c>
      <c r="C81" s="82">
        <f t="shared" si="5"/>
        <v>2.109627579339345E-4</v>
      </c>
      <c r="D81" s="83">
        <f t="shared" si="6"/>
        <v>-2390.9112565845912</v>
      </c>
      <c r="E81" s="108">
        <v>0</v>
      </c>
      <c r="F81" s="83">
        <f t="shared" si="7"/>
        <v>0</v>
      </c>
    </row>
    <row r="82" spans="1:6" x14ac:dyDescent="0.25">
      <c r="A82" s="80" t="s">
        <v>127</v>
      </c>
      <c r="B82" s="81">
        <v>493424.37830028537</v>
      </c>
      <c r="C82" s="82">
        <f t="shared" si="5"/>
        <v>7.1602866131284201E-4</v>
      </c>
      <c r="D82" s="83">
        <f t="shared" si="6"/>
        <v>-8114.9914948788764</v>
      </c>
      <c r="E82" s="108">
        <v>0</v>
      </c>
      <c r="F82" s="83">
        <f t="shared" si="7"/>
        <v>0</v>
      </c>
    </row>
    <row r="83" spans="1:6" x14ac:dyDescent="0.25">
      <c r="A83" s="80" t="s">
        <v>128</v>
      </c>
      <c r="B83" s="81">
        <v>640019.54417251644</v>
      </c>
      <c r="C83" s="82">
        <f t="shared" si="5"/>
        <v>9.2875901066446619E-4</v>
      </c>
      <c r="D83" s="83">
        <f t="shared" si="6"/>
        <v>-10525.935454197284</v>
      </c>
      <c r="E83" s="108">
        <v>1</v>
      </c>
      <c r="F83" s="83">
        <f t="shared" si="7"/>
        <v>-10525.935454197284</v>
      </c>
    </row>
    <row r="84" spans="1:6" x14ac:dyDescent="0.25">
      <c r="A84" s="80" t="s">
        <v>129</v>
      </c>
      <c r="B84" s="81">
        <v>241823.01164219656</v>
      </c>
      <c r="C84" s="82">
        <f t="shared" si="5"/>
        <v>3.5091944159156615E-4</v>
      </c>
      <c r="D84" s="83">
        <f t="shared" si="6"/>
        <v>-3977.0870047044164</v>
      </c>
      <c r="E84" s="108">
        <v>0</v>
      </c>
      <c r="F84" s="83">
        <f t="shared" si="7"/>
        <v>0</v>
      </c>
    </row>
    <row r="85" spans="1:6" x14ac:dyDescent="0.25">
      <c r="A85" s="80" t="s">
        <v>130</v>
      </c>
      <c r="B85" s="81">
        <v>291678.60409065045</v>
      </c>
      <c r="C85" s="82">
        <f t="shared" si="5"/>
        <v>4.2326696775716666E-4</v>
      </c>
      <c r="D85" s="83">
        <f t="shared" si="6"/>
        <v>-4797.0256345812222</v>
      </c>
      <c r="E85" s="108">
        <v>0</v>
      </c>
      <c r="F85" s="83">
        <f t="shared" si="7"/>
        <v>0</v>
      </c>
    </row>
    <row r="86" spans="1:6" x14ac:dyDescent="0.25">
      <c r="A86" s="80" t="s">
        <v>131</v>
      </c>
      <c r="B86" s="81">
        <v>80011.402780601871</v>
      </c>
      <c r="C86" s="82">
        <f t="shared" si="5"/>
        <v>1.1610787821247752E-4</v>
      </c>
      <c r="D86" s="83">
        <f t="shared" si="6"/>
        <v>-1315.8892864080785</v>
      </c>
      <c r="E86" s="108">
        <v>0</v>
      </c>
      <c r="F86" s="83">
        <f t="shared" si="7"/>
        <v>0</v>
      </c>
    </row>
    <row r="87" spans="1:6" x14ac:dyDescent="0.25">
      <c r="A87" s="80" t="s">
        <v>132</v>
      </c>
      <c r="B87" s="81">
        <v>459513.06958914176</v>
      </c>
      <c r="C87" s="82">
        <f t="shared" si="5"/>
        <v>6.6681854919100117E-4</v>
      </c>
      <c r="D87" s="83">
        <f t="shared" si="6"/>
        <v>-7557.2768908313474</v>
      </c>
      <c r="E87" s="108">
        <v>0</v>
      </c>
      <c r="F87" s="83">
        <f t="shared" si="7"/>
        <v>0</v>
      </c>
    </row>
    <row r="88" spans="1:6" x14ac:dyDescent="0.25">
      <c r="A88" s="80" t="s">
        <v>291</v>
      </c>
      <c r="B88" s="81">
        <v>687207.68043756578</v>
      </c>
      <c r="C88" s="82">
        <f t="shared" si="5"/>
        <v>9.9723568009069531E-4</v>
      </c>
      <c r="D88" s="83">
        <f t="shared" si="6"/>
        <v>-11302.004374361215</v>
      </c>
      <c r="E88" s="108">
        <v>0</v>
      </c>
      <c r="F88" s="83">
        <f t="shared" si="7"/>
        <v>0</v>
      </c>
    </row>
    <row r="89" spans="1:6" x14ac:dyDescent="0.25">
      <c r="A89" s="80" t="s">
        <v>133</v>
      </c>
      <c r="B89" s="81">
        <v>4374089.7009049952</v>
      </c>
      <c r="C89" s="82">
        <f t="shared" si="5"/>
        <v>6.3474237000411332E-3</v>
      </c>
      <c r="D89" s="83">
        <f t="shared" si="6"/>
        <v>-71937.468600466178</v>
      </c>
      <c r="E89" s="108">
        <v>0</v>
      </c>
      <c r="F89" s="83">
        <f t="shared" si="7"/>
        <v>0</v>
      </c>
    </row>
    <row r="90" spans="1:6" x14ac:dyDescent="0.25">
      <c r="A90" s="80" t="s">
        <v>134</v>
      </c>
      <c r="B90" s="81">
        <v>4125322.9668273544</v>
      </c>
      <c r="C90" s="82">
        <f t="shared" si="5"/>
        <v>5.986427933690126E-3</v>
      </c>
      <c r="D90" s="83">
        <f t="shared" si="6"/>
        <v>-67846.183248488102</v>
      </c>
      <c r="E90" s="108">
        <v>1</v>
      </c>
      <c r="F90" s="83">
        <f t="shared" si="7"/>
        <v>-67846.183248488102</v>
      </c>
    </row>
    <row r="91" spans="1:6" x14ac:dyDescent="0.25">
      <c r="A91" s="80" t="s">
        <v>135</v>
      </c>
      <c r="B91" s="81">
        <v>890930.20087989781</v>
      </c>
      <c r="C91" s="82">
        <f t="shared" si="5"/>
        <v>1.2928659124154299E-3</v>
      </c>
      <c r="D91" s="83">
        <f t="shared" si="6"/>
        <v>-14652.480340708207</v>
      </c>
      <c r="E91" s="108">
        <v>0</v>
      </c>
      <c r="F91" s="83">
        <f t="shared" si="7"/>
        <v>0</v>
      </c>
    </row>
    <row r="92" spans="1:6" x14ac:dyDescent="0.25">
      <c r="A92" s="80" t="s">
        <v>136</v>
      </c>
      <c r="B92" s="81">
        <v>819112.06173639093</v>
      </c>
      <c r="C92" s="82">
        <f t="shared" si="5"/>
        <v>1.1886476202304227E-3</v>
      </c>
      <c r="D92" s="83">
        <f t="shared" si="6"/>
        <v>-13471.339695944791</v>
      </c>
      <c r="E92" s="108">
        <v>0</v>
      </c>
      <c r="F92" s="83">
        <f t="shared" si="7"/>
        <v>0</v>
      </c>
    </row>
    <row r="93" spans="1:6" x14ac:dyDescent="0.25">
      <c r="A93" s="80" t="s">
        <v>137</v>
      </c>
      <c r="B93" s="81">
        <v>80425.899607125088</v>
      </c>
      <c r="C93" s="82">
        <f t="shared" si="5"/>
        <v>1.1670937181690016E-4</v>
      </c>
      <c r="D93" s="83">
        <f t="shared" si="6"/>
        <v>-1322.7062139248685</v>
      </c>
      <c r="E93" s="108">
        <v>0</v>
      </c>
      <c r="F93" s="83">
        <f t="shared" si="7"/>
        <v>0</v>
      </c>
    </row>
    <row r="94" spans="1:6" x14ac:dyDescent="0.25">
      <c r="A94" s="80" t="s">
        <v>138</v>
      </c>
      <c r="B94" s="81">
        <v>43800.445425817088</v>
      </c>
      <c r="C94" s="82">
        <f t="shared" si="5"/>
        <v>6.3560650187550468E-5</v>
      </c>
      <c r="D94" s="83">
        <f t="shared" si="6"/>
        <v>-720.3540354589054</v>
      </c>
      <c r="E94" s="108">
        <v>0</v>
      </c>
      <c r="F94" s="83">
        <f t="shared" si="7"/>
        <v>0</v>
      </c>
    </row>
    <row r="95" spans="1:6" x14ac:dyDescent="0.25">
      <c r="A95" s="80" t="s">
        <v>292</v>
      </c>
      <c r="B95" s="81">
        <v>-1481.4601465085086</v>
      </c>
      <c r="C95" s="82">
        <f t="shared" si="5"/>
        <v>-2.149808505909001E-6</v>
      </c>
      <c r="D95" s="83">
        <f t="shared" si="6"/>
        <v>24.364496400302013</v>
      </c>
      <c r="E95" s="108">
        <v>0</v>
      </c>
      <c r="F95" s="83">
        <f t="shared" si="7"/>
        <v>0</v>
      </c>
    </row>
    <row r="96" spans="1:6" x14ac:dyDescent="0.25">
      <c r="A96" s="80" t="s">
        <v>139</v>
      </c>
      <c r="B96" s="81">
        <v>12195.266635366668</v>
      </c>
      <c r="C96" s="82">
        <f t="shared" si="5"/>
        <v>1.7697059219803273E-5</v>
      </c>
      <c r="D96" s="83">
        <f t="shared" si="6"/>
        <v>-200.56667115777043</v>
      </c>
      <c r="E96" s="108">
        <v>0</v>
      </c>
      <c r="F96" s="83">
        <f t="shared" si="7"/>
        <v>0</v>
      </c>
    </row>
    <row r="97" spans="1:6" x14ac:dyDescent="0.25">
      <c r="A97" s="80" t="s">
        <v>140</v>
      </c>
      <c r="B97" s="81">
        <v>3108025.7451841361</v>
      </c>
      <c r="C97" s="82">
        <f t="shared" si="5"/>
        <v>4.5101855755811529E-3</v>
      </c>
      <c r="D97" s="83">
        <f t="shared" si="6"/>
        <v>-51115.436523253069</v>
      </c>
      <c r="E97" s="108">
        <v>0.48488009101542923</v>
      </c>
      <c r="F97" s="83">
        <f t="shared" si="7"/>
        <v>-24784.857513688345</v>
      </c>
    </row>
    <row r="98" spans="1:6" x14ac:dyDescent="0.25">
      <c r="A98" s="80" t="s">
        <v>141</v>
      </c>
      <c r="B98" s="81">
        <v>-66497.823705568007</v>
      </c>
      <c r="C98" s="82">
        <f t="shared" si="5"/>
        <v>-9.6497760917557188E-5</v>
      </c>
      <c r="D98" s="83">
        <f t="shared" si="6"/>
        <v>1093.6412903989815</v>
      </c>
      <c r="E98" s="108">
        <v>1</v>
      </c>
      <c r="F98" s="83">
        <f t="shared" si="7"/>
        <v>1093.6412903989815</v>
      </c>
    </row>
    <row r="99" spans="1:6" x14ac:dyDescent="0.25">
      <c r="A99" s="80" t="s">
        <v>142</v>
      </c>
      <c r="B99" s="81">
        <v>-653.16996596727483</v>
      </c>
      <c r="C99" s="82">
        <f t="shared" si="5"/>
        <v>-9.4784213530827871E-7</v>
      </c>
      <c r="D99" s="83">
        <f t="shared" si="6"/>
        <v>10.742210866827159</v>
      </c>
      <c r="E99" s="108">
        <v>0</v>
      </c>
      <c r="F99" s="83">
        <f t="shared" si="7"/>
        <v>0</v>
      </c>
    </row>
    <row r="100" spans="1:6" x14ac:dyDescent="0.25">
      <c r="A100" s="80" t="s">
        <v>143</v>
      </c>
      <c r="B100" s="81">
        <v>9028.2655746917972</v>
      </c>
      <c r="C100" s="82">
        <f t="shared" si="5"/>
        <v>1.3101292108208844E-5</v>
      </c>
      <c r="D100" s="83">
        <f t="shared" si="6"/>
        <v>-148.48131055970023</v>
      </c>
      <c r="E100" s="108">
        <v>0</v>
      </c>
      <c r="F100" s="83">
        <f t="shared" si="7"/>
        <v>0</v>
      </c>
    </row>
    <row r="101" spans="1:6" x14ac:dyDescent="0.25">
      <c r="A101" s="80" t="s">
        <v>144</v>
      </c>
      <c r="B101" s="81">
        <v>-46397.957104391011</v>
      </c>
      <c r="C101" s="82">
        <f t="shared" si="5"/>
        <v>-6.7330007543505582E-5</v>
      </c>
      <c r="D101" s="83">
        <f t="shared" si="6"/>
        <v>763.07341882639662</v>
      </c>
      <c r="E101" s="108">
        <v>0</v>
      </c>
      <c r="F101" s="83">
        <f t="shared" si="7"/>
        <v>0</v>
      </c>
    </row>
    <row r="102" spans="1:6" x14ac:dyDescent="0.25">
      <c r="A102" s="80" t="s">
        <v>145</v>
      </c>
      <c r="B102" s="81">
        <v>13896.317581120407</v>
      </c>
      <c r="C102" s="82">
        <f t="shared" si="5"/>
        <v>2.0165525078155632E-5</v>
      </c>
      <c r="D102" s="83">
        <f t="shared" si="6"/>
        <v>-228.5426175524305</v>
      </c>
      <c r="E102" s="108">
        <v>0</v>
      </c>
      <c r="F102" s="83">
        <f t="shared" si="7"/>
        <v>0</v>
      </c>
    </row>
    <row r="103" spans="1:6" x14ac:dyDescent="0.25">
      <c r="A103" s="80" t="s">
        <v>293</v>
      </c>
      <c r="B103" s="81">
        <v>9961.901805860196</v>
      </c>
      <c r="C103" s="82">
        <f t="shared" si="5"/>
        <v>1.4456130519435129E-5</v>
      </c>
      <c r="D103" s="83">
        <f t="shared" si="6"/>
        <v>-163.83614588693146</v>
      </c>
      <c r="E103" s="108">
        <v>0</v>
      </c>
      <c r="F103" s="83">
        <f t="shared" si="7"/>
        <v>0</v>
      </c>
    </row>
    <row r="104" spans="1:6" x14ac:dyDescent="0.25">
      <c r="A104" s="80" t="s">
        <v>146</v>
      </c>
      <c r="B104" s="81">
        <v>67783.575673718151</v>
      </c>
      <c r="C104" s="82">
        <f t="shared" si="5"/>
        <v>9.8363569136652974E-5</v>
      </c>
      <c r="D104" s="83">
        <f t="shared" si="6"/>
        <v>-1114.787116882067</v>
      </c>
      <c r="E104" s="108">
        <v>0</v>
      </c>
      <c r="F104" s="83">
        <f t="shared" si="7"/>
        <v>0</v>
      </c>
    </row>
    <row r="105" spans="1:6" x14ac:dyDescent="0.25">
      <c r="A105" s="80" t="s">
        <v>147</v>
      </c>
      <c r="B105" s="81">
        <v>285642.99082718603</v>
      </c>
      <c r="C105" s="82">
        <f t="shared" ref="C105:C136" si="8">B105/$B$212</f>
        <v>4.1450843803042829E-4</v>
      </c>
      <c r="D105" s="83">
        <f t="shared" ref="D105:D136" si="9">$D$212*C105</f>
        <v>-4697.7622976781877</v>
      </c>
      <c r="E105" s="108">
        <v>1</v>
      </c>
      <c r="F105" s="83">
        <f t="shared" si="7"/>
        <v>-4697.7622976781877</v>
      </c>
    </row>
    <row r="106" spans="1:6" x14ac:dyDescent="0.25">
      <c r="A106" s="80" t="s">
        <v>148</v>
      </c>
      <c r="B106" s="81">
        <v>11416.55428325962</v>
      </c>
      <c r="C106" s="82">
        <f t="shared" si="8"/>
        <v>1.6567037300441082E-5</v>
      </c>
      <c r="D106" s="83">
        <f t="shared" si="9"/>
        <v>-187.75975607166561</v>
      </c>
      <c r="E106" s="108">
        <v>0</v>
      </c>
      <c r="F106" s="83">
        <f t="shared" si="7"/>
        <v>0</v>
      </c>
    </row>
    <row r="107" spans="1:6" x14ac:dyDescent="0.25">
      <c r="A107" s="80" t="s">
        <v>149</v>
      </c>
      <c r="B107" s="81">
        <v>103248.76250405515</v>
      </c>
      <c r="C107" s="82">
        <f t="shared" si="8"/>
        <v>1.4982857850001654E-4</v>
      </c>
      <c r="D107" s="83">
        <f t="shared" si="9"/>
        <v>-1698.0572230001876</v>
      </c>
      <c r="E107" s="108">
        <v>0</v>
      </c>
      <c r="F107" s="83">
        <f t="shared" si="7"/>
        <v>0</v>
      </c>
    </row>
    <row r="108" spans="1:6" x14ac:dyDescent="0.25">
      <c r="A108" s="80" t="s">
        <v>150</v>
      </c>
      <c r="B108" s="81">
        <v>6301.3768538816912</v>
      </c>
      <c r="C108" s="82">
        <f t="shared" si="8"/>
        <v>9.1441903390650244E-6</v>
      </c>
      <c r="D108" s="83">
        <f t="shared" si="9"/>
        <v>-103.63415717607029</v>
      </c>
      <c r="E108" s="108">
        <v>0</v>
      </c>
      <c r="F108" s="83">
        <f t="shared" si="7"/>
        <v>0</v>
      </c>
    </row>
    <row r="109" spans="1:6" x14ac:dyDescent="0.25">
      <c r="A109" s="80" t="s">
        <v>151</v>
      </c>
      <c r="B109" s="81">
        <v>96670.13133061002</v>
      </c>
      <c r="C109" s="82">
        <f t="shared" si="8"/>
        <v>1.4028205287309228E-4</v>
      </c>
      <c r="D109" s="83">
        <f t="shared" si="9"/>
        <v>-1589.863265895046</v>
      </c>
      <c r="E109" s="108">
        <v>0</v>
      </c>
      <c r="F109" s="83">
        <f t="shared" si="7"/>
        <v>0</v>
      </c>
    </row>
    <row r="110" spans="1:6" x14ac:dyDescent="0.25">
      <c r="A110" s="80" t="s">
        <v>294</v>
      </c>
      <c r="B110" s="81">
        <v>158153.19170752182</v>
      </c>
      <c r="C110" s="82">
        <f t="shared" si="8"/>
        <v>2.2950268191202712E-4</v>
      </c>
      <c r="D110" s="83">
        <f t="shared" si="9"/>
        <v>-2601.0303950029743</v>
      </c>
      <c r="E110" s="108">
        <v>0</v>
      </c>
      <c r="F110" s="83">
        <f t="shared" si="7"/>
        <v>0</v>
      </c>
    </row>
    <row r="111" spans="1:6" x14ac:dyDescent="0.25">
      <c r="A111" s="80" t="s">
        <v>152</v>
      </c>
      <c r="B111" s="81">
        <v>764621.58621098334</v>
      </c>
      <c r="C111" s="82">
        <f t="shared" si="8"/>
        <v>1.109574222237482E-3</v>
      </c>
      <c r="D111" s="83">
        <f t="shared" si="9"/>
        <v>-12575.174518691463</v>
      </c>
      <c r="E111" s="108">
        <v>0</v>
      </c>
      <c r="F111" s="83">
        <f t="shared" si="7"/>
        <v>0</v>
      </c>
    </row>
    <row r="112" spans="1:6" x14ac:dyDescent="0.25">
      <c r="A112" s="80" t="s">
        <v>153</v>
      </c>
      <c r="B112" s="81">
        <v>2502798.1590100266</v>
      </c>
      <c r="C112" s="82">
        <f t="shared" si="8"/>
        <v>3.6319146238891018E-3</v>
      </c>
      <c r="D112" s="83">
        <f t="shared" si="9"/>
        <v>-41161.699070743154</v>
      </c>
      <c r="E112" s="108">
        <v>0.48488009101542923</v>
      </c>
      <c r="F112" s="83">
        <f t="shared" si="7"/>
        <v>-19958.488391771651</v>
      </c>
    </row>
    <row r="113" spans="1:6" x14ac:dyDescent="0.25">
      <c r="A113" s="80" t="s">
        <v>154</v>
      </c>
      <c r="B113" s="81">
        <v>1255484.2638996919</v>
      </c>
      <c r="C113" s="82">
        <f t="shared" si="8"/>
        <v>1.8218854931248446E-3</v>
      </c>
      <c r="D113" s="83">
        <f t="shared" si="9"/>
        <v>-20648.03558874824</v>
      </c>
      <c r="E113" s="108">
        <v>1</v>
      </c>
      <c r="F113" s="83">
        <f t="shared" si="7"/>
        <v>-20648.03558874824</v>
      </c>
    </row>
    <row r="114" spans="1:6" x14ac:dyDescent="0.25">
      <c r="A114" s="80" t="s">
        <v>155</v>
      </c>
      <c r="B114" s="81">
        <v>156565.90075285922</v>
      </c>
      <c r="C114" s="82">
        <f t="shared" si="8"/>
        <v>2.2719929791366014E-4</v>
      </c>
      <c r="D114" s="83">
        <f t="shared" si="9"/>
        <v>-2574.9253763548149</v>
      </c>
      <c r="E114" s="108">
        <v>0</v>
      </c>
      <c r="F114" s="83">
        <f t="shared" si="7"/>
        <v>0</v>
      </c>
    </row>
    <row r="115" spans="1:6" x14ac:dyDescent="0.25">
      <c r="A115" s="80" t="s">
        <v>156</v>
      </c>
      <c r="B115" s="81">
        <v>446686.4480408224</v>
      </c>
      <c r="C115" s="82">
        <f t="shared" si="8"/>
        <v>6.482053045676877E-4</v>
      </c>
      <c r="D115" s="83">
        <f t="shared" si="9"/>
        <v>-7346.3267851004612</v>
      </c>
      <c r="E115" s="108">
        <v>0</v>
      </c>
      <c r="F115" s="83">
        <f t="shared" si="7"/>
        <v>0</v>
      </c>
    </row>
    <row r="116" spans="1:6" x14ac:dyDescent="0.25">
      <c r="A116" s="80" t="s">
        <v>157</v>
      </c>
      <c r="B116" s="81">
        <v>207742.69586105214</v>
      </c>
      <c r="C116" s="82">
        <f t="shared" si="8"/>
        <v>3.0146407627307139E-4</v>
      </c>
      <c r="D116" s="83">
        <f t="shared" si="9"/>
        <v>-3416.5928644281425</v>
      </c>
      <c r="E116" s="108">
        <v>0</v>
      </c>
      <c r="F116" s="83">
        <f t="shared" si="7"/>
        <v>0</v>
      </c>
    </row>
    <row r="117" spans="1:6" x14ac:dyDescent="0.25">
      <c r="A117" s="80" t="s">
        <v>295</v>
      </c>
      <c r="B117" s="81">
        <v>294837.10225882224</v>
      </c>
      <c r="C117" s="82">
        <f t="shared" si="8"/>
        <v>4.2785039596739339E-4</v>
      </c>
      <c r="D117" s="83">
        <f t="shared" si="9"/>
        <v>-4848.9711542971254</v>
      </c>
      <c r="E117" s="108">
        <v>0</v>
      </c>
      <c r="F117" s="83">
        <f t="shared" si="7"/>
        <v>0</v>
      </c>
    </row>
    <row r="118" spans="1:6" x14ac:dyDescent="0.25">
      <c r="A118" s="80" t="s">
        <v>158</v>
      </c>
      <c r="B118" s="81">
        <v>1944535.4043068837</v>
      </c>
      <c r="C118" s="82">
        <f t="shared" si="8"/>
        <v>2.8217962947382786E-3</v>
      </c>
      <c r="D118" s="83">
        <f t="shared" si="9"/>
        <v>-31980.358007033825</v>
      </c>
      <c r="E118" s="108">
        <v>0</v>
      </c>
      <c r="F118" s="83">
        <f t="shared" si="7"/>
        <v>0</v>
      </c>
    </row>
    <row r="119" spans="1:6" x14ac:dyDescent="0.25">
      <c r="A119" s="80" t="s">
        <v>159</v>
      </c>
      <c r="B119" s="81">
        <v>1584435.4270468885</v>
      </c>
      <c r="C119" s="82">
        <f t="shared" si="8"/>
        <v>2.2992402233409648E-3</v>
      </c>
      <c r="D119" s="83">
        <f t="shared" si="9"/>
        <v>-26058.055864530936</v>
      </c>
      <c r="E119" s="108">
        <v>0.48488009101542923</v>
      </c>
      <c r="F119" s="83">
        <f t="shared" si="7"/>
        <v>-12635.032499278899</v>
      </c>
    </row>
    <row r="120" spans="1:6" x14ac:dyDescent="0.25">
      <c r="A120" s="80" t="s">
        <v>160</v>
      </c>
      <c r="B120" s="81">
        <v>2151857.42589649</v>
      </c>
      <c r="C120" s="82">
        <f t="shared" si="8"/>
        <v>3.1226499130593741E-3</v>
      </c>
      <c r="D120" s="83">
        <f t="shared" si="9"/>
        <v>-35390.032348006243</v>
      </c>
      <c r="E120" s="108">
        <v>1</v>
      </c>
      <c r="F120" s="83">
        <f t="shared" si="7"/>
        <v>-35390.032348006243</v>
      </c>
    </row>
    <row r="121" spans="1:6" x14ac:dyDescent="0.25">
      <c r="A121" s="80" t="s">
        <v>161</v>
      </c>
      <c r="B121" s="81">
        <v>324811.89109059464</v>
      </c>
      <c r="C121" s="82">
        <f t="shared" si="8"/>
        <v>4.7134806017742436E-4</v>
      </c>
      <c r="D121" s="83">
        <f t="shared" si="9"/>
        <v>-5341.9446820108096</v>
      </c>
      <c r="E121" s="108">
        <v>0</v>
      </c>
      <c r="F121" s="83">
        <f t="shared" si="7"/>
        <v>0</v>
      </c>
    </row>
    <row r="122" spans="1:6" x14ac:dyDescent="0.25">
      <c r="A122" s="80" t="s">
        <v>162</v>
      </c>
      <c r="B122" s="81">
        <v>706216.96510776656</v>
      </c>
      <c r="C122" s="82">
        <f t="shared" si="8"/>
        <v>1.0248208446133836E-3</v>
      </c>
      <c r="D122" s="83">
        <f t="shared" si="9"/>
        <v>-11614.636238951682</v>
      </c>
      <c r="E122" s="108">
        <v>0</v>
      </c>
      <c r="F122" s="83">
        <f t="shared" si="7"/>
        <v>0</v>
      </c>
    </row>
    <row r="123" spans="1:6" x14ac:dyDescent="0.25">
      <c r="A123" s="80" t="s">
        <v>272</v>
      </c>
      <c r="B123" s="81">
        <v>28985.129323353987</v>
      </c>
      <c r="C123" s="82">
        <f t="shared" si="8"/>
        <v>4.206152808840405E-5</v>
      </c>
      <c r="D123" s="83">
        <f t="shared" si="9"/>
        <v>-476.69731833524594</v>
      </c>
      <c r="E123" s="108">
        <v>0</v>
      </c>
      <c r="F123" s="83">
        <f t="shared" si="7"/>
        <v>0</v>
      </c>
    </row>
    <row r="124" spans="1:6" x14ac:dyDescent="0.25">
      <c r="A124" s="80" t="s">
        <v>163</v>
      </c>
      <c r="B124" s="81">
        <v>3910816.3537368006</v>
      </c>
      <c r="C124" s="82">
        <f t="shared" si="8"/>
        <v>5.6751484554789615E-3</v>
      </c>
      <c r="D124" s="83">
        <f t="shared" si="9"/>
        <v>-64318.349162094899</v>
      </c>
      <c r="E124" s="108">
        <v>0</v>
      </c>
      <c r="F124" s="83">
        <f t="shared" si="7"/>
        <v>0</v>
      </c>
    </row>
    <row r="125" spans="1:6" x14ac:dyDescent="0.25">
      <c r="A125" s="80" t="s">
        <v>296</v>
      </c>
      <c r="B125" s="81">
        <v>3616984.4061082136</v>
      </c>
      <c r="C125" s="82">
        <f t="shared" si="8"/>
        <v>5.2487566812496732E-3</v>
      </c>
      <c r="D125" s="83">
        <f t="shared" si="9"/>
        <v>-59485.90905416297</v>
      </c>
      <c r="E125" s="108">
        <v>0</v>
      </c>
      <c r="F125" s="83">
        <f t="shared" si="7"/>
        <v>0</v>
      </c>
    </row>
    <row r="126" spans="1:6" x14ac:dyDescent="0.25">
      <c r="A126" s="80" t="s">
        <v>164</v>
      </c>
      <c r="B126" s="81">
        <v>20649317.335210305</v>
      </c>
      <c r="C126" s="82">
        <f t="shared" si="8"/>
        <v>2.9965084213080004E-2</v>
      </c>
      <c r="D126" s="83">
        <f t="shared" si="9"/>
        <v>-339604.28774824005</v>
      </c>
      <c r="E126" s="108">
        <v>0</v>
      </c>
      <c r="F126" s="83">
        <f t="shared" si="7"/>
        <v>0</v>
      </c>
    </row>
    <row r="127" spans="1:6" x14ac:dyDescent="0.25">
      <c r="A127" s="80" t="s">
        <v>165</v>
      </c>
      <c r="B127" s="81">
        <v>1123557.1477135264</v>
      </c>
      <c r="C127" s="82">
        <f t="shared" si="8"/>
        <v>1.6304405614434275E-3</v>
      </c>
      <c r="D127" s="83">
        <f t="shared" si="9"/>
        <v>-18478.326363025513</v>
      </c>
      <c r="E127" s="108">
        <v>0.48488009101542923</v>
      </c>
      <c r="F127" s="83">
        <f t="shared" si="7"/>
        <v>-8959.7725687166167</v>
      </c>
    </row>
    <row r="128" spans="1:6" x14ac:dyDescent="0.25">
      <c r="A128" s="80" t="s">
        <v>166</v>
      </c>
      <c r="B128" s="81">
        <v>24606278.188336052</v>
      </c>
      <c r="C128" s="82">
        <f t="shared" si="8"/>
        <v>3.5707194873057728E-2</v>
      </c>
      <c r="D128" s="83">
        <f t="shared" si="9"/>
        <v>-404681.54189465428</v>
      </c>
      <c r="E128" s="108">
        <v>1</v>
      </c>
      <c r="F128" s="83">
        <f t="shared" si="7"/>
        <v>-404681.54189465428</v>
      </c>
    </row>
    <row r="129" spans="1:6" x14ac:dyDescent="0.25">
      <c r="A129" s="80" t="s">
        <v>167</v>
      </c>
      <c r="B129" s="81">
        <v>3616018.9159698277</v>
      </c>
      <c r="C129" s="82">
        <f t="shared" si="8"/>
        <v>5.2473556183073016E-3</v>
      </c>
      <c r="D129" s="83">
        <f t="shared" si="9"/>
        <v>-59470.030340816091</v>
      </c>
      <c r="E129" s="108">
        <v>0</v>
      </c>
      <c r="F129" s="83">
        <f t="shared" si="7"/>
        <v>0</v>
      </c>
    </row>
    <row r="130" spans="1:6" x14ac:dyDescent="0.25">
      <c r="A130" s="80" t="s">
        <v>168</v>
      </c>
      <c r="B130" s="81">
        <v>3490774.9663782148</v>
      </c>
      <c r="C130" s="82">
        <f t="shared" si="8"/>
        <v>5.0656089079551842E-3</v>
      </c>
      <c r="D130" s="83">
        <f t="shared" si="9"/>
        <v>-57410.234290158754</v>
      </c>
      <c r="E130" s="108">
        <v>0</v>
      </c>
      <c r="F130" s="83">
        <f t="shared" si="7"/>
        <v>0</v>
      </c>
    </row>
    <row r="131" spans="1:6" x14ac:dyDescent="0.25">
      <c r="A131" s="80" t="s">
        <v>169</v>
      </c>
      <c r="B131" s="81">
        <v>652784.63545819512</v>
      </c>
      <c r="C131" s="82">
        <f t="shared" si="8"/>
        <v>9.4728296616157026E-4</v>
      </c>
      <c r="D131" s="83">
        <f t="shared" si="9"/>
        <v>-10735.873616497796</v>
      </c>
      <c r="E131" s="108">
        <v>0</v>
      </c>
      <c r="F131" s="83">
        <f t="shared" si="7"/>
        <v>0</v>
      </c>
    </row>
    <row r="132" spans="1:6" x14ac:dyDescent="0.25">
      <c r="A132" s="80" t="s">
        <v>170</v>
      </c>
      <c r="B132" s="81">
        <v>431457.25144544902</v>
      </c>
      <c r="C132" s="82">
        <f t="shared" si="8"/>
        <v>6.2610558325148819E-4</v>
      </c>
      <c r="D132" s="83">
        <f t="shared" si="9"/>
        <v>-7095.8632768502002</v>
      </c>
      <c r="E132" s="108">
        <v>0</v>
      </c>
      <c r="F132" s="83">
        <f t="shared" si="7"/>
        <v>0</v>
      </c>
    </row>
    <row r="133" spans="1:6" x14ac:dyDescent="0.25">
      <c r="A133" s="80" t="s">
        <v>297</v>
      </c>
      <c r="B133" s="81">
        <v>418691.79037173255</v>
      </c>
      <c r="C133" s="82">
        <f t="shared" si="8"/>
        <v>6.075810911395647E-4</v>
      </c>
      <c r="D133" s="83">
        <f t="shared" si="9"/>
        <v>-6885.919032915067</v>
      </c>
      <c r="E133" s="108">
        <v>0</v>
      </c>
      <c r="F133" s="83">
        <f t="shared" si="7"/>
        <v>0</v>
      </c>
    </row>
    <row r="134" spans="1:6" x14ac:dyDescent="0.25">
      <c r="A134" s="80" t="s">
        <v>171</v>
      </c>
      <c r="B134" s="81">
        <v>3545208.7149279332</v>
      </c>
      <c r="C134" s="82">
        <f t="shared" si="8"/>
        <v>5.1445999870716177E-3</v>
      </c>
      <c r="D134" s="83">
        <f t="shared" si="9"/>
        <v>-58305.466520145004</v>
      </c>
      <c r="E134" s="108">
        <v>0</v>
      </c>
      <c r="F134" s="83">
        <f t="shared" si="7"/>
        <v>0</v>
      </c>
    </row>
    <row r="135" spans="1:6" x14ac:dyDescent="0.25">
      <c r="A135" s="80" t="s">
        <v>298</v>
      </c>
      <c r="B135" s="81">
        <v>6742.0195339594857</v>
      </c>
      <c r="C135" s="82">
        <f t="shared" si="8"/>
        <v>9.7836252802818799E-6</v>
      </c>
      <c r="D135" s="83">
        <f t="shared" si="9"/>
        <v>-110.8810865098613</v>
      </c>
      <c r="E135" s="108">
        <v>0.48488009101542923</v>
      </c>
      <c r="F135" s="83">
        <f t="shared" si="7"/>
        <v>-53.764031318791233</v>
      </c>
    </row>
    <row r="136" spans="1:6" x14ac:dyDescent="0.25">
      <c r="A136" s="80" t="s">
        <v>172</v>
      </c>
      <c r="B136" s="81">
        <v>6941877.5084574046</v>
      </c>
      <c r="C136" s="82">
        <f t="shared" si="8"/>
        <v>1.0073647509068783E-2</v>
      </c>
      <c r="D136" s="83">
        <f t="shared" si="9"/>
        <v>-114168.00510277956</v>
      </c>
      <c r="E136" s="108">
        <v>1</v>
      </c>
      <c r="F136" s="83">
        <f t="shared" si="7"/>
        <v>-114168.00510277956</v>
      </c>
    </row>
    <row r="137" spans="1:6" x14ac:dyDescent="0.25">
      <c r="A137" s="80" t="s">
        <v>173</v>
      </c>
      <c r="B137" s="81">
        <v>696767.32582321705</v>
      </c>
      <c r="C137" s="82">
        <f t="shared" ref="C137:C168" si="10">B137/$B$212</f>
        <v>1.0111080795689952E-3</v>
      </c>
      <c r="D137" s="83">
        <f t="shared" ref="D137:D168" si="11">$D$212*C137</f>
        <v>-11459.224901781947</v>
      </c>
      <c r="E137" s="108">
        <v>0</v>
      </c>
      <c r="F137" s="83">
        <f t="shared" si="7"/>
        <v>0</v>
      </c>
    </row>
    <row r="138" spans="1:6" x14ac:dyDescent="0.25">
      <c r="A138" s="80" t="s">
        <v>174</v>
      </c>
      <c r="B138" s="81">
        <v>657906.93254579732</v>
      </c>
      <c r="C138" s="82">
        <f t="shared" si="10"/>
        <v>9.5471614475545479E-4</v>
      </c>
      <c r="D138" s="83">
        <f t="shared" si="11"/>
        <v>-10820.116307228489</v>
      </c>
      <c r="E138" s="108">
        <v>0</v>
      </c>
      <c r="F138" s="83">
        <f t="shared" ref="F138:F201" si="12">D138*E138</f>
        <v>0</v>
      </c>
    </row>
    <row r="139" spans="1:6" x14ac:dyDescent="0.25">
      <c r="A139" s="80" t="s">
        <v>175</v>
      </c>
      <c r="B139" s="81">
        <v>119335.31851502207</v>
      </c>
      <c r="C139" s="82">
        <f t="shared" si="10"/>
        <v>1.7317244976423055E-4</v>
      </c>
      <c r="D139" s="83">
        <f t="shared" si="11"/>
        <v>-1962.6210973279465</v>
      </c>
      <c r="E139" s="108">
        <v>0</v>
      </c>
      <c r="F139" s="83">
        <f t="shared" si="12"/>
        <v>0</v>
      </c>
    </row>
    <row r="140" spans="1:6" x14ac:dyDescent="0.25">
      <c r="A140" s="80" t="s">
        <v>176</v>
      </c>
      <c r="B140" s="81">
        <v>834931.63768115302</v>
      </c>
      <c r="C140" s="82">
        <f t="shared" si="10"/>
        <v>1.2116040656036412E-3</v>
      </c>
      <c r="D140" s="83">
        <f t="shared" si="11"/>
        <v>-13731.512743507936</v>
      </c>
      <c r="E140" s="108">
        <v>0.48488009101542923</v>
      </c>
      <c r="F140" s="83">
        <f t="shared" si="12"/>
        <v>-6658.1371488516543</v>
      </c>
    </row>
    <row r="141" spans="1:6" x14ac:dyDescent="0.25">
      <c r="A141" s="80" t="s">
        <v>177</v>
      </c>
      <c r="B141" s="81">
        <v>54110.81589572291</v>
      </c>
      <c r="C141" s="82">
        <f t="shared" si="10"/>
        <v>7.8522458095455074E-5</v>
      </c>
      <c r="D141" s="83">
        <f t="shared" si="11"/>
        <v>-889.92119174849086</v>
      </c>
      <c r="E141" s="108">
        <v>0</v>
      </c>
      <c r="F141" s="83">
        <f t="shared" si="12"/>
        <v>0</v>
      </c>
    </row>
    <row r="142" spans="1:6" x14ac:dyDescent="0.25">
      <c r="A142" s="80" t="s">
        <v>299</v>
      </c>
      <c r="B142" s="81">
        <v>68383.690149913557</v>
      </c>
      <c r="C142" s="82">
        <f t="shared" si="10"/>
        <v>9.9234420241547418E-5</v>
      </c>
      <c r="D142" s="83">
        <f t="shared" si="11"/>
        <v>-1124.6567627375375</v>
      </c>
      <c r="E142" s="108">
        <v>0</v>
      </c>
      <c r="F142" s="83">
        <f t="shared" si="12"/>
        <v>0</v>
      </c>
    </row>
    <row r="143" spans="1:6" x14ac:dyDescent="0.25">
      <c r="A143" s="80" t="s">
        <v>178</v>
      </c>
      <c r="B143" s="81">
        <v>610764.82929010794</v>
      </c>
      <c r="C143" s="82">
        <f t="shared" si="10"/>
        <v>8.8630627574590095E-4</v>
      </c>
      <c r="D143" s="83">
        <f t="shared" si="11"/>
        <v>-10044.804458453546</v>
      </c>
      <c r="E143" s="108">
        <v>0</v>
      </c>
      <c r="F143" s="83">
        <f t="shared" si="12"/>
        <v>0</v>
      </c>
    </row>
    <row r="144" spans="1:6" x14ac:dyDescent="0.25">
      <c r="A144" s="80" t="s">
        <v>179</v>
      </c>
      <c r="B144" s="81">
        <v>189135.03651774841</v>
      </c>
      <c r="C144" s="82">
        <f t="shared" si="10"/>
        <v>2.7446172698573489E-4</v>
      </c>
      <c r="D144" s="83">
        <f t="shared" si="11"/>
        <v>-3110.5662391716623</v>
      </c>
      <c r="E144" s="108">
        <v>1</v>
      </c>
      <c r="F144" s="83">
        <f t="shared" si="12"/>
        <v>-3110.5662391716623</v>
      </c>
    </row>
    <row r="145" spans="1:6" x14ac:dyDescent="0.25">
      <c r="A145" s="80" t="s">
        <v>180</v>
      </c>
      <c r="B145" s="81">
        <v>61565.371835039194</v>
      </c>
      <c r="C145" s="82">
        <f t="shared" si="10"/>
        <v>8.934007462323425E-5</v>
      </c>
      <c r="D145" s="83">
        <f t="shared" si="11"/>
        <v>-1012.5208457299882</v>
      </c>
      <c r="E145" s="108">
        <v>0</v>
      </c>
      <c r="F145" s="83">
        <f t="shared" si="12"/>
        <v>0</v>
      </c>
    </row>
    <row r="146" spans="1:6" x14ac:dyDescent="0.25">
      <c r="A146" s="80" t="s">
        <v>181</v>
      </c>
      <c r="B146" s="81">
        <v>231328.51493159067</v>
      </c>
      <c r="C146" s="82">
        <f t="shared" si="10"/>
        <v>3.3569044042885076E-4</v>
      </c>
      <c r="D146" s="83">
        <f t="shared" si="11"/>
        <v>-3804.4916581936423</v>
      </c>
      <c r="E146" s="108">
        <v>0</v>
      </c>
      <c r="F146" s="83">
        <f t="shared" si="12"/>
        <v>0</v>
      </c>
    </row>
    <row r="147" spans="1:6" x14ac:dyDescent="0.25">
      <c r="A147" s="80" t="s">
        <v>182</v>
      </c>
      <c r="B147" s="81">
        <v>44417.792869354162</v>
      </c>
      <c r="C147" s="82">
        <f t="shared" si="10"/>
        <v>6.4456508768927128E-5</v>
      </c>
      <c r="D147" s="83">
        <f t="shared" si="11"/>
        <v>-730.50709938117416</v>
      </c>
      <c r="E147" s="108">
        <v>0</v>
      </c>
      <c r="F147" s="83">
        <f t="shared" si="12"/>
        <v>0</v>
      </c>
    </row>
    <row r="148" spans="1:6" x14ac:dyDescent="0.25">
      <c r="A148" s="80" t="s">
        <v>183</v>
      </c>
      <c r="B148" s="81">
        <v>13119.341683812896</v>
      </c>
      <c r="C148" s="82">
        <f t="shared" si="10"/>
        <v>1.9038023000658218E-5</v>
      </c>
      <c r="D148" s="83">
        <f t="shared" si="11"/>
        <v>-215.76426067412649</v>
      </c>
      <c r="E148" s="108">
        <v>0</v>
      </c>
      <c r="F148" s="83">
        <f t="shared" si="12"/>
        <v>0</v>
      </c>
    </row>
    <row r="149" spans="1:6" x14ac:dyDescent="0.25">
      <c r="A149" s="80" t="s">
        <v>300</v>
      </c>
      <c r="B149" s="81">
        <v>32733.92114416523</v>
      </c>
      <c r="C149" s="82">
        <f t="shared" si="10"/>
        <v>4.7501555997528648E-5</v>
      </c>
      <c r="D149" s="83">
        <f t="shared" si="11"/>
        <v>-538.35096797199139</v>
      </c>
      <c r="E149" s="108">
        <v>0</v>
      </c>
      <c r="F149" s="83">
        <f t="shared" si="12"/>
        <v>0</v>
      </c>
    </row>
    <row r="150" spans="1:6" x14ac:dyDescent="0.25">
      <c r="A150" s="80" t="s">
        <v>184</v>
      </c>
      <c r="B150" s="81">
        <v>184301.14502911473</v>
      </c>
      <c r="C150" s="82">
        <f t="shared" si="10"/>
        <v>2.6744706576558837E-4</v>
      </c>
      <c r="D150" s="83">
        <f t="shared" si="11"/>
        <v>-3031.0667453433352</v>
      </c>
      <c r="E150" s="108">
        <v>0</v>
      </c>
      <c r="F150" s="83">
        <f t="shared" si="12"/>
        <v>0</v>
      </c>
    </row>
    <row r="151" spans="1:6" x14ac:dyDescent="0.25">
      <c r="A151" s="80" t="s">
        <v>185</v>
      </c>
      <c r="B151" s="81">
        <v>-110199.69992610118</v>
      </c>
      <c r="C151" s="82">
        <f t="shared" si="10"/>
        <v>-1.5991537322694436E-4</v>
      </c>
      <c r="D151" s="83">
        <f t="shared" si="11"/>
        <v>1812.3742299053695</v>
      </c>
      <c r="E151" s="108">
        <v>0.48488009101542923</v>
      </c>
      <c r="F151" s="83">
        <f t="shared" si="12"/>
        <v>878.78418155053396</v>
      </c>
    </row>
    <row r="152" spans="1:6" x14ac:dyDescent="0.25">
      <c r="A152" s="80" t="s">
        <v>186</v>
      </c>
      <c r="B152" s="81">
        <v>178591.5043136038</v>
      </c>
      <c r="C152" s="82">
        <f t="shared" si="10"/>
        <v>2.5916156837653035E-4</v>
      </c>
      <c r="D152" s="83">
        <f t="shared" si="11"/>
        <v>-2937.1644416006775</v>
      </c>
      <c r="E152" s="108">
        <v>1</v>
      </c>
      <c r="F152" s="83">
        <f t="shared" si="12"/>
        <v>-2937.1644416006775</v>
      </c>
    </row>
    <row r="153" spans="1:6" x14ac:dyDescent="0.25">
      <c r="A153" s="80" t="s">
        <v>187</v>
      </c>
      <c r="B153" s="81">
        <v>12706.747650093046</v>
      </c>
      <c r="C153" s="82">
        <f t="shared" si="10"/>
        <v>1.8439290618103947E-5</v>
      </c>
      <c r="D153" s="83">
        <f t="shared" si="11"/>
        <v>-208.97862700517808</v>
      </c>
      <c r="E153" s="108">
        <v>0</v>
      </c>
      <c r="F153" s="83">
        <f t="shared" si="12"/>
        <v>0</v>
      </c>
    </row>
    <row r="154" spans="1:6" x14ac:dyDescent="0.25">
      <c r="A154" s="80" t="s">
        <v>188</v>
      </c>
      <c r="B154" s="81">
        <v>29319.366600073972</v>
      </c>
      <c r="C154" s="82">
        <f t="shared" si="10"/>
        <v>4.254655371813695E-5</v>
      </c>
      <c r="D154" s="83">
        <f t="shared" si="11"/>
        <v>-482.19427547221881</v>
      </c>
      <c r="E154" s="108">
        <v>0</v>
      </c>
      <c r="F154" s="83">
        <f t="shared" si="12"/>
        <v>0</v>
      </c>
    </row>
    <row r="155" spans="1:6" x14ac:dyDescent="0.25">
      <c r="A155" s="80" t="s">
        <v>189</v>
      </c>
      <c r="B155" s="81">
        <v>15049.052075112884</v>
      </c>
      <c r="C155" s="82">
        <f t="shared" si="10"/>
        <v>2.1838306101715555E-5</v>
      </c>
      <c r="D155" s="83">
        <f t="shared" si="11"/>
        <v>-247.50080248610965</v>
      </c>
      <c r="E155" s="108">
        <v>0</v>
      </c>
      <c r="F155" s="83">
        <f t="shared" si="12"/>
        <v>0</v>
      </c>
    </row>
    <row r="156" spans="1:6" x14ac:dyDescent="0.25">
      <c r="A156" s="80" t="s">
        <v>190</v>
      </c>
      <c r="B156" s="81">
        <v>6510.9332297219007</v>
      </c>
      <c r="C156" s="82">
        <f t="shared" si="10"/>
        <v>9.4482863218766406E-6</v>
      </c>
      <c r="D156" s="83">
        <f t="shared" si="11"/>
        <v>-107.08057831460194</v>
      </c>
      <c r="E156" s="108">
        <v>0</v>
      </c>
      <c r="F156" s="83">
        <f t="shared" si="12"/>
        <v>0</v>
      </c>
    </row>
    <row r="157" spans="1:6" x14ac:dyDescent="0.25">
      <c r="A157" s="80" t="s">
        <v>191</v>
      </c>
      <c r="B157" s="81">
        <v>43856.892786538345</v>
      </c>
      <c r="C157" s="82">
        <f t="shared" si="10"/>
        <v>6.3642563303134889E-5</v>
      </c>
      <c r="D157" s="83">
        <f t="shared" si="11"/>
        <v>-721.28238410219546</v>
      </c>
      <c r="E157" s="108">
        <v>0</v>
      </c>
      <c r="F157" s="83">
        <f t="shared" si="12"/>
        <v>0</v>
      </c>
    </row>
    <row r="158" spans="1:6" x14ac:dyDescent="0.25">
      <c r="A158" s="80" t="s">
        <v>192</v>
      </c>
      <c r="B158" s="81">
        <v>1416516.4405391794</v>
      </c>
      <c r="C158" s="82">
        <f t="shared" si="10"/>
        <v>2.0555659899512387E-3</v>
      </c>
      <c r="D158" s="83">
        <f t="shared" si="11"/>
        <v>-23296.414552780705</v>
      </c>
      <c r="E158" s="108">
        <v>0.48488009101542923</v>
      </c>
      <c r="F158" s="83">
        <f t="shared" si="12"/>
        <v>-11295.967608685478</v>
      </c>
    </row>
    <row r="159" spans="1:6" x14ac:dyDescent="0.25">
      <c r="A159" s="80" t="s">
        <v>193</v>
      </c>
      <c r="B159" s="81">
        <v>13077.345450096307</v>
      </c>
      <c r="C159" s="82">
        <f t="shared" si="10"/>
        <v>1.8977080517208465E-5</v>
      </c>
      <c r="D159" s="83">
        <f t="shared" si="11"/>
        <v>-215.07357919502928</v>
      </c>
      <c r="E159" s="108">
        <v>0</v>
      </c>
      <c r="F159" s="83">
        <f t="shared" si="12"/>
        <v>0</v>
      </c>
    </row>
    <row r="160" spans="1:6" x14ac:dyDescent="0.25">
      <c r="A160" s="80" t="s">
        <v>194</v>
      </c>
      <c r="B160" s="81">
        <v>1710538.1273414169</v>
      </c>
      <c r="C160" s="82">
        <f t="shared" si="10"/>
        <v>2.4822331025960622E-3</v>
      </c>
      <c r="D160" s="83">
        <f t="shared" si="11"/>
        <v>-28131.975162755374</v>
      </c>
      <c r="E160" s="108">
        <v>0.47809395618940054</v>
      </c>
      <c r="F160" s="83">
        <f t="shared" si="12"/>
        <v>-13449.727300983672</v>
      </c>
    </row>
    <row r="161" spans="1:6" x14ac:dyDescent="0.25">
      <c r="A161" s="80" t="s">
        <v>195</v>
      </c>
      <c r="B161" s="81">
        <v>290051.3653205735</v>
      </c>
      <c r="C161" s="82">
        <f t="shared" si="10"/>
        <v>4.2090561382044354E-4</v>
      </c>
      <c r="D161" s="83">
        <f t="shared" si="11"/>
        <v>-4770.2636232983605</v>
      </c>
      <c r="E161" s="108">
        <v>0</v>
      </c>
      <c r="F161" s="83">
        <f t="shared" si="12"/>
        <v>0</v>
      </c>
    </row>
    <row r="162" spans="1:6" x14ac:dyDescent="0.25">
      <c r="A162" s="80" t="s">
        <v>196</v>
      </c>
      <c r="B162" s="81">
        <v>448129.31478997756</v>
      </c>
      <c r="C162" s="82">
        <f t="shared" si="10"/>
        <v>6.5029910858768617E-4</v>
      </c>
      <c r="D162" s="83">
        <f t="shared" si="11"/>
        <v>-7370.0565639937768</v>
      </c>
      <c r="E162" s="108">
        <v>0.47809395618940054</v>
      </c>
      <c r="F162" s="83">
        <f t="shared" si="12"/>
        <v>-3523.5795000194444</v>
      </c>
    </row>
    <row r="163" spans="1:6" x14ac:dyDescent="0.25">
      <c r="A163" s="80" t="s">
        <v>301</v>
      </c>
      <c r="B163" s="81">
        <v>1674872.188194585</v>
      </c>
      <c r="C163" s="82">
        <f t="shared" si="10"/>
        <v>2.4304767731870001E-3</v>
      </c>
      <c r="D163" s="83">
        <f t="shared" si="11"/>
        <v>-27545.403429452668</v>
      </c>
      <c r="E163" s="108">
        <v>0</v>
      </c>
      <c r="F163" s="83">
        <f t="shared" si="12"/>
        <v>0</v>
      </c>
    </row>
    <row r="164" spans="1:6" x14ac:dyDescent="0.25">
      <c r="A164" s="80" t="s">
        <v>197</v>
      </c>
      <c r="B164" s="81">
        <v>3103438.2925687726</v>
      </c>
      <c r="C164" s="82">
        <f t="shared" si="10"/>
        <v>4.5035285320716087E-3</v>
      </c>
      <c r="D164" s="83">
        <f t="shared" si="11"/>
        <v>-51039.990030144902</v>
      </c>
      <c r="E164" s="108">
        <v>0</v>
      </c>
      <c r="F164" s="83">
        <f t="shared" si="12"/>
        <v>0</v>
      </c>
    </row>
    <row r="165" spans="1:6" x14ac:dyDescent="0.25">
      <c r="A165" s="80" t="s">
        <v>198</v>
      </c>
      <c r="B165" s="81">
        <v>3563256.1327908109</v>
      </c>
      <c r="C165" s="82">
        <f t="shared" si="10"/>
        <v>5.1707893466185137E-3</v>
      </c>
      <c r="D165" s="83">
        <f t="shared" si="11"/>
        <v>-58602.279261676493</v>
      </c>
      <c r="E165" s="108">
        <v>1</v>
      </c>
      <c r="F165" s="83">
        <f t="shared" si="12"/>
        <v>-58602.279261676493</v>
      </c>
    </row>
    <row r="166" spans="1:6" x14ac:dyDescent="0.25">
      <c r="A166" s="80" t="s">
        <v>199</v>
      </c>
      <c r="B166" s="81">
        <v>469646.70484512782</v>
      </c>
      <c r="C166" s="82">
        <f t="shared" si="10"/>
        <v>6.8152388927081482E-4</v>
      </c>
      <c r="D166" s="83">
        <f t="shared" si="11"/>
        <v>-7723.9374117359021</v>
      </c>
      <c r="E166" s="108">
        <v>0</v>
      </c>
      <c r="F166" s="83">
        <f t="shared" si="12"/>
        <v>0</v>
      </c>
    </row>
    <row r="167" spans="1:6" x14ac:dyDescent="0.25">
      <c r="A167" s="80" t="s">
        <v>200</v>
      </c>
      <c r="B167" s="81">
        <v>813548.09748803196</v>
      </c>
      <c r="C167" s="82">
        <f t="shared" si="10"/>
        <v>1.1805735200287491E-3</v>
      </c>
      <c r="D167" s="83">
        <f t="shared" si="11"/>
        <v>-13379.83322699249</v>
      </c>
      <c r="E167" s="108">
        <v>0</v>
      </c>
      <c r="F167" s="83">
        <f t="shared" si="12"/>
        <v>0</v>
      </c>
    </row>
    <row r="168" spans="1:6" x14ac:dyDescent="0.25">
      <c r="A168" s="80" t="s">
        <v>201</v>
      </c>
      <c r="B168" s="81">
        <v>166428.18544344982</v>
      </c>
      <c r="C168" s="82">
        <f t="shared" si="10"/>
        <v>2.4151086988911726E-4</v>
      </c>
      <c r="D168" s="83">
        <f t="shared" si="11"/>
        <v>-2737.1231920766627</v>
      </c>
      <c r="E168" s="108">
        <v>0</v>
      </c>
      <c r="F168" s="83">
        <f t="shared" si="12"/>
        <v>0</v>
      </c>
    </row>
    <row r="169" spans="1:6" x14ac:dyDescent="0.25">
      <c r="A169" s="80" t="s">
        <v>202</v>
      </c>
      <c r="B169" s="81">
        <v>65149.989543019452</v>
      </c>
      <c r="C169" s="82">
        <f t="shared" ref="C169:C200" si="13">B169/$B$212</f>
        <v>9.4541862641096212E-5</v>
      </c>
      <c r="D169" s="83">
        <f t="shared" ref="D169:D200" si="14">$D$212*C169</f>
        <v>-1071.4744432657571</v>
      </c>
      <c r="E169" s="108">
        <v>0</v>
      </c>
      <c r="F169" s="83">
        <f t="shared" si="12"/>
        <v>0</v>
      </c>
    </row>
    <row r="170" spans="1:6" x14ac:dyDescent="0.25">
      <c r="A170" s="80" t="s">
        <v>203</v>
      </c>
      <c r="B170" s="81">
        <v>25647061.491111942</v>
      </c>
      <c r="C170" s="82">
        <f t="shared" si="13"/>
        <v>3.72175188614478E-2</v>
      </c>
      <c r="D170" s="83">
        <f t="shared" si="14"/>
        <v>-421798.54709640844</v>
      </c>
      <c r="E170" s="108">
        <v>0.47809395618940054</v>
      </c>
      <c r="F170" s="83">
        <f t="shared" si="12"/>
        <v>-201659.33609626308</v>
      </c>
    </row>
    <row r="171" spans="1:6" x14ac:dyDescent="0.25">
      <c r="A171" s="80" t="s">
        <v>302</v>
      </c>
      <c r="B171" s="81">
        <v>164863.07665034125</v>
      </c>
      <c r="C171" s="82">
        <f t="shared" si="13"/>
        <v>2.3923967534903622E-4</v>
      </c>
      <c r="D171" s="83">
        <f t="shared" si="14"/>
        <v>-2711.3829872890774</v>
      </c>
      <c r="E171" s="108">
        <v>0</v>
      </c>
      <c r="F171" s="83">
        <f t="shared" si="12"/>
        <v>0</v>
      </c>
    </row>
    <row r="172" spans="1:6" x14ac:dyDescent="0.25">
      <c r="A172" s="80" t="s">
        <v>204</v>
      </c>
      <c r="B172" s="81">
        <v>704599.59083359304</v>
      </c>
      <c r="C172" s="82">
        <f t="shared" si="13"/>
        <v>1.0224738054574189E-3</v>
      </c>
      <c r="D172" s="83">
        <f t="shared" si="14"/>
        <v>-11588.036461850748</v>
      </c>
      <c r="E172" s="108">
        <v>0</v>
      </c>
      <c r="F172" s="83">
        <f t="shared" si="12"/>
        <v>0</v>
      </c>
    </row>
    <row r="173" spans="1:6" x14ac:dyDescent="0.25">
      <c r="A173" s="80" t="s">
        <v>205</v>
      </c>
      <c r="B173" s="81">
        <v>2178593.5900174789</v>
      </c>
      <c r="C173" s="82">
        <f t="shared" si="13"/>
        <v>3.1614478740967628E-3</v>
      </c>
      <c r="D173" s="83">
        <f t="shared" si="14"/>
        <v>-35829.74257309665</v>
      </c>
      <c r="E173" s="108">
        <v>1</v>
      </c>
      <c r="F173" s="83">
        <f t="shared" si="12"/>
        <v>-35829.74257309665</v>
      </c>
    </row>
    <row r="174" spans="1:6" x14ac:dyDescent="0.25">
      <c r="A174" s="80" t="s">
        <v>206</v>
      </c>
      <c r="B174" s="81">
        <v>341198.30021283566</v>
      </c>
      <c r="C174" s="82">
        <f t="shared" si="13"/>
        <v>4.9512706077715213E-4</v>
      </c>
      <c r="D174" s="83">
        <f t="shared" si="14"/>
        <v>-5611.4400221410579</v>
      </c>
      <c r="E174" s="108">
        <v>0</v>
      </c>
      <c r="F174" s="83">
        <f t="shared" si="12"/>
        <v>0</v>
      </c>
    </row>
    <row r="175" spans="1:6" x14ac:dyDescent="0.25">
      <c r="A175" s="80" t="s">
        <v>207</v>
      </c>
      <c r="B175" s="81">
        <v>384524.04245821625</v>
      </c>
      <c r="C175" s="82">
        <f t="shared" si="13"/>
        <v>5.5799884941315188E-4</v>
      </c>
      <c r="D175" s="83">
        <f t="shared" si="14"/>
        <v>-6323.9869600157217</v>
      </c>
      <c r="E175" s="108">
        <v>0</v>
      </c>
      <c r="F175" s="83">
        <f t="shared" si="12"/>
        <v>0</v>
      </c>
    </row>
    <row r="176" spans="1:6" x14ac:dyDescent="0.25">
      <c r="A176" s="80" t="s">
        <v>208</v>
      </c>
      <c r="B176" s="81">
        <v>68624.142221020636</v>
      </c>
      <c r="C176" s="82">
        <f t="shared" si="13"/>
        <v>9.9583350254243142E-5</v>
      </c>
      <c r="D176" s="83">
        <f t="shared" si="14"/>
        <v>-1128.6113028814223</v>
      </c>
      <c r="E176" s="108">
        <v>0</v>
      </c>
      <c r="F176" s="83">
        <f t="shared" si="12"/>
        <v>0</v>
      </c>
    </row>
    <row r="177" spans="1:6" x14ac:dyDescent="0.25">
      <c r="A177" s="80" t="s">
        <v>209</v>
      </c>
      <c r="B177" s="81">
        <v>-8675.5708107646569</v>
      </c>
      <c r="C177" s="82">
        <f t="shared" si="13"/>
        <v>-1.258948205022847E-5</v>
      </c>
      <c r="D177" s="83">
        <f t="shared" si="14"/>
        <v>142.68079656925602</v>
      </c>
      <c r="E177" s="108">
        <v>0.47809395618940054</v>
      </c>
      <c r="F177" s="83">
        <f t="shared" si="12"/>
        <v>68.214826504050663</v>
      </c>
    </row>
    <row r="178" spans="1:6" x14ac:dyDescent="0.25">
      <c r="A178" s="80" t="s">
        <v>210</v>
      </c>
      <c r="B178" s="81">
        <v>2592.3065610496037</v>
      </c>
      <c r="C178" s="82">
        <f t="shared" si="13"/>
        <v>3.7618039931769042E-6</v>
      </c>
      <c r="D178" s="83">
        <f t="shared" si="14"/>
        <v>-42.633778589338249</v>
      </c>
      <c r="E178" s="108">
        <v>0</v>
      </c>
      <c r="F178" s="83">
        <f t="shared" si="12"/>
        <v>0</v>
      </c>
    </row>
    <row r="179" spans="1:6" x14ac:dyDescent="0.25">
      <c r="A179" s="80" t="s">
        <v>211</v>
      </c>
      <c r="B179" s="81">
        <v>2096129.0447771212</v>
      </c>
      <c r="C179" s="82">
        <f t="shared" si="13"/>
        <v>3.0417801387132241E-3</v>
      </c>
      <c r="D179" s="83">
        <f t="shared" si="14"/>
        <v>-34473.508238749877</v>
      </c>
      <c r="E179" s="108">
        <v>0.47809395618940054</v>
      </c>
      <c r="F179" s="83">
        <f t="shared" si="12"/>
        <v>-16481.575937591821</v>
      </c>
    </row>
    <row r="180" spans="1:6" x14ac:dyDescent="0.25">
      <c r="A180" s="80" t="s">
        <v>303</v>
      </c>
      <c r="B180" s="81">
        <v>-2.4006113307430135</v>
      </c>
      <c r="C180" s="82">
        <f t="shared" si="13"/>
        <v>-3.4836270623789041E-9</v>
      </c>
      <c r="D180" s="83">
        <f t="shared" si="14"/>
        <v>3.9481106706960915E-2</v>
      </c>
      <c r="E180" s="108">
        <v>0</v>
      </c>
      <c r="F180" s="83">
        <f t="shared" si="12"/>
        <v>0</v>
      </c>
    </row>
    <row r="181" spans="1:6" x14ac:dyDescent="0.25">
      <c r="A181" s="80" t="s">
        <v>212</v>
      </c>
      <c r="B181" s="81">
        <v>2053047.6966231144</v>
      </c>
      <c r="C181" s="82">
        <f t="shared" si="13"/>
        <v>2.9792630005196731E-3</v>
      </c>
      <c r="D181" s="83">
        <f t="shared" si="14"/>
        <v>-33764.980672556296</v>
      </c>
      <c r="E181" s="108">
        <v>0</v>
      </c>
      <c r="F181" s="83">
        <f t="shared" si="12"/>
        <v>0</v>
      </c>
    </row>
    <row r="182" spans="1:6" x14ac:dyDescent="0.25">
      <c r="A182" s="80" t="s">
        <v>213</v>
      </c>
      <c r="B182" s="81">
        <v>55845.678680499499</v>
      </c>
      <c r="C182" s="82">
        <f t="shared" si="13"/>
        <v>8.1039989721322714E-5</v>
      </c>
      <c r="D182" s="83">
        <f t="shared" si="14"/>
        <v>-918.45321684165742</v>
      </c>
      <c r="E182" s="108">
        <v>0</v>
      </c>
      <c r="F182" s="83">
        <f t="shared" si="12"/>
        <v>0</v>
      </c>
    </row>
    <row r="183" spans="1:6" x14ac:dyDescent="0.25">
      <c r="A183" s="80" t="s">
        <v>214</v>
      </c>
      <c r="B183" s="81">
        <v>2417346.8952890234</v>
      </c>
      <c r="C183" s="82">
        <f t="shared" si="13"/>
        <v>3.5079127369527321E-3</v>
      </c>
      <c r="D183" s="83">
        <f t="shared" si="14"/>
        <v>-39756.344352130967</v>
      </c>
      <c r="E183" s="108">
        <v>1</v>
      </c>
      <c r="F183" s="83">
        <f t="shared" si="12"/>
        <v>-39756.344352130967</v>
      </c>
    </row>
    <row r="184" spans="1:6" x14ac:dyDescent="0.25">
      <c r="A184" s="80" t="s">
        <v>273</v>
      </c>
      <c r="B184" s="81">
        <v>342844.63431699114</v>
      </c>
      <c r="C184" s="82">
        <f t="shared" si="13"/>
        <v>4.975161247482775E-4</v>
      </c>
      <c r="D184" s="83">
        <f t="shared" si="14"/>
        <v>-5638.5160804804791</v>
      </c>
      <c r="E184" s="108">
        <v>0</v>
      </c>
      <c r="F184" s="83">
        <f t="shared" si="12"/>
        <v>0</v>
      </c>
    </row>
    <row r="185" spans="1:6" x14ac:dyDescent="0.25">
      <c r="A185" s="80" t="s">
        <v>215</v>
      </c>
      <c r="B185" s="81">
        <v>869577.52096414566</v>
      </c>
      <c r="C185" s="82">
        <f t="shared" si="13"/>
        <v>1.2618801494740353E-3</v>
      </c>
      <c r="D185" s="83">
        <f t="shared" si="14"/>
        <v>-14301.308360705734</v>
      </c>
      <c r="E185" s="108">
        <v>0</v>
      </c>
      <c r="F185" s="83">
        <f t="shared" si="12"/>
        <v>0</v>
      </c>
    </row>
    <row r="186" spans="1:6" x14ac:dyDescent="0.25">
      <c r="A186" s="80" t="s">
        <v>216</v>
      </c>
      <c r="B186" s="81">
        <v>1459915.8079784981</v>
      </c>
      <c r="C186" s="82">
        <f t="shared" si="13"/>
        <v>2.1185446191718809E-3</v>
      </c>
      <c r="D186" s="83">
        <f t="shared" si="14"/>
        <v>-24010.172350614652</v>
      </c>
      <c r="E186" s="108">
        <v>0.47809395618940054</v>
      </c>
      <c r="F186" s="83">
        <f t="shared" si="12"/>
        <v>-11479.118287894717</v>
      </c>
    </row>
    <row r="187" spans="1:6" x14ac:dyDescent="0.25">
      <c r="A187" s="80" t="s">
        <v>217</v>
      </c>
      <c r="B187" s="81">
        <v>321.89000513703951</v>
      </c>
      <c r="C187" s="82">
        <f t="shared" si="13"/>
        <v>4.6710798980425033E-7</v>
      </c>
      <c r="D187" s="83">
        <f t="shared" si="14"/>
        <v>-5.2938905511148375</v>
      </c>
      <c r="E187" s="108">
        <v>0.47809395618940054</v>
      </c>
      <c r="F187" s="83">
        <f t="shared" si="12"/>
        <v>-2.5309770772161788</v>
      </c>
    </row>
    <row r="188" spans="1:6" x14ac:dyDescent="0.25">
      <c r="A188" s="80" t="s">
        <v>274</v>
      </c>
      <c r="B188" s="81">
        <v>0.45677594031082652</v>
      </c>
      <c r="C188" s="82">
        <f t="shared" si="13"/>
        <v>6.6284658692244956E-10</v>
      </c>
      <c r="D188" s="83">
        <f t="shared" si="14"/>
        <v>-7.5122613184544287E-3</v>
      </c>
      <c r="E188" s="108">
        <v>0</v>
      </c>
      <c r="F188" s="83">
        <f t="shared" si="12"/>
        <v>0</v>
      </c>
    </row>
    <row r="189" spans="1:6" x14ac:dyDescent="0.25">
      <c r="A189" s="80" t="s">
        <v>218</v>
      </c>
      <c r="B189" s="81">
        <v>74725664.877605215</v>
      </c>
      <c r="C189" s="82">
        <f t="shared" si="13"/>
        <v>0.10843752384577464</v>
      </c>
      <c r="D189" s="83">
        <f t="shared" si="14"/>
        <v>-1228958.603585446</v>
      </c>
      <c r="E189" s="108">
        <v>0.43694520408491577</v>
      </c>
      <c r="F189" s="83">
        <f t="shared" si="12"/>
        <v>-536987.5678555558</v>
      </c>
    </row>
    <row r="190" spans="1:6" x14ac:dyDescent="0.25">
      <c r="A190" s="80" t="s">
        <v>219</v>
      </c>
      <c r="B190" s="81">
        <v>2299311.1788454033</v>
      </c>
      <c r="C190" s="82">
        <f t="shared" si="13"/>
        <v>3.3366261938691378E-3</v>
      </c>
      <c r="D190" s="83">
        <f t="shared" si="14"/>
        <v>-37815.096863850231</v>
      </c>
      <c r="E190" s="108">
        <v>0.43694520408491577</v>
      </c>
      <c r="F190" s="83">
        <f t="shared" si="12"/>
        <v>-16523.125216665896</v>
      </c>
    </row>
    <row r="191" spans="1:6" x14ac:dyDescent="0.25">
      <c r="A191" s="80" t="s">
        <v>220</v>
      </c>
      <c r="B191" s="81">
        <v>-22561796.874633592</v>
      </c>
      <c r="C191" s="82">
        <f t="shared" si="13"/>
        <v>-3.2740362907494415E-2</v>
      </c>
      <c r="D191" s="83">
        <f t="shared" si="14"/>
        <v>371057.44628493674</v>
      </c>
      <c r="E191" s="108">
        <v>0.43694520408491577</v>
      </c>
      <c r="F191" s="83">
        <f t="shared" si="12"/>
        <v>162131.77159419935</v>
      </c>
    </row>
    <row r="192" spans="1:6" x14ac:dyDescent="0.25">
      <c r="A192" s="80" t="s">
        <v>331</v>
      </c>
      <c r="B192" s="81">
        <v>0</v>
      </c>
      <c r="C192" s="82">
        <f t="shared" si="13"/>
        <v>0</v>
      </c>
      <c r="D192" s="83">
        <f t="shared" si="14"/>
        <v>0</v>
      </c>
      <c r="E192" s="108">
        <v>0.43694520408491577</v>
      </c>
      <c r="F192" s="83">
        <f t="shared" si="12"/>
        <v>0</v>
      </c>
    </row>
    <row r="193" spans="1:6" x14ac:dyDescent="0.25">
      <c r="A193" s="80" t="s">
        <v>247</v>
      </c>
      <c r="B193" s="81">
        <v>21947.201440564768</v>
      </c>
      <c r="C193" s="82">
        <f t="shared" si="13"/>
        <v>3.184849788164952E-5</v>
      </c>
      <c r="D193" s="83">
        <f t="shared" si="14"/>
        <v>-360.94964265869459</v>
      </c>
      <c r="E193" s="108">
        <v>0</v>
      </c>
      <c r="F193" s="83">
        <f t="shared" si="12"/>
        <v>0</v>
      </c>
    </row>
    <row r="194" spans="1:6" x14ac:dyDescent="0.25">
      <c r="A194" s="80" t="s">
        <v>304</v>
      </c>
      <c r="B194" s="81">
        <v>33670.823471505268</v>
      </c>
      <c r="C194" s="82">
        <f t="shared" si="13"/>
        <v>4.8861133976908322E-5</v>
      </c>
      <c r="D194" s="83">
        <f t="shared" si="14"/>
        <v>-553.759518404961</v>
      </c>
      <c r="E194" s="108">
        <v>0</v>
      </c>
      <c r="F194" s="83">
        <f t="shared" si="12"/>
        <v>0</v>
      </c>
    </row>
    <row r="195" spans="1:6" x14ac:dyDescent="0.25">
      <c r="A195" s="80" t="s">
        <v>248</v>
      </c>
      <c r="B195" s="81">
        <v>130995.65642599353</v>
      </c>
      <c r="C195" s="82">
        <f t="shared" si="13"/>
        <v>1.9009325163788101E-4</v>
      </c>
      <c r="D195" s="83">
        <f t="shared" si="14"/>
        <v>-2154.3901852293184</v>
      </c>
      <c r="E195" s="108">
        <v>0</v>
      </c>
      <c r="F195" s="83">
        <f t="shared" si="12"/>
        <v>0</v>
      </c>
    </row>
    <row r="196" spans="1:6" x14ac:dyDescent="0.25">
      <c r="A196" s="80" t="s">
        <v>249</v>
      </c>
      <c r="B196" s="81">
        <v>462531.81749994244</v>
      </c>
      <c r="C196" s="82">
        <f t="shared" si="13"/>
        <v>6.7119917998362103E-4</v>
      </c>
      <c r="D196" s="83">
        <f t="shared" si="14"/>
        <v>-7606.924039814372</v>
      </c>
      <c r="E196" s="108">
        <v>0.43694520408491577</v>
      </c>
      <c r="F196" s="83">
        <f t="shared" si="12"/>
        <v>-3323.8089770351426</v>
      </c>
    </row>
    <row r="197" spans="1:6" x14ac:dyDescent="0.25">
      <c r="A197" s="80" t="s">
        <v>250</v>
      </c>
      <c r="B197" s="81">
        <v>91321.838481155341</v>
      </c>
      <c r="C197" s="82">
        <f t="shared" si="13"/>
        <v>1.3252092241882533E-4</v>
      </c>
      <c r="D197" s="83">
        <f t="shared" si="14"/>
        <v>-1501.9037874133539</v>
      </c>
      <c r="E197" s="108">
        <v>1</v>
      </c>
      <c r="F197" s="83">
        <f t="shared" si="12"/>
        <v>-1501.9037874133539</v>
      </c>
    </row>
    <row r="198" spans="1:6" x14ac:dyDescent="0.25">
      <c r="A198" s="80" t="s">
        <v>251</v>
      </c>
      <c r="B198" s="81">
        <v>242737.34058433821</v>
      </c>
      <c r="C198" s="82">
        <f t="shared" si="13"/>
        <v>3.5224626239173916E-4</v>
      </c>
      <c r="D198" s="83">
        <f t="shared" si="14"/>
        <v>-3992.1243071063773</v>
      </c>
      <c r="E198" s="108">
        <v>0</v>
      </c>
      <c r="F198" s="83">
        <f t="shared" si="12"/>
        <v>0</v>
      </c>
    </row>
    <row r="199" spans="1:6" x14ac:dyDescent="0.25">
      <c r="A199" s="80" t="s">
        <v>252</v>
      </c>
      <c r="B199" s="81">
        <v>78603.384277695135</v>
      </c>
      <c r="C199" s="82">
        <f t="shared" si="13"/>
        <v>1.1406464393367488E-4</v>
      </c>
      <c r="D199" s="83">
        <f t="shared" si="14"/>
        <v>-1292.7326312483153</v>
      </c>
      <c r="E199" s="108">
        <v>0</v>
      </c>
      <c r="F199" s="83">
        <f t="shared" si="12"/>
        <v>0</v>
      </c>
    </row>
    <row r="200" spans="1:6" x14ac:dyDescent="0.25">
      <c r="A200" s="80" t="s">
        <v>221</v>
      </c>
      <c r="B200" s="81">
        <v>-3265276.9559912845</v>
      </c>
      <c r="C200" s="82">
        <f t="shared" si="13"/>
        <v>-4.7383793554505839E-3</v>
      </c>
      <c r="D200" s="83">
        <f t="shared" si="14"/>
        <v>53701.632695106622</v>
      </c>
      <c r="E200" s="108">
        <v>0.43694520408491577</v>
      </c>
      <c r="F200" s="83">
        <f t="shared" si="12"/>
        <v>23464.670857656547</v>
      </c>
    </row>
    <row r="201" spans="1:6" x14ac:dyDescent="0.25">
      <c r="A201" s="80" t="s">
        <v>275</v>
      </c>
      <c r="B201" s="81">
        <v>1163.7957573242468</v>
      </c>
      <c r="C201" s="82">
        <f t="shared" ref="C201:C206" si="15">B201/$B$212</f>
        <v>1.6888324833665067E-6</v>
      </c>
      <c r="D201" s="83">
        <f t="shared" ref="D201:D206" si="16">$D$212*C201</f>
        <v>-19.140101478153746</v>
      </c>
      <c r="E201" s="108">
        <v>0</v>
      </c>
      <c r="F201" s="83">
        <f t="shared" si="12"/>
        <v>0</v>
      </c>
    </row>
    <row r="202" spans="1:6" x14ac:dyDescent="0.25">
      <c r="A202" s="80" t="s">
        <v>305</v>
      </c>
      <c r="B202" s="81">
        <v>1539.247583287698</v>
      </c>
      <c r="C202" s="82">
        <f t="shared" si="15"/>
        <v>2.2336662616612356E-6</v>
      </c>
      <c r="D202" s="83">
        <f t="shared" si="16"/>
        <v>-25.314884298827337</v>
      </c>
      <c r="E202" s="108">
        <v>0</v>
      </c>
      <c r="F202" s="83">
        <f t="shared" ref="F202:F206" si="17">D202*E202</f>
        <v>0</v>
      </c>
    </row>
    <row r="203" spans="1:6" x14ac:dyDescent="0.25">
      <c r="A203" s="80" t="s">
        <v>222</v>
      </c>
      <c r="B203" s="81">
        <v>11454.126464359211</v>
      </c>
      <c r="C203" s="82">
        <f t="shared" si="15"/>
        <v>1.6621559856922821E-5</v>
      </c>
      <c r="D203" s="83">
        <f t="shared" si="16"/>
        <v>-188.37767837845865</v>
      </c>
      <c r="E203" s="108">
        <v>0</v>
      </c>
      <c r="F203" s="83">
        <f t="shared" si="17"/>
        <v>0</v>
      </c>
    </row>
    <row r="204" spans="1:6" x14ac:dyDescent="0.25">
      <c r="A204" s="80" t="s">
        <v>223</v>
      </c>
      <c r="B204" s="81">
        <v>2025809.7217265198</v>
      </c>
      <c r="C204" s="82">
        <f t="shared" si="15"/>
        <v>2.9397368409706361E-3</v>
      </c>
      <c r="D204" s="83">
        <f t="shared" si="16"/>
        <v>-33317.017531000543</v>
      </c>
      <c r="E204" s="108">
        <v>0.43694520408491577</v>
      </c>
      <c r="F204" s="83">
        <f t="shared" si="17"/>
        <v>-14557.711024583748</v>
      </c>
    </row>
    <row r="205" spans="1:6" x14ac:dyDescent="0.25">
      <c r="A205" s="80" t="s">
        <v>253</v>
      </c>
      <c r="B205" s="81">
        <v>271.2362026570226</v>
      </c>
      <c r="C205" s="82">
        <f t="shared" si="15"/>
        <v>3.9360214782475475E-7</v>
      </c>
      <c r="D205" s="83">
        <f t="shared" si="16"/>
        <v>-4.4608243420138871</v>
      </c>
      <c r="E205" s="108">
        <v>0</v>
      </c>
      <c r="F205" s="83">
        <f t="shared" si="17"/>
        <v>0</v>
      </c>
    </row>
    <row r="206" spans="1:6" x14ac:dyDescent="0.25">
      <c r="A206" s="80" t="s">
        <v>332</v>
      </c>
      <c r="B206" s="81">
        <v>157.20537794519501</v>
      </c>
      <c r="C206" s="82">
        <f t="shared" si="15"/>
        <v>2.2812726989499104E-7</v>
      </c>
      <c r="D206" s="83">
        <f t="shared" si="16"/>
        <v>-2.5854423921432317</v>
      </c>
      <c r="E206" s="108">
        <v>0</v>
      </c>
      <c r="F206" s="83">
        <f t="shared" si="17"/>
        <v>0</v>
      </c>
    </row>
    <row r="207" spans="1:6" x14ac:dyDescent="0.25">
      <c r="A207" s="80"/>
      <c r="B207" s="81"/>
      <c r="C207" s="77"/>
      <c r="E207" s="85"/>
    </row>
    <row r="208" spans="1:6" x14ac:dyDescent="0.25">
      <c r="A208" s="86" t="s">
        <v>276</v>
      </c>
      <c r="B208" s="92">
        <f>SUM(B9:B207)</f>
        <v>459314843.57839173</v>
      </c>
      <c r="C208" s="88">
        <f>SUM(C9:C207)</f>
        <v>0.66653089517276287</v>
      </c>
      <c r="D208" s="92">
        <f>SUM(D9:D207)</f>
        <v>-7554016.8119579796</v>
      </c>
      <c r="E208" s="85"/>
      <c r="F208" s="92">
        <f>SUM(F9:F207)</f>
        <v>-3332280.9597319146</v>
      </c>
    </row>
    <row r="209" spans="1:6" x14ac:dyDescent="0.25">
      <c r="A209" s="89"/>
      <c r="B209" s="93"/>
      <c r="C209" s="77"/>
      <c r="D209" s="83"/>
      <c r="E209" s="85"/>
      <c r="F209" s="83"/>
    </row>
    <row r="210" spans="1:6" x14ac:dyDescent="0.25">
      <c r="A210" s="89" t="s">
        <v>277</v>
      </c>
      <c r="B210" s="84">
        <v>229797764.56160837</v>
      </c>
      <c r="C210" s="82">
        <f>B210/B212</f>
        <v>0.33346910482723696</v>
      </c>
      <c r="D210" s="91">
        <f>$D$212*C210</f>
        <v>-3779316.5213753525</v>
      </c>
      <c r="E210" s="85"/>
      <c r="F210" s="83"/>
    </row>
    <row r="211" spans="1:6" x14ac:dyDescent="0.25">
      <c r="A211" s="89"/>
      <c r="B211" s="93"/>
      <c r="C211" s="77"/>
      <c r="D211" s="90"/>
      <c r="E211" s="85"/>
      <c r="F211" s="83"/>
    </row>
    <row r="212" spans="1:6" x14ac:dyDescent="0.25">
      <c r="A212" s="86" t="s">
        <v>278</v>
      </c>
      <c r="B212" s="92">
        <f>SUM(B208:B210)</f>
        <v>689112608.1400001</v>
      </c>
      <c r="C212" s="88">
        <f>C208+C210</f>
        <v>0.99999999999999978</v>
      </c>
      <c r="D212" s="87">
        <f>'3.8'!K21</f>
        <v>-11333333.333333334</v>
      </c>
      <c r="E212" s="85"/>
      <c r="F212" s="83"/>
    </row>
    <row r="213" spans="1:6" x14ac:dyDescent="0.25">
      <c r="A213" s="89"/>
      <c r="B213" s="90"/>
      <c r="C213" s="77"/>
      <c r="D213" s="90"/>
      <c r="E213" s="85"/>
      <c r="F213" s="83"/>
    </row>
  </sheetData>
  <phoneticPr fontId="8" type="noConversion"/>
  <pageMargins left="0.75" right="0.75" top="1" bottom="1" header="0.5" footer="0.5"/>
  <pageSetup scale="69" fitToHeight="4"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1"/>
  <sheetViews>
    <sheetView workbookViewId="0">
      <selection activeCell="C32" sqref="C32"/>
    </sheetView>
  </sheetViews>
  <sheetFormatPr defaultRowHeight="15.75" x14ac:dyDescent="0.25"/>
  <cols>
    <col min="1" max="1" width="3.875" customWidth="1"/>
    <col min="2" max="2" width="1.625" customWidth="1"/>
    <col min="3" max="3" width="38.75" customWidth="1"/>
    <col min="4" max="4" width="3.75" customWidth="1"/>
    <col min="5" max="5" width="8" customWidth="1"/>
    <col min="6" max="6" width="1" customWidth="1"/>
    <col min="7" max="7" width="12.375" customWidth="1"/>
    <col min="8" max="8" width="0.875" customWidth="1"/>
    <col min="9" max="9" width="6.875" customWidth="1"/>
    <col min="10" max="10" width="1" customWidth="1"/>
    <col min="11" max="11" width="9.125" customWidth="1"/>
    <col min="12" max="12" width="1" customWidth="1"/>
    <col min="13" max="13" width="12.5" customWidth="1"/>
    <col min="14" max="14" width="1.625" customWidth="1"/>
  </cols>
  <sheetData>
    <row r="1" spans="1:16" x14ac:dyDescent="0.25">
      <c r="A1" s="7" t="s">
        <v>15</v>
      </c>
      <c r="K1" s="7" t="s">
        <v>230</v>
      </c>
    </row>
    <row r="2" spans="1:16" x14ac:dyDescent="0.25">
      <c r="A2" s="17" t="s">
        <v>13</v>
      </c>
      <c r="K2" t="s">
        <v>335</v>
      </c>
    </row>
    <row r="3" spans="1:16" x14ac:dyDescent="0.25">
      <c r="A3" s="5" t="s">
        <v>447</v>
      </c>
      <c r="K3" t="s">
        <v>318</v>
      </c>
    </row>
    <row r="4" spans="1:16" x14ac:dyDescent="0.25">
      <c r="A4" t="s">
        <v>334</v>
      </c>
      <c r="K4" s="5" t="s">
        <v>320</v>
      </c>
    </row>
    <row r="7" spans="1:16" x14ac:dyDescent="0.25">
      <c r="A7" t="s">
        <v>0</v>
      </c>
      <c r="E7" s="1"/>
      <c r="F7" s="1"/>
      <c r="G7" s="1" t="s">
        <v>4</v>
      </c>
      <c r="H7" s="1"/>
      <c r="I7" s="1"/>
      <c r="J7" s="1"/>
      <c r="K7" s="1"/>
      <c r="L7" s="1"/>
      <c r="M7" s="1" t="s">
        <v>9</v>
      </c>
    </row>
    <row r="8" spans="1:16" x14ac:dyDescent="0.25">
      <c r="A8" s="2" t="s">
        <v>3</v>
      </c>
      <c r="C8" s="2" t="s">
        <v>1</v>
      </c>
      <c r="E8" s="10" t="s">
        <v>66</v>
      </c>
      <c r="F8" s="1"/>
      <c r="G8" s="10" t="s">
        <v>6</v>
      </c>
      <c r="H8" s="1"/>
      <c r="I8" s="10" t="s">
        <v>7</v>
      </c>
      <c r="J8" s="1"/>
      <c r="K8" s="11" t="s">
        <v>10</v>
      </c>
      <c r="L8" s="1"/>
      <c r="M8" s="10" t="s">
        <v>8</v>
      </c>
    </row>
    <row r="10" spans="1:16" x14ac:dyDescent="0.25">
      <c r="C10" s="3" t="s">
        <v>12</v>
      </c>
    </row>
    <row r="11" spans="1:16" x14ac:dyDescent="0.25">
      <c r="C11" s="3"/>
    </row>
    <row r="12" spans="1:16" x14ac:dyDescent="0.25">
      <c r="A12" s="44">
        <v>1</v>
      </c>
      <c r="B12" s="24"/>
      <c r="C12" t="s">
        <v>453</v>
      </c>
      <c r="D12" s="24"/>
      <c r="E12" s="44">
        <v>561</v>
      </c>
      <c r="F12" s="24"/>
      <c r="G12" s="45">
        <f>G21</f>
        <v>-2734617.4060000004</v>
      </c>
      <c r="H12" s="42"/>
      <c r="I12" s="8" t="s">
        <v>14</v>
      </c>
      <c r="J12" s="43"/>
      <c r="K12" s="108">
        <v>0.43997498132271273</v>
      </c>
      <c r="L12" s="42"/>
      <c r="M12" s="46">
        <f>G12*K12</f>
        <v>-1203163.2421296153</v>
      </c>
    </row>
    <row r="13" spans="1:16" x14ac:dyDescent="0.25">
      <c r="A13" s="8"/>
      <c r="B13" s="4"/>
      <c r="C13" s="4"/>
      <c r="D13" s="42"/>
      <c r="E13" s="43"/>
      <c r="F13" s="42"/>
      <c r="G13" s="45"/>
      <c r="H13" s="42"/>
      <c r="I13" s="8"/>
      <c r="J13" s="43"/>
      <c r="K13" s="52"/>
      <c r="L13" s="42"/>
      <c r="M13" s="45"/>
      <c r="N13" s="4"/>
      <c r="O13" s="4"/>
      <c r="P13" s="4"/>
    </row>
    <row r="14" spans="1:16" x14ac:dyDescent="0.25">
      <c r="A14" s="8"/>
      <c r="B14" s="4"/>
      <c r="C14" s="4"/>
      <c r="D14" s="4"/>
      <c r="E14" s="4"/>
      <c r="F14" s="4"/>
      <c r="G14" s="4"/>
      <c r="H14" s="4"/>
      <c r="I14" s="4"/>
      <c r="J14" s="4"/>
      <c r="K14" s="4"/>
      <c r="L14" s="4"/>
      <c r="M14" s="4"/>
      <c r="N14" s="4"/>
      <c r="O14" s="4"/>
      <c r="P14" s="4"/>
    </row>
    <row r="15" spans="1:16" x14ac:dyDescent="0.25">
      <c r="A15" s="8"/>
      <c r="B15" s="4"/>
      <c r="C15" s="4"/>
      <c r="D15" s="4"/>
      <c r="E15" s="4"/>
      <c r="F15" s="4"/>
      <c r="G15" s="12"/>
      <c r="H15" s="4"/>
      <c r="I15" s="4"/>
      <c r="J15" s="4"/>
      <c r="K15" s="4"/>
      <c r="L15" s="4"/>
      <c r="M15" s="95"/>
      <c r="N15" s="4"/>
      <c r="O15" s="4"/>
      <c r="P15" s="4"/>
    </row>
    <row r="16" spans="1:16" x14ac:dyDescent="0.25">
      <c r="A16" s="8"/>
      <c r="B16" s="4"/>
      <c r="C16" s="39" t="s">
        <v>246</v>
      </c>
      <c r="D16" s="4"/>
      <c r="E16" s="4"/>
      <c r="F16" s="4"/>
      <c r="G16" s="4"/>
      <c r="H16" s="4"/>
      <c r="I16" s="4"/>
      <c r="J16" s="4"/>
      <c r="K16" s="4"/>
      <c r="L16" s="4"/>
      <c r="M16" s="4"/>
      <c r="N16" s="4"/>
      <c r="O16" s="4"/>
      <c r="P16" s="4"/>
    </row>
    <row r="17" spans="1:13" x14ac:dyDescent="0.25">
      <c r="A17" s="1" t="s">
        <v>237</v>
      </c>
      <c r="C17" t="s">
        <v>448</v>
      </c>
      <c r="G17" s="45">
        <v>5059884</v>
      </c>
    </row>
    <row r="18" spans="1:13" x14ac:dyDescent="0.25">
      <c r="A18" s="1" t="s">
        <v>238</v>
      </c>
      <c r="C18" t="s">
        <v>449</v>
      </c>
      <c r="G18" s="131">
        <v>-3.5000000000000001E-3</v>
      </c>
      <c r="I18" t="s">
        <v>451</v>
      </c>
    </row>
    <row r="19" spans="1:13" x14ac:dyDescent="0.25">
      <c r="A19" s="1" t="s">
        <v>239</v>
      </c>
      <c r="C19" t="s">
        <v>450</v>
      </c>
      <c r="G19" s="45">
        <f>G17*(1+G18)</f>
        <v>5042174.4060000004</v>
      </c>
    </row>
    <row r="20" spans="1:13" x14ac:dyDescent="0.25">
      <c r="A20" s="1" t="s">
        <v>240</v>
      </c>
      <c r="C20" t="s">
        <v>454</v>
      </c>
      <c r="G20" s="53">
        <v>2307557</v>
      </c>
    </row>
    <row r="21" spans="1:13" x14ac:dyDescent="0.25">
      <c r="A21" s="1" t="s">
        <v>241</v>
      </c>
      <c r="C21" t="s">
        <v>452</v>
      </c>
      <c r="G21" s="130">
        <f>G20-G19</f>
        <v>-2734617.4060000004</v>
      </c>
    </row>
    <row r="22" spans="1:13" x14ac:dyDescent="0.25">
      <c r="G22" s="45"/>
    </row>
    <row r="23" spans="1:13" x14ac:dyDescent="0.25">
      <c r="G23" s="45"/>
    </row>
    <row r="24" spans="1:13" x14ac:dyDescent="0.25">
      <c r="G24" s="45"/>
    </row>
    <row r="26" spans="1:13" x14ac:dyDescent="0.25">
      <c r="C26" t="s">
        <v>5</v>
      </c>
    </row>
    <row r="27" spans="1:13" ht="3.75" customHeight="1" x14ac:dyDescent="0.25"/>
    <row r="28" spans="1:13" x14ac:dyDescent="0.25">
      <c r="C28" s="162" t="s">
        <v>735</v>
      </c>
      <c r="D28" s="163"/>
      <c r="E28" s="163"/>
      <c r="F28" s="163"/>
      <c r="G28" s="163"/>
      <c r="H28" s="163"/>
      <c r="I28" s="163"/>
      <c r="J28" s="163"/>
      <c r="K28" s="163"/>
      <c r="L28" s="163"/>
      <c r="M28" s="164"/>
    </row>
    <row r="29" spans="1:13" x14ac:dyDescent="0.25">
      <c r="C29" s="165"/>
      <c r="D29" s="166"/>
      <c r="E29" s="166"/>
      <c r="F29" s="166"/>
      <c r="G29" s="166"/>
      <c r="H29" s="166"/>
      <c r="I29" s="166"/>
      <c r="J29" s="166"/>
      <c r="K29" s="166"/>
      <c r="L29" s="166"/>
      <c r="M29" s="167"/>
    </row>
    <row r="30" spans="1:13" x14ac:dyDescent="0.25">
      <c r="C30" s="165"/>
      <c r="D30" s="166"/>
      <c r="E30" s="166"/>
      <c r="F30" s="166"/>
      <c r="G30" s="166"/>
      <c r="H30" s="166"/>
      <c r="I30" s="166"/>
      <c r="J30" s="166"/>
      <c r="K30" s="166"/>
      <c r="L30" s="166"/>
      <c r="M30" s="167"/>
    </row>
    <row r="31" spans="1:13" x14ac:dyDescent="0.25">
      <c r="C31" s="168"/>
      <c r="D31" s="169"/>
      <c r="E31" s="169"/>
      <c r="F31" s="169"/>
      <c r="G31" s="169"/>
      <c r="H31" s="169"/>
      <c r="I31" s="169"/>
      <c r="J31" s="169"/>
      <c r="K31" s="169"/>
      <c r="L31" s="169"/>
      <c r="M31" s="170"/>
    </row>
  </sheetData>
  <mergeCells count="1">
    <mergeCell ref="C28:M31"/>
  </mergeCells>
  <pageMargins left="0.7" right="0.7" top="0.75" bottom="0.75" header="0.3" footer="0.3"/>
  <pageSetup scale="82"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8"/>
  <sheetViews>
    <sheetView topLeftCell="A2" workbookViewId="0">
      <selection activeCell="C27" sqref="C27"/>
    </sheetView>
  </sheetViews>
  <sheetFormatPr defaultRowHeight="15.75" x14ac:dyDescent="0.25"/>
  <cols>
    <col min="1" max="1" width="4.625" customWidth="1"/>
    <col min="2" max="2" width="1.625" customWidth="1"/>
    <col min="3" max="3" width="38.875" customWidth="1"/>
    <col min="4" max="4" width="2.375" customWidth="1"/>
    <col min="5" max="5" width="7" customWidth="1"/>
    <col min="6" max="6" width="1" customWidth="1"/>
    <col min="7" max="7" width="12.375" customWidth="1"/>
    <col min="8" max="8" width="0.875" customWidth="1"/>
    <col min="9" max="9" width="7.375" customWidth="1"/>
    <col min="10" max="10" width="1" customWidth="1"/>
    <col min="11" max="11" width="9.125" customWidth="1"/>
    <col min="12" max="12" width="1" customWidth="1"/>
    <col min="13" max="13" width="10.375" customWidth="1"/>
  </cols>
  <sheetData>
    <row r="1" spans="1:14" x14ac:dyDescent="0.25">
      <c r="A1" s="7" t="s">
        <v>15</v>
      </c>
      <c r="B1" s="7"/>
      <c r="C1" s="7"/>
      <c r="D1" s="7"/>
      <c r="E1" s="7"/>
      <c r="F1" s="7"/>
      <c r="G1" s="7"/>
      <c r="H1" s="7"/>
      <c r="I1" s="7" t="s">
        <v>230</v>
      </c>
      <c r="J1" s="7"/>
      <c r="K1" s="7"/>
      <c r="L1" s="7"/>
      <c r="M1" s="7"/>
    </row>
    <row r="2" spans="1:14" x14ac:dyDescent="0.25">
      <c r="A2" s="17" t="s">
        <v>13</v>
      </c>
      <c r="B2" s="7"/>
      <c r="C2" s="7"/>
      <c r="D2" s="7"/>
      <c r="E2" s="7"/>
      <c r="F2" s="7"/>
      <c r="G2" s="7"/>
      <c r="H2" s="7"/>
      <c r="I2" t="s">
        <v>335</v>
      </c>
      <c r="J2" s="7"/>
      <c r="K2" s="7"/>
      <c r="L2" s="7"/>
      <c r="M2" s="7"/>
    </row>
    <row r="3" spans="1:14" x14ac:dyDescent="0.25">
      <c r="A3" s="5" t="s">
        <v>461</v>
      </c>
      <c r="B3" s="7"/>
      <c r="C3" s="7"/>
      <c r="D3" s="7"/>
      <c r="E3" s="7"/>
      <c r="F3" s="7"/>
      <c r="G3" s="7"/>
      <c r="H3" s="7"/>
      <c r="I3" t="s">
        <v>581</v>
      </c>
      <c r="J3" s="7"/>
      <c r="K3" s="7"/>
      <c r="L3" s="7"/>
      <c r="M3" s="7"/>
    </row>
    <row r="4" spans="1:14" x14ac:dyDescent="0.25">
      <c r="A4" t="s">
        <v>334</v>
      </c>
      <c r="B4" s="7"/>
      <c r="C4" s="7"/>
      <c r="D4" s="7"/>
      <c r="E4" s="7"/>
      <c r="F4" s="7"/>
      <c r="G4" s="7"/>
      <c r="H4" s="7"/>
      <c r="I4" s="5" t="s">
        <v>320</v>
      </c>
      <c r="J4" s="7"/>
      <c r="K4" s="9"/>
      <c r="L4" s="7"/>
      <c r="M4" s="7"/>
    </row>
    <row r="5" spans="1:14" x14ac:dyDescent="0.25">
      <c r="B5" s="7"/>
      <c r="C5" s="7"/>
      <c r="D5" s="7"/>
      <c r="E5" s="7"/>
      <c r="F5" s="7"/>
      <c r="G5" s="7"/>
      <c r="H5" s="7"/>
      <c r="I5" s="7"/>
      <c r="J5" s="7"/>
      <c r="K5" s="7"/>
      <c r="L5" s="7"/>
      <c r="M5" s="7"/>
    </row>
    <row r="6" spans="1:14" x14ac:dyDescent="0.25">
      <c r="A6" s="7"/>
      <c r="B6" s="7"/>
      <c r="C6" s="7"/>
      <c r="D6" s="16"/>
      <c r="E6" s="7"/>
      <c r="F6" s="7"/>
      <c r="G6" s="7"/>
      <c r="H6" s="7"/>
      <c r="I6" s="7"/>
      <c r="J6" s="7"/>
      <c r="K6" s="7"/>
      <c r="L6" s="7"/>
      <c r="M6" s="24"/>
    </row>
    <row r="7" spans="1:14" x14ac:dyDescent="0.25">
      <c r="A7" s="7"/>
      <c r="B7" s="7"/>
      <c r="C7" s="7"/>
      <c r="D7" s="7"/>
      <c r="E7" s="7"/>
      <c r="F7" s="7"/>
      <c r="G7" s="37"/>
      <c r="H7" s="37"/>
      <c r="I7" s="37"/>
      <c r="J7" s="37"/>
      <c r="K7" s="37"/>
      <c r="L7" s="38"/>
      <c r="M7" s="24"/>
    </row>
    <row r="8" spans="1:14" x14ac:dyDescent="0.25">
      <c r="A8" s="7"/>
      <c r="B8" s="7"/>
      <c r="C8" s="7"/>
      <c r="D8" s="7"/>
      <c r="E8" s="7"/>
      <c r="F8" s="7"/>
      <c r="G8" s="38"/>
      <c r="H8" s="38"/>
      <c r="I8" s="38"/>
      <c r="J8" s="38"/>
      <c r="K8" s="38"/>
      <c r="L8" s="38"/>
      <c r="M8" s="24"/>
    </row>
    <row r="9" spans="1:14" x14ac:dyDescent="0.25">
      <c r="A9" t="s">
        <v>0</v>
      </c>
      <c r="E9" s="1"/>
      <c r="F9" s="1"/>
      <c r="G9" s="1" t="s">
        <v>4</v>
      </c>
      <c r="H9" s="1"/>
      <c r="I9" s="1"/>
      <c r="J9" s="1"/>
      <c r="K9" s="1"/>
      <c r="L9" s="1"/>
      <c r="M9" s="1" t="s">
        <v>9</v>
      </c>
    </row>
    <row r="10" spans="1:14" x14ac:dyDescent="0.25">
      <c r="A10" s="2" t="s">
        <v>3</v>
      </c>
      <c r="C10" s="2" t="s">
        <v>1</v>
      </c>
      <c r="E10" s="10" t="s">
        <v>66</v>
      </c>
      <c r="F10" s="1"/>
      <c r="G10" s="10" t="s">
        <v>6</v>
      </c>
      <c r="H10" s="1"/>
      <c r="I10" s="10" t="s">
        <v>7</v>
      </c>
      <c r="J10" s="1"/>
      <c r="K10" s="11" t="s">
        <v>10</v>
      </c>
      <c r="L10" s="1"/>
      <c r="M10" s="10" t="s">
        <v>8</v>
      </c>
    </row>
    <row r="12" spans="1:14" x14ac:dyDescent="0.25">
      <c r="C12" s="3" t="s">
        <v>12</v>
      </c>
    </row>
    <row r="13" spans="1:14" x14ac:dyDescent="0.25">
      <c r="C13" s="3"/>
    </row>
    <row r="14" spans="1:14" x14ac:dyDescent="0.25">
      <c r="A14" s="24">
        <v>1</v>
      </c>
      <c r="B14" s="24"/>
      <c r="C14" t="s">
        <v>456</v>
      </c>
    </row>
    <row r="15" spans="1:14" x14ac:dyDescent="0.25">
      <c r="C15" t="s">
        <v>457</v>
      </c>
      <c r="D15" s="24"/>
      <c r="E15" s="44">
        <v>904</v>
      </c>
      <c r="F15" s="24"/>
      <c r="G15" s="45">
        <f>G24</f>
        <v>-988207.30719999992</v>
      </c>
      <c r="H15" s="42"/>
      <c r="I15" s="114" t="s">
        <v>396</v>
      </c>
      <c r="J15" s="43"/>
      <c r="K15" s="132">
        <v>0.47809395618940054</v>
      </c>
      <c r="L15" s="42"/>
      <c r="M15" s="45">
        <f>G15*K15</f>
        <v>-472455.94103452226</v>
      </c>
      <c r="N15" s="4"/>
    </row>
    <row r="16" spans="1:14" x14ac:dyDescent="0.25">
      <c r="A16" s="42"/>
      <c r="B16" s="42"/>
      <c r="C16" s="42"/>
      <c r="D16" s="42"/>
      <c r="E16" s="43"/>
      <c r="F16" s="42"/>
      <c r="G16" s="45"/>
      <c r="H16" s="42"/>
      <c r="I16" s="43"/>
      <c r="J16" s="43"/>
      <c r="K16" s="52"/>
      <c r="L16" s="42"/>
      <c r="M16" s="45"/>
    </row>
    <row r="17" spans="1:15" x14ac:dyDescent="0.25">
      <c r="A17" s="42"/>
      <c r="B17" s="42"/>
      <c r="C17" s="42"/>
      <c r="D17" s="42"/>
      <c r="E17" s="42"/>
      <c r="F17" s="42"/>
      <c r="G17" s="42"/>
      <c r="H17" s="42"/>
      <c r="I17" s="42"/>
      <c r="J17" s="42"/>
      <c r="K17" s="42"/>
      <c r="L17" s="42"/>
      <c r="M17" s="42"/>
    </row>
    <row r="18" spans="1:15" x14ac:dyDescent="0.25">
      <c r="A18" s="4"/>
      <c r="B18" s="4"/>
      <c r="C18" s="4"/>
      <c r="D18" s="4"/>
      <c r="E18" s="4"/>
      <c r="F18" s="4"/>
      <c r="G18" s="12"/>
      <c r="H18" s="4"/>
      <c r="I18" s="4"/>
      <c r="J18" s="4"/>
      <c r="K18" s="4"/>
      <c r="L18" s="4"/>
      <c r="M18" s="12"/>
    </row>
    <row r="19" spans="1:15" x14ac:dyDescent="0.25">
      <c r="A19" s="4"/>
      <c r="B19" s="4"/>
      <c r="C19" s="3" t="s">
        <v>246</v>
      </c>
      <c r="D19" s="4"/>
      <c r="E19" s="4"/>
      <c r="F19" s="4"/>
      <c r="G19" s="15" t="s">
        <v>2</v>
      </c>
      <c r="H19" s="4"/>
      <c r="I19" s="4"/>
      <c r="J19" s="4"/>
      <c r="K19" s="4"/>
      <c r="L19" s="4"/>
      <c r="M19" s="4"/>
    </row>
    <row r="20" spans="1:15" x14ac:dyDescent="0.25">
      <c r="A20" s="4"/>
      <c r="B20" s="4"/>
      <c r="C20" s="4"/>
      <c r="D20" s="4"/>
      <c r="E20" s="4"/>
      <c r="F20" s="4"/>
      <c r="G20" s="4"/>
      <c r="H20" s="4"/>
      <c r="I20" s="4"/>
      <c r="J20" s="4"/>
      <c r="K20" s="4"/>
      <c r="L20" s="4"/>
      <c r="M20" s="4"/>
    </row>
    <row r="21" spans="1:15" x14ac:dyDescent="0.25">
      <c r="A21" s="1" t="s">
        <v>237</v>
      </c>
      <c r="C21" s="4" t="s">
        <v>458</v>
      </c>
      <c r="G21" s="45">
        <v>981923</v>
      </c>
    </row>
    <row r="22" spans="1:15" x14ac:dyDescent="0.25">
      <c r="A22" s="1" t="s">
        <v>238</v>
      </c>
      <c r="C22" t="s">
        <v>449</v>
      </c>
      <c r="G22" s="131">
        <v>6.4000000000000003E-3</v>
      </c>
      <c r="I22" t="s">
        <v>451</v>
      </c>
    </row>
    <row r="23" spans="1:15" x14ac:dyDescent="0.25">
      <c r="A23" s="1" t="s">
        <v>239</v>
      </c>
      <c r="C23" t="s">
        <v>459</v>
      </c>
      <c r="G23" s="130">
        <f>G21*(1+G22)</f>
        <v>988207.30719999992</v>
      </c>
    </row>
    <row r="24" spans="1:15" x14ac:dyDescent="0.25">
      <c r="A24" s="1" t="s">
        <v>240</v>
      </c>
      <c r="C24" t="s">
        <v>460</v>
      </c>
      <c r="G24" s="130">
        <f>-G23</f>
        <v>-988207.30719999992</v>
      </c>
    </row>
    <row r="25" spans="1:15" x14ac:dyDescent="0.25">
      <c r="A25" s="1"/>
    </row>
    <row r="30" spans="1:15" x14ac:dyDescent="0.25">
      <c r="C30" t="s">
        <v>5</v>
      </c>
    </row>
    <row r="31" spans="1:15" ht="5.25" customHeight="1" x14ac:dyDescent="0.25">
      <c r="N31" s="4"/>
      <c r="O31" s="4"/>
    </row>
    <row r="32" spans="1:15" ht="15.75" customHeight="1" x14ac:dyDescent="0.25">
      <c r="C32" s="153" t="s">
        <v>462</v>
      </c>
      <c r="D32" s="154"/>
      <c r="E32" s="154"/>
      <c r="F32" s="154"/>
      <c r="G32" s="154"/>
      <c r="H32" s="154"/>
      <c r="I32" s="154"/>
      <c r="J32" s="154"/>
      <c r="K32" s="154"/>
      <c r="L32" s="154"/>
      <c r="M32" s="155"/>
      <c r="N32" s="62"/>
      <c r="O32" s="62"/>
    </row>
    <row r="33" spans="3:15" ht="15.75" customHeight="1" x14ac:dyDescent="0.25">
      <c r="C33" s="156"/>
      <c r="D33" s="157"/>
      <c r="E33" s="157"/>
      <c r="F33" s="157"/>
      <c r="G33" s="157"/>
      <c r="H33" s="157"/>
      <c r="I33" s="157"/>
      <c r="J33" s="157"/>
      <c r="K33" s="157"/>
      <c r="L33" s="157"/>
      <c r="M33" s="158"/>
      <c r="N33" s="139"/>
      <c r="O33" s="139"/>
    </row>
    <row r="34" spans="3:15" ht="15.75" customHeight="1" x14ac:dyDescent="0.25">
      <c r="C34" s="156"/>
      <c r="D34" s="157"/>
      <c r="E34" s="157"/>
      <c r="F34" s="157"/>
      <c r="G34" s="157"/>
      <c r="H34" s="157"/>
      <c r="I34" s="157"/>
      <c r="J34" s="157"/>
      <c r="K34" s="157"/>
      <c r="L34" s="157"/>
      <c r="M34" s="158"/>
      <c r="N34" s="94"/>
      <c r="O34" s="94"/>
    </row>
    <row r="35" spans="3:15" x14ac:dyDescent="0.25">
      <c r="C35" s="156"/>
      <c r="D35" s="157"/>
      <c r="E35" s="157"/>
      <c r="F35" s="157"/>
      <c r="G35" s="157"/>
      <c r="H35" s="157"/>
      <c r="I35" s="157"/>
      <c r="J35" s="157"/>
      <c r="K35" s="157"/>
      <c r="L35" s="157"/>
      <c r="M35" s="158"/>
      <c r="N35" s="62"/>
      <c r="O35" s="62"/>
    </row>
    <row r="36" spans="3:15" x14ac:dyDescent="0.25">
      <c r="C36" s="156"/>
      <c r="D36" s="157"/>
      <c r="E36" s="157"/>
      <c r="F36" s="157"/>
      <c r="G36" s="157"/>
      <c r="H36" s="157"/>
      <c r="I36" s="157"/>
      <c r="J36" s="157"/>
      <c r="K36" s="157"/>
      <c r="L36" s="157"/>
      <c r="M36" s="158"/>
      <c r="N36" s="62"/>
      <c r="O36" s="62"/>
    </row>
    <row r="37" spans="3:15" x14ac:dyDescent="0.25">
      <c r="C37" s="159"/>
      <c r="D37" s="160"/>
      <c r="E37" s="160"/>
      <c r="F37" s="160"/>
      <c r="G37" s="160"/>
      <c r="H37" s="160"/>
      <c r="I37" s="160"/>
      <c r="J37" s="160"/>
      <c r="K37" s="160"/>
      <c r="L37" s="160"/>
      <c r="M37" s="161"/>
      <c r="N37" s="62"/>
      <c r="O37" s="62"/>
    </row>
    <row r="38" spans="3:15" x14ac:dyDescent="0.25">
      <c r="N38" s="4"/>
      <c r="O38" s="4"/>
    </row>
  </sheetData>
  <mergeCells count="1">
    <mergeCell ref="C32:M37"/>
  </mergeCells>
  <pageMargins left="0.7" right="0.7" top="0.75" bottom="0.75" header="0.3" footer="0.3"/>
  <pageSetup scale="7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1"/>
  <sheetViews>
    <sheetView workbookViewId="0">
      <selection activeCell="C32" sqref="C32"/>
    </sheetView>
  </sheetViews>
  <sheetFormatPr defaultRowHeight="15.75" x14ac:dyDescent="0.25"/>
  <cols>
    <col min="1" max="1" width="4.625" customWidth="1"/>
    <col min="2" max="2" width="1.625" customWidth="1"/>
    <col min="3" max="3" width="28.625" customWidth="1"/>
    <col min="4" max="4" width="3.75" customWidth="1"/>
    <col min="5" max="5" width="8" customWidth="1"/>
    <col min="6" max="6" width="1" customWidth="1"/>
    <col min="7" max="7" width="12.375" customWidth="1"/>
    <col min="8" max="8" width="0.875" customWidth="1"/>
    <col min="9" max="9" width="6.875" customWidth="1"/>
    <col min="10" max="10" width="1" customWidth="1"/>
    <col min="11" max="11" width="9.125" customWidth="1"/>
    <col min="12" max="12" width="1" customWidth="1"/>
    <col min="13" max="13" width="12.5" customWidth="1"/>
  </cols>
  <sheetData>
    <row r="1" spans="1:13" x14ac:dyDescent="0.25">
      <c r="A1" s="7" t="s">
        <v>15</v>
      </c>
      <c r="B1" s="7"/>
      <c r="C1" s="7"/>
      <c r="D1" s="7"/>
      <c r="E1" s="7"/>
      <c r="F1" s="7"/>
      <c r="G1" s="7"/>
      <c r="H1" s="7"/>
      <c r="I1" s="7" t="s">
        <v>230</v>
      </c>
      <c r="J1" s="7"/>
      <c r="K1" s="7"/>
      <c r="L1" s="7"/>
      <c r="M1" s="7"/>
    </row>
    <row r="2" spans="1:13" x14ac:dyDescent="0.25">
      <c r="A2" s="17" t="s">
        <v>13</v>
      </c>
      <c r="B2" s="7"/>
      <c r="C2" s="7"/>
      <c r="D2" s="7"/>
      <c r="E2" s="7"/>
      <c r="F2" s="7"/>
      <c r="G2" s="7"/>
      <c r="H2" s="7"/>
      <c r="I2" t="s">
        <v>335</v>
      </c>
      <c r="J2" s="7"/>
      <c r="K2" s="7"/>
      <c r="L2" s="7"/>
      <c r="M2" s="7"/>
    </row>
    <row r="3" spans="1:13" x14ac:dyDescent="0.25">
      <c r="A3" s="5" t="s">
        <v>268</v>
      </c>
      <c r="B3" s="7"/>
      <c r="C3" s="7"/>
      <c r="D3" s="7"/>
      <c r="E3" s="7"/>
      <c r="F3" s="7"/>
      <c r="G3" s="7"/>
      <c r="H3" s="7"/>
      <c r="I3" t="s">
        <v>582</v>
      </c>
      <c r="J3" s="7"/>
      <c r="K3" s="7"/>
      <c r="L3" s="7"/>
      <c r="M3" s="7"/>
    </row>
    <row r="4" spans="1:13" x14ac:dyDescent="0.25">
      <c r="A4" t="s">
        <v>334</v>
      </c>
      <c r="B4" s="7"/>
      <c r="C4" s="7"/>
      <c r="D4" s="7"/>
      <c r="E4" s="7"/>
      <c r="F4" s="7"/>
      <c r="G4" s="7"/>
      <c r="H4" s="7"/>
      <c r="I4" s="5" t="s">
        <v>320</v>
      </c>
      <c r="J4" s="7"/>
      <c r="K4" s="9"/>
      <c r="L4" s="7"/>
      <c r="M4" s="7"/>
    </row>
    <row r="5" spans="1:13" x14ac:dyDescent="0.25">
      <c r="B5" s="7"/>
      <c r="C5" s="7"/>
      <c r="D5" s="7"/>
      <c r="E5" s="7"/>
      <c r="F5" s="7"/>
      <c r="G5" s="7"/>
      <c r="H5" s="7"/>
      <c r="I5" s="7"/>
      <c r="J5" s="7"/>
      <c r="K5" s="7"/>
      <c r="L5" s="7"/>
      <c r="M5" s="7"/>
    </row>
    <row r="6" spans="1:13" x14ac:dyDescent="0.25">
      <c r="A6" s="7"/>
      <c r="B6" s="7"/>
      <c r="C6" s="7"/>
      <c r="D6" s="16"/>
      <c r="E6" s="7"/>
      <c r="F6" s="7"/>
      <c r="G6" s="7"/>
      <c r="H6" s="7"/>
      <c r="I6" s="7"/>
      <c r="J6" s="7"/>
      <c r="K6" s="7"/>
      <c r="L6" s="7"/>
      <c r="M6" s="24"/>
    </row>
    <row r="7" spans="1:13" x14ac:dyDescent="0.25">
      <c r="A7" s="7"/>
      <c r="B7" s="7"/>
      <c r="C7" s="7"/>
      <c r="D7" s="7"/>
      <c r="E7" s="7"/>
      <c r="F7" s="7"/>
      <c r="G7" s="37"/>
      <c r="H7" s="37"/>
      <c r="I7" s="37"/>
      <c r="J7" s="37"/>
      <c r="K7" s="37"/>
      <c r="L7" s="38"/>
      <c r="M7" s="24"/>
    </row>
    <row r="8" spans="1:13" x14ac:dyDescent="0.25">
      <c r="A8" s="7"/>
      <c r="B8" s="7"/>
      <c r="C8" s="7"/>
      <c r="D8" s="7"/>
      <c r="E8" s="7"/>
      <c r="F8" s="7"/>
      <c r="G8" s="38"/>
      <c r="H8" s="38"/>
      <c r="I8" s="38"/>
      <c r="J8" s="38"/>
      <c r="K8" s="38"/>
      <c r="L8" s="38"/>
      <c r="M8" s="24"/>
    </row>
    <row r="9" spans="1:13" x14ac:dyDescent="0.25">
      <c r="A9" t="s">
        <v>0</v>
      </c>
      <c r="E9" s="1"/>
      <c r="F9" s="1"/>
      <c r="G9" s="1" t="s">
        <v>4</v>
      </c>
      <c r="H9" s="1"/>
      <c r="I9" s="1"/>
      <c r="J9" s="1"/>
      <c r="K9" s="1"/>
      <c r="L9" s="1"/>
      <c r="M9" s="1" t="s">
        <v>9</v>
      </c>
    </row>
    <row r="10" spans="1:13" x14ac:dyDescent="0.25">
      <c r="A10" s="2" t="s">
        <v>3</v>
      </c>
      <c r="C10" s="2" t="s">
        <v>1</v>
      </c>
      <c r="E10" s="10" t="s">
        <v>66</v>
      </c>
      <c r="F10" s="1"/>
      <c r="G10" s="10" t="s">
        <v>6</v>
      </c>
      <c r="H10" s="1"/>
      <c r="I10" s="10" t="s">
        <v>7</v>
      </c>
      <c r="J10" s="1"/>
      <c r="K10" s="11" t="s">
        <v>10</v>
      </c>
      <c r="L10" s="1"/>
      <c r="M10" s="10" t="s">
        <v>8</v>
      </c>
    </row>
    <row r="12" spans="1:13" x14ac:dyDescent="0.25">
      <c r="C12" s="3" t="s">
        <v>12</v>
      </c>
    </row>
    <row r="13" spans="1:13" x14ac:dyDescent="0.25">
      <c r="A13" s="24">
        <v>1</v>
      </c>
      <c r="B13" s="24"/>
      <c r="C13" s="24" t="s">
        <v>226</v>
      </c>
      <c r="D13" s="24"/>
      <c r="E13" s="44">
        <v>510</v>
      </c>
      <c r="F13" s="24"/>
      <c r="G13" s="45">
        <f>'3.11.1'!H14</f>
        <v>-1244177</v>
      </c>
      <c r="H13" s="42"/>
      <c r="I13" s="43" t="s">
        <v>14</v>
      </c>
      <c r="J13" s="43"/>
      <c r="K13" s="96">
        <v>0.43997000000000003</v>
      </c>
      <c r="L13" s="42"/>
      <c r="M13" s="46">
        <f>G13*K13</f>
        <v>-547400.55469000002</v>
      </c>
    </row>
    <row r="14" spans="1:13" x14ac:dyDescent="0.25">
      <c r="B14" s="24"/>
      <c r="D14" s="24"/>
      <c r="E14" s="44"/>
      <c r="F14" s="24"/>
      <c r="G14" s="45"/>
      <c r="H14" s="42"/>
      <c r="I14" s="43"/>
      <c r="J14" s="43"/>
      <c r="K14" s="52"/>
      <c r="L14" s="42"/>
      <c r="M14" s="46"/>
    </row>
    <row r="15" spans="1:13" x14ac:dyDescent="0.25">
      <c r="A15" s="24">
        <v>2</v>
      </c>
      <c r="C15" t="s">
        <v>227</v>
      </c>
      <c r="E15" s="44">
        <v>553</v>
      </c>
      <c r="G15" s="53">
        <f>'3.11.1'!H20</f>
        <v>-90093</v>
      </c>
      <c r="H15" s="42"/>
      <c r="I15" s="43" t="s">
        <v>14</v>
      </c>
      <c r="J15" s="43"/>
      <c r="K15" s="52">
        <f>K13</f>
        <v>0.43997000000000003</v>
      </c>
      <c r="L15" s="42"/>
      <c r="M15" s="53">
        <f t="shared" ref="M15" si="0">G15*K15</f>
        <v>-39638.217210000003</v>
      </c>
    </row>
    <row r="17" spans="1:13" x14ac:dyDescent="0.25">
      <c r="A17">
        <v>3</v>
      </c>
      <c r="C17" t="s">
        <v>281</v>
      </c>
      <c r="G17" s="41">
        <f>SUM(G13:G16)</f>
        <v>-1334270</v>
      </c>
      <c r="M17" s="41">
        <f>SUM(M13:M16)</f>
        <v>-587038.77190000005</v>
      </c>
    </row>
    <row r="27" spans="1:13" x14ac:dyDescent="0.25">
      <c r="C27" t="s">
        <v>5</v>
      </c>
    </row>
    <row r="28" spans="1:13" ht="4.5" customHeight="1" x14ac:dyDescent="0.25"/>
    <row r="29" spans="1:13" x14ac:dyDescent="0.25">
      <c r="C29" s="162" t="s">
        <v>730</v>
      </c>
      <c r="D29" s="163"/>
      <c r="E29" s="163"/>
      <c r="F29" s="163"/>
      <c r="G29" s="163"/>
      <c r="H29" s="163"/>
      <c r="I29" s="163"/>
      <c r="J29" s="163"/>
      <c r="K29" s="163"/>
      <c r="L29" s="163"/>
      <c r="M29" s="164"/>
    </row>
    <row r="30" spans="1:13" x14ac:dyDescent="0.25">
      <c r="C30" s="165"/>
      <c r="D30" s="166"/>
      <c r="E30" s="166"/>
      <c r="F30" s="166"/>
      <c r="G30" s="166"/>
      <c r="H30" s="166"/>
      <c r="I30" s="166"/>
      <c r="J30" s="166"/>
      <c r="K30" s="166"/>
      <c r="L30" s="166"/>
      <c r="M30" s="167"/>
    </row>
    <row r="31" spans="1:13" x14ac:dyDescent="0.25">
      <c r="C31" s="168"/>
      <c r="D31" s="169"/>
      <c r="E31" s="169"/>
      <c r="F31" s="169"/>
      <c r="G31" s="169"/>
      <c r="H31" s="169"/>
      <c r="I31" s="169"/>
      <c r="J31" s="169"/>
      <c r="K31" s="169"/>
      <c r="L31" s="169"/>
      <c r="M31" s="170"/>
    </row>
  </sheetData>
  <mergeCells count="1">
    <mergeCell ref="C29:M31"/>
  </mergeCells>
  <phoneticPr fontId="8" type="noConversion"/>
  <pageMargins left="0.75" right="0.75" top="1" bottom="1" header="0.5" footer="0.5"/>
  <pageSetup scale="91"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5"/>
  <sheetViews>
    <sheetView workbookViewId="0">
      <selection activeCell="A24" sqref="A24"/>
    </sheetView>
  </sheetViews>
  <sheetFormatPr defaultRowHeight="15.75" x14ac:dyDescent="0.25"/>
  <cols>
    <col min="1" max="1" width="4" customWidth="1"/>
    <col min="2" max="2" width="1.75" customWidth="1"/>
    <col min="3" max="3" width="28.25" customWidth="1"/>
    <col min="8" max="8" width="11.125" bestFit="1" customWidth="1"/>
  </cols>
  <sheetData>
    <row r="1" spans="1:12" x14ac:dyDescent="0.25">
      <c r="A1" s="7" t="s">
        <v>15</v>
      </c>
      <c r="B1" s="7"/>
      <c r="C1" s="7"/>
      <c r="D1" s="7"/>
      <c r="E1" s="7"/>
      <c r="F1" s="7"/>
      <c r="G1" s="7" t="s">
        <v>230</v>
      </c>
      <c r="H1" s="7"/>
      <c r="J1" s="7"/>
      <c r="K1" s="7"/>
      <c r="L1" s="7"/>
    </row>
    <row r="2" spans="1:12" x14ac:dyDescent="0.25">
      <c r="A2" s="17" t="s">
        <v>13</v>
      </c>
      <c r="B2" s="7"/>
      <c r="C2" s="7"/>
      <c r="D2" s="7"/>
      <c r="E2" s="7"/>
      <c r="F2" s="7"/>
      <c r="G2" t="s">
        <v>335</v>
      </c>
      <c r="H2" s="7"/>
      <c r="J2" s="7"/>
      <c r="K2" s="7"/>
      <c r="L2" s="7"/>
    </row>
    <row r="3" spans="1:12" x14ac:dyDescent="0.25">
      <c r="A3" s="9" t="s">
        <v>225</v>
      </c>
      <c r="B3" s="7"/>
      <c r="C3" s="7"/>
      <c r="D3" s="7"/>
      <c r="E3" s="7"/>
      <c r="F3" s="7"/>
      <c r="G3" t="str">
        <f>'3.11'!I3</f>
        <v>Exhibit OCS 3.11D</v>
      </c>
      <c r="H3" s="7"/>
      <c r="J3" s="7"/>
      <c r="K3" s="7"/>
      <c r="L3" s="7"/>
    </row>
    <row r="4" spans="1:12" x14ac:dyDescent="0.25">
      <c r="A4" t="s">
        <v>334</v>
      </c>
      <c r="B4" s="7"/>
      <c r="C4" s="7"/>
      <c r="D4" s="7"/>
      <c r="E4" s="7"/>
      <c r="F4" s="7"/>
      <c r="G4" s="5" t="s">
        <v>320</v>
      </c>
      <c r="H4" s="7"/>
      <c r="J4" s="7"/>
      <c r="K4" s="9"/>
      <c r="L4" s="7"/>
    </row>
    <row r="5" spans="1:12" x14ac:dyDescent="0.25">
      <c r="B5" s="7"/>
      <c r="C5" s="7"/>
      <c r="D5" s="7"/>
      <c r="E5" s="7"/>
      <c r="F5" s="7"/>
      <c r="G5" t="s">
        <v>583</v>
      </c>
      <c r="H5" s="7"/>
      <c r="I5" s="7"/>
      <c r="J5" s="7"/>
      <c r="K5" s="7"/>
      <c r="L5" s="7"/>
    </row>
    <row r="6" spans="1:12" x14ac:dyDescent="0.25">
      <c r="A6" t="s">
        <v>584</v>
      </c>
    </row>
    <row r="9" spans="1:12" x14ac:dyDescent="0.25">
      <c r="H9" s="10" t="s">
        <v>2</v>
      </c>
    </row>
    <row r="10" spans="1:12" x14ac:dyDescent="0.25">
      <c r="A10" s="3" t="s">
        <v>343</v>
      </c>
      <c r="H10" s="47"/>
      <c r="I10" s="47"/>
      <c r="J10" s="47"/>
      <c r="K10" s="47"/>
    </row>
    <row r="11" spans="1:12" x14ac:dyDescent="0.25">
      <c r="A11" t="s">
        <v>264</v>
      </c>
      <c r="H11" s="47">
        <v>29760839</v>
      </c>
      <c r="I11" s="47"/>
      <c r="J11" s="47"/>
      <c r="K11" s="47"/>
    </row>
    <row r="12" spans="1:12" x14ac:dyDescent="0.25">
      <c r="A12" t="s">
        <v>266</v>
      </c>
      <c r="H12" s="48">
        <v>31005016</v>
      </c>
      <c r="I12" s="47"/>
      <c r="J12" s="47"/>
      <c r="K12" s="47"/>
    </row>
    <row r="13" spans="1:12" x14ac:dyDescent="0.25">
      <c r="H13" s="47"/>
      <c r="I13" s="47"/>
      <c r="J13" s="47"/>
      <c r="K13" s="47"/>
    </row>
    <row r="14" spans="1:12" ht="16.5" thickBot="1" x14ac:dyDescent="0.3">
      <c r="A14" t="s">
        <v>265</v>
      </c>
      <c r="H14" s="49">
        <f>H11-H12</f>
        <v>-1244177</v>
      </c>
      <c r="I14" s="47"/>
      <c r="J14" s="47"/>
      <c r="K14" s="47"/>
    </row>
    <row r="15" spans="1:12" ht="16.5" thickTop="1" x14ac:dyDescent="0.25">
      <c r="H15" s="47"/>
      <c r="I15" s="47"/>
      <c r="J15" s="47"/>
      <c r="K15" s="47"/>
    </row>
    <row r="16" spans="1:12" x14ac:dyDescent="0.25">
      <c r="A16" s="3" t="s">
        <v>345</v>
      </c>
      <c r="H16" s="47"/>
      <c r="I16" s="47"/>
      <c r="J16" s="47"/>
      <c r="K16" s="47"/>
    </row>
    <row r="17" spans="1:11" x14ac:dyDescent="0.25">
      <c r="A17" t="s">
        <v>346</v>
      </c>
      <c r="H17" s="47">
        <v>2741216</v>
      </c>
      <c r="I17" s="47"/>
      <c r="J17" s="47"/>
      <c r="K17" s="47"/>
    </row>
    <row r="18" spans="1:11" x14ac:dyDescent="0.25">
      <c r="A18" t="s">
        <v>347</v>
      </c>
      <c r="H18" s="48">
        <v>2831309</v>
      </c>
      <c r="I18" s="47"/>
      <c r="J18" s="47"/>
      <c r="K18" s="47"/>
    </row>
    <row r="19" spans="1:11" x14ac:dyDescent="0.25">
      <c r="H19" s="47"/>
      <c r="I19" s="47"/>
      <c r="J19" s="47"/>
      <c r="K19" s="47"/>
    </row>
    <row r="20" spans="1:11" ht="16.5" thickBot="1" x14ac:dyDescent="0.3">
      <c r="A20" t="s">
        <v>267</v>
      </c>
      <c r="H20" s="49">
        <f>H17-H18</f>
        <v>-90093</v>
      </c>
      <c r="I20" s="47"/>
      <c r="J20" s="47"/>
      <c r="K20" s="47"/>
    </row>
    <row r="21" spans="1:11" ht="16.5" thickTop="1" x14ac:dyDescent="0.25">
      <c r="H21" s="47"/>
      <c r="I21" s="47"/>
      <c r="J21" s="47"/>
      <c r="K21" s="47"/>
    </row>
    <row r="22" spans="1:11" x14ac:dyDescent="0.25">
      <c r="H22" s="47"/>
      <c r="I22" s="47"/>
      <c r="J22" s="47"/>
      <c r="K22" s="47"/>
    </row>
    <row r="23" spans="1:11" x14ac:dyDescent="0.25">
      <c r="A23" s="3" t="s">
        <v>613</v>
      </c>
      <c r="H23" s="47"/>
      <c r="I23" s="47"/>
      <c r="J23" s="47"/>
      <c r="K23" s="47"/>
    </row>
    <row r="24" spans="1:11" x14ac:dyDescent="0.25">
      <c r="A24" t="s">
        <v>612</v>
      </c>
      <c r="H24" s="47"/>
      <c r="I24" s="47"/>
      <c r="J24" s="47"/>
      <c r="K24" s="47"/>
    </row>
    <row r="25" spans="1:11" x14ac:dyDescent="0.25">
      <c r="A25" s="13" t="s">
        <v>344</v>
      </c>
      <c r="H25" s="47"/>
      <c r="I25" s="47"/>
      <c r="J25" s="47"/>
      <c r="K25" s="47"/>
    </row>
  </sheetData>
  <pageMargins left="0.7" right="0.7" top="0.75" bottom="0.75" header="0.3" footer="0.3"/>
  <pageSetup scale="94"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8"/>
  <sheetViews>
    <sheetView workbookViewId="0">
      <selection activeCell="Q8" sqref="Q8"/>
    </sheetView>
  </sheetViews>
  <sheetFormatPr defaultRowHeight="15.75" x14ac:dyDescent="0.25"/>
  <cols>
    <col min="1" max="1" width="4.625" customWidth="1"/>
    <col min="2" max="2" width="1.625" customWidth="1"/>
    <col min="3" max="3" width="16" customWidth="1"/>
    <col min="4" max="4" width="2.875" customWidth="1"/>
    <col min="5" max="5" width="6.625" customWidth="1"/>
    <col min="6" max="6" width="1" customWidth="1"/>
    <col min="7" max="7" width="10.375" customWidth="1"/>
    <col min="8" max="8" width="0.75" customWidth="1"/>
    <col min="9" max="9" width="9.375" customWidth="1"/>
    <col min="10" max="10" width="1" customWidth="1"/>
    <col min="11" max="11" width="9.75" customWidth="1"/>
    <col min="12" max="12" width="0.625" customWidth="1"/>
    <col min="13" max="13" width="11.125" customWidth="1"/>
    <col min="14" max="14" width="0.75" customWidth="1"/>
    <col min="15" max="15" width="12.375" customWidth="1"/>
    <col min="16" max="16" width="0.875" customWidth="1"/>
    <col min="17" max="17" width="6.875" customWidth="1"/>
    <col min="18" max="18" width="1" customWidth="1"/>
    <col min="19" max="19" width="9.125" customWidth="1"/>
    <col min="20" max="20" width="1" customWidth="1"/>
    <col min="21" max="21" width="12.5" customWidth="1"/>
  </cols>
  <sheetData>
    <row r="1" spans="1:21" x14ac:dyDescent="0.25">
      <c r="A1" s="7" t="s">
        <v>15</v>
      </c>
      <c r="B1" s="7"/>
      <c r="C1" s="7"/>
      <c r="D1" s="7"/>
      <c r="E1" s="7"/>
      <c r="F1" s="7"/>
      <c r="G1" s="7"/>
      <c r="H1" s="7"/>
      <c r="I1" s="7"/>
      <c r="J1" s="7"/>
      <c r="K1" s="7"/>
      <c r="L1" s="7"/>
      <c r="M1" s="7"/>
      <c r="N1" s="7"/>
      <c r="O1" s="7"/>
      <c r="P1" s="7"/>
      <c r="Q1" s="7" t="s">
        <v>230</v>
      </c>
      <c r="R1" s="7"/>
      <c r="S1" s="7"/>
      <c r="T1" s="7"/>
      <c r="U1" s="7"/>
    </row>
    <row r="2" spans="1:21" x14ac:dyDescent="0.25">
      <c r="A2" s="17" t="s">
        <v>13</v>
      </c>
      <c r="B2" s="7"/>
      <c r="C2" s="7"/>
      <c r="D2" s="7"/>
      <c r="E2" s="7"/>
      <c r="F2" s="7"/>
      <c r="G2" s="7"/>
      <c r="H2" s="7"/>
      <c r="I2" s="7"/>
      <c r="J2" s="7"/>
      <c r="K2" s="7"/>
      <c r="L2" s="7"/>
      <c r="M2" s="7"/>
      <c r="N2" s="7"/>
      <c r="O2" s="7"/>
      <c r="P2" s="7"/>
      <c r="Q2" t="s">
        <v>335</v>
      </c>
      <c r="R2" s="7"/>
      <c r="S2" s="7"/>
      <c r="T2" s="7"/>
      <c r="U2" s="7"/>
    </row>
    <row r="3" spans="1:21" x14ac:dyDescent="0.25">
      <c r="A3" s="5" t="s">
        <v>380</v>
      </c>
      <c r="B3" s="7"/>
      <c r="C3" s="7"/>
      <c r="D3" s="7"/>
      <c r="E3" s="7"/>
      <c r="F3" s="7"/>
      <c r="G3" s="7"/>
      <c r="H3" s="7"/>
      <c r="I3" s="7"/>
      <c r="J3" s="7"/>
      <c r="K3" s="7"/>
      <c r="L3" s="7"/>
      <c r="M3" s="7"/>
      <c r="N3" s="7"/>
      <c r="O3" s="7"/>
      <c r="P3" s="7"/>
      <c r="Q3" t="s">
        <v>585</v>
      </c>
      <c r="R3" s="7"/>
      <c r="S3" s="7"/>
      <c r="T3" s="7"/>
      <c r="U3" s="7"/>
    </row>
    <row r="4" spans="1:21" x14ac:dyDescent="0.25">
      <c r="A4" t="s">
        <v>334</v>
      </c>
      <c r="B4" s="7"/>
      <c r="C4" s="7"/>
      <c r="D4" s="7"/>
      <c r="E4" s="7"/>
      <c r="F4" s="7"/>
      <c r="G4" s="7"/>
      <c r="H4" s="7"/>
      <c r="I4" s="7"/>
      <c r="J4" s="7"/>
      <c r="K4" s="7"/>
      <c r="L4" s="7"/>
      <c r="M4" s="7"/>
      <c r="N4" s="7"/>
      <c r="O4" s="7"/>
      <c r="P4" s="7"/>
      <c r="Q4" s="5" t="s">
        <v>320</v>
      </c>
      <c r="R4" s="7"/>
      <c r="S4" s="9"/>
      <c r="T4" s="7"/>
      <c r="U4" s="7"/>
    </row>
    <row r="5" spans="1:21" x14ac:dyDescent="0.25">
      <c r="B5" s="7"/>
      <c r="C5" s="7"/>
      <c r="D5" s="7"/>
      <c r="E5" s="7"/>
      <c r="F5" s="7"/>
      <c r="G5" s="7"/>
      <c r="H5" s="7"/>
      <c r="I5" s="7"/>
      <c r="J5" s="7"/>
      <c r="K5" s="7"/>
      <c r="L5" s="7"/>
      <c r="M5" s="7"/>
      <c r="N5" s="7"/>
      <c r="O5" s="7"/>
      <c r="P5" s="7"/>
      <c r="Q5" s="7"/>
      <c r="R5" s="7"/>
      <c r="S5" s="7"/>
      <c r="T5" s="7"/>
      <c r="U5" s="7"/>
    </row>
    <row r="6" spans="1:21" x14ac:dyDescent="0.25">
      <c r="A6" s="7"/>
      <c r="B6" s="7"/>
      <c r="C6" s="7"/>
      <c r="D6" s="16"/>
      <c r="E6" s="7"/>
      <c r="F6" s="7"/>
      <c r="G6" s="7"/>
      <c r="H6" s="7"/>
      <c r="I6" s="7"/>
      <c r="J6" s="7"/>
      <c r="K6" s="7"/>
      <c r="L6" s="7"/>
      <c r="M6" s="7"/>
      <c r="N6" s="7"/>
      <c r="O6" s="7"/>
      <c r="P6" s="7"/>
      <c r="Q6" s="7"/>
      <c r="R6" s="7"/>
      <c r="S6" s="7"/>
      <c r="T6" s="7"/>
      <c r="U6" s="24"/>
    </row>
    <row r="7" spans="1:21" x14ac:dyDescent="0.25">
      <c r="A7" s="7"/>
      <c r="B7" s="7"/>
      <c r="C7" s="7"/>
      <c r="D7" s="7"/>
      <c r="E7" s="7"/>
      <c r="F7" s="7"/>
      <c r="G7" s="37"/>
      <c r="H7" s="37"/>
      <c r="I7" s="37"/>
      <c r="J7" s="37"/>
      <c r="K7" s="37"/>
      <c r="L7" s="37"/>
      <c r="M7" s="37"/>
      <c r="N7" s="37"/>
      <c r="O7" s="37"/>
      <c r="P7" s="37"/>
      <c r="Q7" s="37"/>
      <c r="R7" s="37"/>
      <c r="S7" s="37"/>
      <c r="T7" s="38"/>
      <c r="U7" s="24"/>
    </row>
    <row r="8" spans="1:21" x14ac:dyDescent="0.25">
      <c r="A8" s="7"/>
      <c r="B8" s="7"/>
      <c r="C8" s="7"/>
      <c r="D8" s="7"/>
      <c r="E8" s="7"/>
      <c r="F8" s="7"/>
      <c r="G8" s="114" t="s">
        <v>378</v>
      </c>
      <c r="H8" s="38"/>
      <c r="I8" s="114" t="s">
        <v>378</v>
      </c>
      <c r="J8" s="1"/>
      <c r="K8" s="114" t="s">
        <v>379</v>
      </c>
      <c r="L8" s="114"/>
      <c r="M8" s="114" t="s">
        <v>379</v>
      </c>
      <c r="N8" s="114"/>
      <c r="O8" s="114" t="s">
        <v>233</v>
      </c>
      <c r="P8" s="38"/>
      <c r="Q8" s="38"/>
      <c r="R8" s="38"/>
      <c r="S8" s="38"/>
      <c r="T8" s="38"/>
      <c r="U8" s="24"/>
    </row>
    <row r="9" spans="1:21" x14ac:dyDescent="0.25">
      <c r="A9" t="s">
        <v>0</v>
      </c>
      <c r="E9" s="1"/>
      <c r="F9" s="1"/>
      <c r="G9" s="1" t="s">
        <v>357</v>
      </c>
      <c r="H9" s="1"/>
      <c r="I9" s="1" t="s">
        <v>357</v>
      </c>
      <c r="K9" s="1" t="s">
        <v>357</v>
      </c>
      <c r="L9" s="1"/>
      <c r="M9" s="1" t="s">
        <v>357</v>
      </c>
      <c r="N9" s="1"/>
      <c r="O9" s="1" t="s">
        <v>385</v>
      </c>
      <c r="P9" s="1"/>
      <c r="Q9" s="1"/>
      <c r="R9" s="1"/>
      <c r="S9" s="1"/>
      <c r="T9" s="1"/>
      <c r="U9" s="1" t="s">
        <v>9</v>
      </c>
    </row>
    <row r="10" spans="1:21" x14ac:dyDescent="0.25">
      <c r="A10" s="2" t="s">
        <v>3</v>
      </c>
      <c r="C10" s="2" t="s">
        <v>1</v>
      </c>
      <c r="E10" s="10" t="s">
        <v>66</v>
      </c>
      <c r="F10" s="1"/>
      <c r="G10" s="10" t="s">
        <v>233</v>
      </c>
      <c r="H10" s="8"/>
      <c r="I10" s="10" t="s">
        <v>7</v>
      </c>
      <c r="K10" s="10" t="s">
        <v>7</v>
      </c>
      <c r="L10" s="8"/>
      <c r="M10" s="10" t="s">
        <v>233</v>
      </c>
      <c r="N10" s="8"/>
      <c r="O10" s="10" t="s">
        <v>357</v>
      </c>
      <c r="P10" s="1"/>
      <c r="Q10" s="10" t="s">
        <v>7</v>
      </c>
      <c r="R10" s="1"/>
      <c r="S10" s="11" t="s">
        <v>10</v>
      </c>
      <c r="T10" s="1"/>
      <c r="U10" s="10" t="s">
        <v>8</v>
      </c>
    </row>
    <row r="11" spans="1:21" x14ac:dyDescent="0.25">
      <c r="G11" s="120" t="s">
        <v>262</v>
      </c>
      <c r="I11" s="120" t="s">
        <v>263</v>
      </c>
      <c r="K11" s="120" t="s">
        <v>401</v>
      </c>
      <c r="M11" s="120" t="s">
        <v>313</v>
      </c>
      <c r="O11" s="120" t="s">
        <v>402</v>
      </c>
      <c r="Q11" s="57" t="s">
        <v>314</v>
      </c>
      <c r="R11" s="1"/>
      <c r="S11" s="57" t="s">
        <v>403</v>
      </c>
      <c r="T11" s="1"/>
      <c r="U11" s="57" t="s">
        <v>404</v>
      </c>
    </row>
    <row r="12" spans="1:21" x14ac:dyDescent="0.25">
      <c r="C12" s="3" t="s">
        <v>381</v>
      </c>
    </row>
    <row r="13" spans="1:21" x14ac:dyDescent="0.25">
      <c r="A13">
        <v>1</v>
      </c>
      <c r="C13" t="s">
        <v>373</v>
      </c>
      <c r="E13" s="1">
        <v>500</v>
      </c>
      <c r="G13" s="47">
        <f>53340+50001</f>
        <v>103341</v>
      </c>
      <c r="H13" s="47"/>
      <c r="I13" s="116">
        <v>2.1700000000000001E-2</v>
      </c>
      <c r="J13" s="47"/>
      <c r="K13" s="116">
        <v>-1.9699999999999999E-2</v>
      </c>
      <c r="L13" s="47"/>
      <c r="M13" s="47">
        <f>G13/I13*K13</f>
        <v>-93816.483870967728</v>
      </c>
      <c r="N13" s="47"/>
      <c r="O13" s="47">
        <f>M13-G13</f>
        <v>-197157.48387096773</v>
      </c>
      <c r="Q13" s="1" t="s">
        <v>14</v>
      </c>
      <c r="R13" s="1"/>
      <c r="S13" s="117">
        <v>0.43997000000000003</v>
      </c>
      <c r="U13" s="47">
        <f>O13*S13</f>
        <v>-86743.378178709681</v>
      </c>
    </row>
    <row r="14" spans="1:21" x14ac:dyDescent="0.25">
      <c r="A14">
        <v>2</v>
      </c>
      <c r="C14" t="s">
        <v>373</v>
      </c>
      <c r="E14" s="1">
        <v>501</v>
      </c>
      <c r="G14" s="47">
        <f>329927+62597</f>
        <v>392524</v>
      </c>
      <c r="H14" s="47"/>
      <c r="I14" s="116">
        <v>2.1700000000000001E-2</v>
      </c>
      <c r="J14" s="47"/>
      <c r="K14" s="116">
        <v>-1.9699999999999999E-2</v>
      </c>
      <c r="L14" s="47"/>
      <c r="M14" s="47">
        <f t="shared" ref="M14:M45" si="0">G14/I14*K14</f>
        <v>-356346.67281105992</v>
      </c>
      <c r="N14" s="47"/>
      <c r="O14" s="47">
        <f t="shared" ref="O14:O45" si="1">M14-G14</f>
        <v>-748870.67281105998</v>
      </c>
      <c r="Q14" s="1" t="s">
        <v>374</v>
      </c>
      <c r="R14" s="1"/>
      <c r="S14" s="117">
        <v>0.43356</v>
      </c>
      <c r="U14" s="47">
        <f t="shared" ref="U14:U45" si="2">O14*S14</f>
        <v>-324680.36890396319</v>
      </c>
    </row>
    <row r="15" spans="1:21" x14ac:dyDescent="0.25">
      <c r="A15">
        <v>3</v>
      </c>
      <c r="C15" t="s">
        <v>373</v>
      </c>
      <c r="E15" s="1">
        <v>501</v>
      </c>
      <c r="G15" s="47">
        <v>87302</v>
      </c>
      <c r="H15" s="47"/>
      <c r="I15" s="116">
        <v>2.1700000000000001E-2</v>
      </c>
      <c r="J15" s="47"/>
      <c r="K15" s="116">
        <v>-1.9699999999999999E-2</v>
      </c>
      <c r="L15" s="47"/>
      <c r="M15" s="47">
        <f t="shared" si="0"/>
        <v>-79255.732718893996</v>
      </c>
      <c r="N15" s="47"/>
      <c r="O15" s="47">
        <f t="shared" si="1"/>
        <v>-166557.732718894</v>
      </c>
      <c r="Q15" s="1" t="s">
        <v>311</v>
      </c>
      <c r="R15" s="1"/>
      <c r="S15" s="1"/>
      <c r="U15" s="47">
        <f t="shared" si="2"/>
        <v>0</v>
      </c>
    </row>
    <row r="16" spans="1:21" x14ac:dyDescent="0.25">
      <c r="A16">
        <v>4</v>
      </c>
      <c r="C16" t="s">
        <v>373</v>
      </c>
      <c r="E16" s="1">
        <v>502</v>
      </c>
      <c r="G16" s="47">
        <f>1191196+132520</f>
        <v>1323716</v>
      </c>
      <c r="H16" s="47"/>
      <c r="I16" s="116">
        <v>2.1700000000000001E-2</v>
      </c>
      <c r="J16" s="47"/>
      <c r="K16" s="116">
        <v>-1.9699999999999999E-2</v>
      </c>
      <c r="L16" s="47"/>
      <c r="M16" s="47">
        <f t="shared" si="0"/>
        <v>-1201714.5253456221</v>
      </c>
      <c r="N16" s="47"/>
      <c r="O16" s="47">
        <f t="shared" si="1"/>
        <v>-2525430.5253456221</v>
      </c>
      <c r="Q16" s="1" t="s">
        <v>14</v>
      </c>
      <c r="R16" s="1"/>
      <c r="S16" s="117">
        <v>0.43997000000000003</v>
      </c>
      <c r="U16" s="47">
        <f t="shared" si="2"/>
        <v>-1111113.6682363134</v>
      </c>
    </row>
    <row r="17" spans="1:21" x14ac:dyDescent="0.25">
      <c r="A17">
        <v>5</v>
      </c>
      <c r="C17" t="s">
        <v>373</v>
      </c>
      <c r="E17" s="1">
        <v>503</v>
      </c>
      <c r="G17" s="47">
        <v>-2453</v>
      </c>
      <c r="H17" s="47"/>
      <c r="I17" s="116">
        <v>2.1700000000000001E-2</v>
      </c>
      <c r="J17" s="47"/>
      <c r="K17" s="116">
        <v>-1.9699999999999999E-2</v>
      </c>
      <c r="L17" s="47"/>
      <c r="M17" s="47">
        <f t="shared" si="0"/>
        <v>2226.9170506912442</v>
      </c>
      <c r="N17" s="47"/>
      <c r="O17" s="47">
        <f t="shared" si="1"/>
        <v>4679.9170506912442</v>
      </c>
      <c r="Q17" s="1" t="s">
        <v>374</v>
      </c>
      <c r="R17" s="1"/>
      <c r="S17" s="117">
        <v>0.43356</v>
      </c>
      <c r="U17" s="47">
        <f t="shared" si="2"/>
        <v>2029.0248364976958</v>
      </c>
    </row>
    <row r="18" spans="1:21" x14ac:dyDescent="0.25">
      <c r="A18">
        <v>6</v>
      </c>
      <c r="C18" t="s">
        <v>373</v>
      </c>
      <c r="E18" s="1">
        <v>505</v>
      </c>
      <c r="G18" s="47">
        <f>26489+6706</f>
        <v>33195</v>
      </c>
      <c r="H18" s="47"/>
      <c r="I18" s="116">
        <v>2.1700000000000001E-2</v>
      </c>
      <c r="J18" s="47"/>
      <c r="K18" s="116">
        <v>-1.9699999999999999E-2</v>
      </c>
      <c r="L18" s="47"/>
      <c r="M18" s="47">
        <f t="shared" si="0"/>
        <v>-30135.552995391703</v>
      </c>
      <c r="N18" s="47"/>
      <c r="O18" s="47">
        <f t="shared" si="1"/>
        <v>-63330.552995391699</v>
      </c>
      <c r="Q18" s="1" t="s">
        <v>14</v>
      </c>
      <c r="R18" s="1"/>
      <c r="S18" s="117">
        <v>0.43997000000000003</v>
      </c>
      <c r="U18" s="47">
        <f t="shared" si="2"/>
        <v>-27863.543401382489</v>
      </c>
    </row>
    <row r="19" spans="1:21" x14ac:dyDescent="0.25">
      <c r="A19">
        <v>7</v>
      </c>
      <c r="C19" t="s">
        <v>373</v>
      </c>
      <c r="E19" s="1">
        <v>506</v>
      </c>
      <c r="G19" s="47">
        <f>-661009-142505+44491</f>
        <v>-759023</v>
      </c>
      <c r="H19" s="47"/>
      <c r="I19" s="116">
        <v>2.1700000000000001E-2</v>
      </c>
      <c r="J19" s="47"/>
      <c r="K19" s="116">
        <v>-1.9699999999999999E-2</v>
      </c>
      <c r="L19" s="47"/>
      <c r="M19" s="47">
        <f t="shared" si="0"/>
        <v>689066.96313364047</v>
      </c>
      <c r="N19" s="47"/>
      <c r="O19" s="47">
        <f t="shared" si="1"/>
        <v>1448089.9631336406</v>
      </c>
      <c r="Q19" s="1" t="s">
        <v>14</v>
      </c>
      <c r="R19" s="1"/>
      <c r="S19" s="117">
        <v>0.43997000000000003</v>
      </c>
      <c r="U19" s="47">
        <f t="shared" si="2"/>
        <v>637116.14107990789</v>
      </c>
    </row>
    <row r="20" spans="1:21" x14ac:dyDescent="0.25">
      <c r="A20">
        <v>8</v>
      </c>
      <c r="C20" t="s">
        <v>373</v>
      </c>
      <c r="E20" s="1">
        <v>507</v>
      </c>
      <c r="G20" s="47">
        <v>10673</v>
      </c>
      <c r="H20" s="47"/>
      <c r="I20" s="116">
        <v>2.1700000000000001E-2</v>
      </c>
      <c r="J20" s="47"/>
      <c r="K20" s="116">
        <v>-1.9699999999999999E-2</v>
      </c>
      <c r="L20" s="47"/>
      <c r="M20" s="47">
        <f t="shared" si="0"/>
        <v>-9689.3133640552987</v>
      </c>
      <c r="N20" s="47"/>
      <c r="O20" s="47">
        <f t="shared" si="1"/>
        <v>-20362.313364055299</v>
      </c>
      <c r="Q20" s="1" t="s">
        <v>14</v>
      </c>
      <c r="R20" s="1"/>
      <c r="S20" s="117">
        <v>0.43997000000000003</v>
      </c>
      <c r="U20" s="47">
        <f t="shared" si="2"/>
        <v>-8958.8070107834101</v>
      </c>
    </row>
    <row r="21" spans="1:21" x14ac:dyDescent="0.25">
      <c r="A21">
        <v>9</v>
      </c>
      <c r="C21" t="s">
        <v>376</v>
      </c>
      <c r="E21" s="1">
        <v>510</v>
      </c>
      <c r="G21" s="47">
        <f>-113625+30572+44386</f>
        <v>-38667</v>
      </c>
      <c r="H21" s="47"/>
      <c r="I21" s="116">
        <v>1.8800000000000001E-2</v>
      </c>
      <c r="J21" s="47"/>
      <c r="K21" s="116">
        <v>-8.9999999999999993E-3</v>
      </c>
      <c r="L21" s="47"/>
      <c r="M21" s="47">
        <f t="shared" si="0"/>
        <v>18510.797872340423</v>
      </c>
      <c r="N21" s="47"/>
      <c r="O21" s="47">
        <f t="shared" si="1"/>
        <v>57177.797872340423</v>
      </c>
      <c r="Q21" s="1" t="s">
        <v>14</v>
      </c>
      <c r="R21" s="1"/>
      <c r="S21" s="117">
        <v>0.43997000000000003</v>
      </c>
      <c r="U21" s="47">
        <f t="shared" si="2"/>
        <v>25156.515729893617</v>
      </c>
    </row>
    <row r="22" spans="1:21" x14ac:dyDescent="0.25">
      <c r="A22">
        <v>10</v>
      </c>
      <c r="C22" t="s">
        <v>376</v>
      </c>
      <c r="E22" s="1">
        <v>511</v>
      </c>
      <c r="G22" s="47">
        <f>291825+76862</f>
        <v>368687</v>
      </c>
      <c r="H22" s="47"/>
      <c r="I22" s="116">
        <v>1.8800000000000001E-2</v>
      </c>
      <c r="J22" s="47"/>
      <c r="K22" s="116">
        <v>-8.9999999999999993E-3</v>
      </c>
      <c r="L22" s="47"/>
      <c r="M22" s="47">
        <f t="shared" si="0"/>
        <v>-176499.09574468082</v>
      </c>
      <c r="N22" s="47"/>
      <c r="O22" s="47">
        <f t="shared" si="1"/>
        <v>-545186.09574468085</v>
      </c>
      <c r="Q22" s="1" t="s">
        <v>14</v>
      </c>
      <c r="R22" s="1"/>
      <c r="S22" s="117">
        <v>0.43997000000000003</v>
      </c>
      <c r="U22" s="47">
        <f t="shared" si="2"/>
        <v>-239865.52654478725</v>
      </c>
    </row>
    <row r="23" spans="1:21" x14ac:dyDescent="0.25">
      <c r="A23">
        <v>11</v>
      </c>
      <c r="C23" t="s">
        <v>376</v>
      </c>
      <c r="E23" s="1">
        <v>512</v>
      </c>
      <c r="G23" s="47">
        <f>1098688+91318</f>
        <v>1190006</v>
      </c>
      <c r="H23" s="47"/>
      <c r="I23" s="116">
        <v>1.8800000000000001E-2</v>
      </c>
      <c r="J23" s="47"/>
      <c r="K23" s="116">
        <v>-8.9999999999999993E-3</v>
      </c>
      <c r="L23" s="47"/>
      <c r="M23" s="47">
        <f t="shared" si="0"/>
        <v>-569683.72340425523</v>
      </c>
      <c r="N23" s="47"/>
      <c r="O23" s="47">
        <f t="shared" si="1"/>
        <v>-1759689.7234042552</v>
      </c>
      <c r="Q23" s="1" t="s">
        <v>14</v>
      </c>
      <c r="R23" s="1"/>
      <c r="S23" s="117">
        <v>0.43997000000000003</v>
      </c>
      <c r="U23" s="47">
        <f t="shared" si="2"/>
        <v>-774210.68760617019</v>
      </c>
    </row>
    <row r="24" spans="1:21" x14ac:dyDescent="0.25">
      <c r="A24">
        <v>12</v>
      </c>
      <c r="C24" t="s">
        <v>376</v>
      </c>
      <c r="E24" s="1">
        <v>513</v>
      </c>
      <c r="G24" s="47">
        <f>498792+19860</f>
        <v>518652</v>
      </c>
      <c r="H24" s="47"/>
      <c r="I24" s="116">
        <v>1.8800000000000001E-2</v>
      </c>
      <c r="J24" s="47"/>
      <c r="K24" s="116">
        <v>-8.9999999999999993E-3</v>
      </c>
      <c r="L24" s="47"/>
      <c r="M24" s="47">
        <f t="shared" si="0"/>
        <v>-248290.85106382976</v>
      </c>
      <c r="N24" s="47"/>
      <c r="O24" s="47">
        <f t="shared" si="1"/>
        <v>-766942.85106382973</v>
      </c>
      <c r="Q24" s="1" t="s">
        <v>14</v>
      </c>
      <c r="R24" s="1"/>
      <c r="S24" s="117">
        <v>0.43997000000000003</v>
      </c>
      <c r="U24" s="47">
        <f t="shared" si="2"/>
        <v>-337431.84618255321</v>
      </c>
    </row>
    <row r="25" spans="1:21" x14ac:dyDescent="0.25">
      <c r="A25">
        <v>13</v>
      </c>
      <c r="C25" t="s">
        <v>376</v>
      </c>
      <c r="E25" s="1">
        <v>514</v>
      </c>
      <c r="G25" s="47">
        <f>124519+24030</f>
        <v>148549</v>
      </c>
      <c r="H25" s="47"/>
      <c r="I25" s="116">
        <v>1.8800000000000001E-2</v>
      </c>
      <c r="J25" s="47"/>
      <c r="K25" s="116">
        <v>-8.9999999999999993E-3</v>
      </c>
      <c r="L25" s="47"/>
      <c r="M25" s="47">
        <f t="shared" si="0"/>
        <v>-71113.882978723399</v>
      </c>
      <c r="N25" s="47"/>
      <c r="O25" s="47">
        <f t="shared" si="1"/>
        <v>-219662.88297872338</v>
      </c>
      <c r="Q25" s="1" t="s">
        <v>14</v>
      </c>
      <c r="R25" s="1"/>
      <c r="S25" s="117">
        <v>0.43997000000000003</v>
      </c>
      <c r="U25" s="47">
        <f t="shared" si="2"/>
        <v>-96645.07862414894</v>
      </c>
    </row>
    <row r="26" spans="1:21" x14ac:dyDescent="0.25">
      <c r="A26">
        <v>14</v>
      </c>
      <c r="C26" t="s">
        <v>377</v>
      </c>
      <c r="E26" s="1">
        <v>535</v>
      </c>
      <c r="G26" s="47">
        <f>-35044+24571</f>
        <v>-10473</v>
      </c>
      <c r="H26" s="47"/>
      <c r="I26" s="116">
        <v>-1.23E-2</v>
      </c>
      <c r="J26" s="47"/>
      <c r="K26" s="116">
        <v>-5.7500000000000002E-2</v>
      </c>
      <c r="L26" s="47"/>
      <c r="M26" s="47">
        <f t="shared" si="0"/>
        <v>-48959.14634146342</v>
      </c>
      <c r="N26" s="47"/>
      <c r="O26" s="47">
        <f t="shared" si="1"/>
        <v>-38486.14634146342</v>
      </c>
      <c r="Q26" s="1" t="s">
        <v>14</v>
      </c>
      <c r="R26" s="1"/>
      <c r="S26" s="117">
        <v>0.43997000000000003</v>
      </c>
      <c r="U26" s="47">
        <f t="shared" si="2"/>
        <v>-16932.749805853662</v>
      </c>
    </row>
    <row r="27" spans="1:21" x14ac:dyDescent="0.25">
      <c r="A27">
        <v>15</v>
      </c>
      <c r="C27" t="s">
        <v>377</v>
      </c>
      <c r="E27" s="1">
        <v>536</v>
      </c>
      <c r="G27" s="47">
        <v>-113</v>
      </c>
      <c r="H27" s="47"/>
      <c r="I27" s="116">
        <v>-1.23E-2</v>
      </c>
      <c r="J27" s="47"/>
      <c r="K27" s="116">
        <v>-5.7500000000000002E-2</v>
      </c>
      <c r="L27" s="47"/>
      <c r="M27" s="47">
        <f t="shared" si="0"/>
        <v>-528.2520325203252</v>
      </c>
      <c r="N27" s="47"/>
      <c r="O27" s="47">
        <f t="shared" si="1"/>
        <v>-415.2520325203252</v>
      </c>
      <c r="Q27" s="1" t="s">
        <v>14</v>
      </c>
      <c r="R27" s="1"/>
      <c r="S27" s="117">
        <v>0.43997000000000003</v>
      </c>
      <c r="U27" s="47">
        <f t="shared" si="2"/>
        <v>-182.69843674796749</v>
      </c>
    </row>
    <row r="28" spans="1:21" x14ac:dyDescent="0.25">
      <c r="A28">
        <v>16</v>
      </c>
      <c r="C28" t="s">
        <v>377</v>
      </c>
      <c r="E28" s="1">
        <v>537</v>
      </c>
      <c r="G28" s="47">
        <f>-39491-3512</f>
        <v>-43003</v>
      </c>
      <c r="H28" s="47"/>
      <c r="I28" s="116">
        <v>-1.23E-2</v>
      </c>
      <c r="J28" s="47"/>
      <c r="K28" s="116">
        <v>-5.7500000000000002E-2</v>
      </c>
      <c r="L28" s="47"/>
      <c r="M28" s="47">
        <f t="shared" si="0"/>
        <v>-201030.28455284555</v>
      </c>
      <c r="N28" s="47"/>
      <c r="O28" s="47">
        <f t="shared" si="1"/>
        <v>-158027.28455284555</v>
      </c>
      <c r="Q28" s="1" t="s">
        <v>14</v>
      </c>
      <c r="R28" s="1"/>
      <c r="S28" s="117">
        <v>0.43997000000000003</v>
      </c>
      <c r="U28" s="47">
        <f t="shared" si="2"/>
        <v>-69527.264384715469</v>
      </c>
    </row>
    <row r="29" spans="1:21" x14ac:dyDescent="0.25">
      <c r="A29">
        <v>17</v>
      </c>
      <c r="C29" t="s">
        <v>377</v>
      </c>
      <c r="E29" s="1">
        <v>539</v>
      </c>
      <c r="G29" s="47">
        <f>-64773-34143</f>
        <v>-98916</v>
      </c>
      <c r="H29" s="47"/>
      <c r="I29" s="116">
        <v>-1.23E-2</v>
      </c>
      <c r="J29" s="47"/>
      <c r="K29" s="116">
        <v>-5.7500000000000002E-2</v>
      </c>
      <c r="L29" s="47"/>
      <c r="M29" s="47">
        <f t="shared" si="0"/>
        <v>-462412.19512195123</v>
      </c>
      <c r="N29" s="47"/>
      <c r="O29" s="47">
        <f t="shared" si="1"/>
        <v>-363496.19512195123</v>
      </c>
      <c r="Q29" s="1" t="s">
        <v>14</v>
      </c>
      <c r="R29" s="1"/>
      <c r="S29" s="117">
        <v>0.43997000000000003</v>
      </c>
      <c r="U29" s="47">
        <f t="shared" si="2"/>
        <v>-159927.42096780488</v>
      </c>
    </row>
    <row r="30" spans="1:21" x14ac:dyDescent="0.25">
      <c r="A30">
        <v>18</v>
      </c>
      <c r="C30" t="s">
        <v>377</v>
      </c>
      <c r="E30" s="1">
        <v>540</v>
      </c>
      <c r="G30" s="47">
        <f>-20079-708</f>
        <v>-20787</v>
      </c>
      <c r="H30" s="47"/>
      <c r="I30" s="116">
        <v>-1.23E-2</v>
      </c>
      <c r="J30" s="47"/>
      <c r="K30" s="116">
        <v>-5.7500000000000002E-2</v>
      </c>
      <c r="L30" s="47"/>
      <c r="M30" s="47">
        <f t="shared" si="0"/>
        <v>-97175</v>
      </c>
      <c r="N30" s="47"/>
      <c r="O30" s="47">
        <f t="shared" si="1"/>
        <v>-76388</v>
      </c>
      <c r="Q30" s="1" t="s">
        <v>14</v>
      </c>
      <c r="R30" s="1"/>
      <c r="S30" s="117">
        <v>0.43997000000000003</v>
      </c>
      <c r="U30" s="47">
        <f t="shared" si="2"/>
        <v>-33608.428360000005</v>
      </c>
    </row>
    <row r="31" spans="1:21" x14ac:dyDescent="0.25">
      <c r="A31">
        <v>19</v>
      </c>
      <c r="C31" t="s">
        <v>382</v>
      </c>
      <c r="E31" s="1">
        <v>541</v>
      </c>
      <c r="G31" s="47">
        <v>8</v>
      </c>
      <c r="H31" s="47"/>
      <c r="I31" s="116">
        <v>0.02</v>
      </c>
      <c r="J31" s="47"/>
      <c r="K31" s="116">
        <v>-1.29E-2</v>
      </c>
      <c r="L31" s="47"/>
      <c r="M31" s="47">
        <f t="shared" si="0"/>
        <v>-5.16</v>
      </c>
      <c r="N31" s="47"/>
      <c r="O31" s="47">
        <f t="shared" si="1"/>
        <v>-13.16</v>
      </c>
      <c r="Q31" s="1" t="s">
        <v>14</v>
      </c>
      <c r="R31" s="1"/>
      <c r="S31" s="117">
        <v>0.43997000000000003</v>
      </c>
      <c r="U31" s="47">
        <f t="shared" si="2"/>
        <v>-5.7900052000000004</v>
      </c>
    </row>
    <row r="32" spans="1:21" x14ac:dyDescent="0.25">
      <c r="A32">
        <v>20</v>
      </c>
      <c r="C32" t="s">
        <v>382</v>
      </c>
      <c r="E32" s="1">
        <v>542</v>
      </c>
      <c r="G32" s="47">
        <f>7713+203</f>
        <v>7916</v>
      </c>
      <c r="H32" s="47"/>
      <c r="I32" s="116">
        <v>0.02</v>
      </c>
      <c r="J32" s="47"/>
      <c r="K32" s="116">
        <v>-1.29E-2</v>
      </c>
      <c r="L32" s="47"/>
      <c r="M32" s="47">
        <f t="shared" si="0"/>
        <v>-5105.82</v>
      </c>
      <c r="N32" s="47"/>
      <c r="O32" s="47">
        <f t="shared" si="1"/>
        <v>-13021.82</v>
      </c>
      <c r="Q32" s="1" t="s">
        <v>14</v>
      </c>
      <c r="R32" s="1"/>
      <c r="S32" s="117">
        <v>0.43997000000000003</v>
      </c>
      <c r="U32" s="47">
        <f t="shared" si="2"/>
        <v>-5729.2101454000003</v>
      </c>
    </row>
    <row r="33" spans="1:21" x14ac:dyDescent="0.25">
      <c r="A33">
        <v>21</v>
      </c>
      <c r="C33" t="s">
        <v>382</v>
      </c>
      <c r="E33" s="1">
        <v>543</v>
      </c>
      <c r="G33" s="47">
        <f>14165+7268</f>
        <v>21433</v>
      </c>
      <c r="H33" s="47"/>
      <c r="I33" s="116">
        <v>0.02</v>
      </c>
      <c r="J33" s="47"/>
      <c r="K33" s="116">
        <v>-1.29E-2</v>
      </c>
      <c r="L33" s="47"/>
      <c r="M33" s="47">
        <f t="shared" si="0"/>
        <v>-13824.285</v>
      </c>
      <c r="N33" s="47"/>
      <c r="O33" s="47">
        <f t="shared" si="1"/>
        <v>-35257.285000000003</v>
      </c>
      <c r="Q33" s="1" t="s">
        <v>14</v>
      </c>
      <c r="R33" s="1"/>
      <c r="S33" s="117">
        <v>0.43997000000000003</v>
      </c>
      <c r="U33" s="47">
        <f t="shared" si="2"/>
        <v>-15512.147681450002</v>
      </c>
    </row>
    <row r="34" spans="1:21" x14ac:dyDescent="0.25">
      <c r="A34">
        <v>22</v>
      </c>
      <c r="C34" t="s">
        <v>382</v>
      </c>
      <c r="E34" s="1">
        <v>544</v>
      </c>
      <c r="G34" s="47">
        <f>14264+3684</f>
        <v>17948</v>
      </c>
      <c r="H34" s="47"/>
      <c r="I34" s="116">
        <v>0.02</v>
      </c>
      <c r="J34" s="47"/>
      <c r="K34" s="116">
        <v>-1.29E-2</v>
      </c>
      <c r="L34" s="47"/>
      <c r="M34" s="47">
        <f t="shared" si="0"/>
        <v>-11576.46</v>
      </c>
      <c r="N34" s="47"/>
      <c r="O34" s="47">
        <f t="shared" si="1"/>
        <v>-29524.46</v>
      </c>
      <c r="Q34" s="1" t="s">
        <v>14</v>
      </c>
      <c r="R34" s="1"/>
      <c r="S34" s="117">
        <v>0.43997000000000003</v>
      </c>
      <c r="U34" s="47">
        <f t="shared" si="2"/>
        <v>-12989.8766662</v>
      </c>
    </row>
    <row r="35" spans="1:21" x14ac:dyDescent="0.25">
      <c r="A35">
        <v>23</v>
      </c>
      <c r="C35" t="s">
        <v>382</v>
      </c>
      <c r="E35" s="1">
        <v>545</v>
      </c>
      <c r="G35" s="47">
        <f>57789+11840</f>
        <v>69629</v>
      </c>
      <c r="H35" s="47"/>
      <c r="I35" s="116">
        <v>0.02</v>
      </c>
      <c r="J35" s="47"/>
      <c r="K35" s="116">
        <v>-1.29E-2</v>
      </c>
      <c r="L35" s="47"/>
      <c r="M35" s="47">
        <f t="shared" si="0"/>
        <v>-44910.705000000002</v>
      </c>
      <c r="N35" s="47"/>
      <c r="O35" s="47">
        <f t="shared" si="1"/>
        <v>-114539.705</v>
      </c>
      <c r="Q35" s="1" t="s">
        <v>14</v>
      </c>
      <c r="R35" s="1"/>
      <c r="S35" s="117">
        <v>0.43997000000000003</v>
      </c>
      <c r="U35" s="47">
        <f t="shared" si="2"/>
        <v>-50394.034008850002</v>
      </c>
    </row>
    <row r="36" spans="1:21" x14ac:dyDescent="0.25">
      <c r="A36">
        <v>24</v>
      </c>
      <c r="C36" t="s">
        <v>383</v>
      </c>
      <c r="E36" s="1">
        <v>546</v>
      </c>
      <c r="G36" s="47">
        <v>1047</v>
      </c>
      <c r="H36" s="47"/>
      <c r="I36" s="116">
        <v>3.0000000000000001E-3</v>
      </c>
      <c r="J36" s="47"/>
      <c r="K36" s="116">
        <v>-3.3799999999999997E-2</v>
      </c>
      <c r="L36" s="47"/>
      <c r="M36" s="47">
        <f t="shared" si="0"/>
        <v>-11796.199999999999</v>
      </c>
      <c r="N36" s="47"/>
      <c r="O36" s="47">
        <f t="shared" si="1"/>
        <v>-12843.199999999999</v>
      </c>
      <c r="Q36" s="1" t="s">
        <v>14</v>
      </c>
      <c r="R36" s="1"/>
      <c r="S36" s="117">
        <v>0.43997000000000003</v>
      </c>
      <c r="U36" s="47">
        <f t="shared" si="2"/>
        <v>-5650.6227039999994</v>
      </c>
    </row>
    <row r="37" spans="1:21" x14ac:dyDescent="0.25">
      <c r="A37">
        <v>25</v>
      </c>
      <c r="C37" t="s">
        <v>383</v>
      </c>
      <c r="E37" s="1">
        <v>548</v>
      </c>
      <c r="G37" s="47">
        <f>33143+793</f>
        <v>33936</v>
      </c>
      <c r="H37" s="47"/>
      <c r="I37" s="116">
        <v>3.0000000000000001E-3</v>
      </c>
      <c r="J37" s="47"/>
      <c r="K37" s="116">
        <v>-3.3799999999999997E-2</v>
      </c>
      <c r="L37" s="47"/>
      <c r="M37" s="47">
        <f t="shared" si="0"/>
        <v>-382345.6</v>
      </c>
      <c r="N37" s="47"/>
      <c r="O37" s="47">
        <f t="shared" si="1"/>
        <v>-416281.59999999998</v>
      </c>
      <c r="Q37" s="1" t="s">
        <v>14</v>
      </c>
      <c r="R37" s="1"/>
      <c r="S37" s="117">
        <v>0.43997000000000003</v>
      </c>
      <c r="U37" s="47">
        <f t="shared" si="2"/>
        <v>-183151.41555199999</v>
      </c>
    </row>
    <row r="38" spans="1:21" x14ac:dyDescent="0.25">
      <c r="A38">
        <v>26</v>
      </c>
      <c r="C38" t="s">
        <v>383</v>
      </c>
      <c r="E38" s="1">
        <v>549</v>
      </c>
      <c r="G38" s="47">
        <v>200</v>
      </c>
      <c r="H38" s="47"/>
      <c r="I38" s="116">
        <v>3.0000000000000001E-3</v>
      </c>
      <c r="J38" s="47"/>
      <c r="K38" s="116">
        <v>-3.3799999999999997E-2</v>
      </c>
      <c r="L38" s="47"/>
      <c r="M38" s="47">
        <f t="shared" si="0"/>
        <v>-2253.3333333333335</v>
      </c>
      <c r="N38" s="47"/>
      <c r="O38" s="47">
        <f t="shared" si="1"/>
        <v>-2453.3333333333335</v>
      </c>
      <c r="Q38" s="1" t="s">
        <v>311</v>
      </c>
      <c r="R38" s="1"/>
      <c r="S38" s="1"/>
      <c r="U38" s="47">
        <f t="shared" si="2"/>
        <v>0</v>
      </c>
    </row>
    <row r="39" spans="1:21" x14ac:dyDescent="0.25">
      <c r="A39">
        <v>27</v>
      </c>
      <c r="C39" t="s">
        <v>383</v>
      </c>
      <c r="E39" s="1">
        <v>549</v>
      </c>
      <c r="G39" s="47">
        <f>1728+8804</f>
        <v>10532</v>
      </c>
      <c r="H39" s="47"/>
      <c r="I39" s="116">
        <v>3.0000000000000001E-3</v>
      </c>
      <c r="J39" s="47"/>
      <c r="K39" s="116">
        <v>-3.3799999999999997E-2</v>
      </c>
      <c r="L39" s="47"/>
      <c r="M39" s="47">
        <f t="shared" si="0"/>
        <v>-118660.53333333331</v>
      </c>
      <c r="N39" s="47"/>
      <c r="O39" s="47">
        <f t="shared" si="1"/>
        <v>-129192.53333333331</v>
      </c>
      <c r="Q39" s="1" t="s">
        <v>14</v>
      </c>
      <c r="R39" s="1"/>
      <c r="S39" s="117">
        <v>0.43997000000000003</v>
      </c>
      <c r="U39" s="47">
        <f t="shared" si="2"/>
        <v>-56840.838890666659</v>
      </c>
    </row>
    <row r="40" spans="1:21" x14ac:dyDescent="0.25">
      <c r="A40">
        <v>28</v>
      </c>
      <c r="C40" t="s">
        <v>383</v>
      </c>
      <c r="E40" s="1">
        <v>550</v>
      </c>
      <c r="G40" s="47">
        <v>1143</v>
      </c>
      <c r="H40" s="47"/>
      <c r="I40" s="116">
        <v>3.0000000000000001E-3</v>
      </c>
      <c r="J40" s="47"/>
      <c r="K40" s="116">
        <v>-3.3799999999999997E-2</v>
      </c>
      <c r="L40" s="47"/>
      <c r="M40" s="47">
        <f t="shared" si="0"/>
        <v>-12877.8</v>
      </c>
      <c r="N40" s="47"/>
      <c r="O40" s="47">
        <f t="shared" si="1"/>
        <v>-14020.8</v>
      </c>
      <c r="Q40" s="1" t="s">
        <v>311</v>
      </c>
      <c r="R40" s="1"/>
      <c r="S40" s="1"/>
      <c r="U40" s="47">
        <f t="shared" si="2"/>
        <v>0</v>
      </c>
    </row>
    <row r="41" spans="1:21" x14ac:dyDescent="0.25">
      <c r="A41">
        <v>29</v>
      </c>
      <c r="C41" t="s">
        <v>383</v>
      </c>
      <c r="E41" s="1">
        <v>550</v>
      </c>
      <c r="G41" s="47">
        <f>107+8382</f>
        <v>8489</v>
      </c>
      <c r="H41" s="47"/>
      <c r="I41" s="116">
        <v>3.0000000000000001E-3</v>
      </c>
      <c r="J41" s="47"/>
      <c r="K41" s="116">
        <v>-3.3799999999999997E-2</v>
      </c>
      <c r="L41" s="47"/>
      <c r="M41" s="47">
        <f t="shared" si="0"/>
        <v>-95642.733333333323</v>
      </c>
      <c r="N41" s="47"/>
      <c r="O41" s="47">
        <f t="shared" si="1"/>
        <v>-104131.73333333332</v>
      </c>
      <c r="Q41" s="1" t="s">
        <v>14</v>
      </c>
      <c r="R41" s="1"/>
      <c r="S41" s="117">
        <v>0.43997000000000003</v>
      </c>
      <c r="U41" s="47">
        <f t="shared" si="2"/>
        <v>-45814.838714666665</v>
      </c>
    </row>
    <row r="42" spans="1:21" x14ac:dyDescent="0.25">
      <c r="A42">
        <v>30</v>
      </c>
      <c r="C42" t="s">
        <v>384</v>
      </c>
      <c r="E42" s="1">
        <v>552</v>
      </c>
      <c r="G42" s="47">
        <f>30572+384</f>
        <v>30956</v>
      </c>
      <c r="H42" s="47"/>
      <c r="I42" s="116">
        <v>2.0299999999999999E-2</v>
      </c>
      <c r="J42" s="47"/>
      <c r="K42" s="116">
        <v>-4.3E-3</v>
      </c>
      <c r="L42" s="47"/>
      <c r="M42" s="47">
        <f t="shared" si="0"/>
        <v>-6557.1822660098524</v>
      </c>
      <c r="N42" s="47"/>
      <c r="O42" s="47">
        <f t="shared" si="1"/>
        <v>-37513.182266009855</v>
      </c>
      <c r="Q42" s="1" t="s">
        <v>14</v>
      </c>
      <c r="R42" s="1"/>
      <c r="S42" s="117">
        <v>0.43997000000000003</v>
      </c>
      <c r="U42" s="47">
        <f t="shared" si="2"/>
        <v>-16504.674801576359</v>
      </c>
    </row>
    <row r="43" spans="1:21" x14ac:dyDescent="0.25">
      <c r="A43">
        <v>31</v>
      </c>
      <c r="C43" t="s">
        <v>384</v>
      </c>
      <c r="E43" s="1">
        <v>553</v>
      </c>
      <c r="G43" s="47">
        <f>10347+154531+54768+4415</f>
        <v>224061</v>
      </c>
      <c r="H43" s="47"/>
      <c r="I43" s="116">
        <v>2.0299999999999999E-2</v>
      </c>
      <c r="J43" s="47"/>
      <c r="K43" s="116">
        <v>-4.3E-3</v>
      </c>
      <c r="L43" s="47"/>
      <c r="M43" s="47">
        <f t="shared" si="0"/>
        <v>-47461.197044334978</v>
      </c>
      <c r="N43" s="47"/>
      <c r="O43" s="47">
        <f t="shared" si="1"/>
        <v>-271522.19704433496</v>
      </c>
      <c r="Q43" s="1" t="s">
        <v>14</v>
      </c>
      <c r="R43" s="1"/>
      <c r="S43" s="117">
        <v>0.43997000000000003</v>
      </c>
      <c r="U43" s="47">
        <f t="shared" si="2"/>
        <v>-119461.62103359606</v>
      </c>
    </row>
    <row r="44" spans="1:21" x14ac:dyDescent="0.25">
      <c r="A44">
        <v>32</v>
      </c>
      <c r="C44" t="s">
        <v>384</v>
      </c>
      <c r="E44" s="1">
        <v>554</v>
      </c>
      <c r="G44" s="47">
        <f>19963+37753+1349</f>
        <v>59065</v>
      </c>
      <c r="H44" s="47"/>
      <c r="I44" s="116">
        <v>2.0299999999999999E-2</v>
      </c>
      <c r="J44" s="47"/>
      <c r="K44" s="116">
        <v>-4.3E-3</v>
      </c>
      <c r="L44" s="47"/>
      <c r="M44" s="47">
        <f t="shared" ref="M44" si="3">G44/I44*K44</f>
        <v>-12511.305418719212</v>
      </c>
      <c r="N44" s="47"/>
      <c r="O44" s="47">
        <f t="shared" ref="O44" si="4">M44-G44</f>
        <v>-71576.305418719217</v>
      </c>
      <c r="Q44" s="1" t="s">
        <v>14</v>
      </c>
      <c r="R44" s="1"/>
      <c r="S44" s="117">
        <v>0.43997000000000003</v>
      </c>
      <c r="U44" s="47">
        <f t="shared" ref="U44" si="5">O44*S44</f>
        <v>-31491.427095073897</v>
      </c>
    </row>
    <row r="45" spans="1:21" x14ac:dyDescent="0.25">
      <c r="A45">
        <v>33</v>
      </c>
      <c r="C45" t="s">
        <v>383</v>
      </c>
      <c r="E45" s="1">
        <v>556</v>
      </c>
      <c r="G45" s="48">
        <v>958</v>
      </c>
      <c r="H45" s="47"/>
      <c r="I45" s="116">
        <v>3.0000000000000001E-3</v>
      </c>
      <c r="J45" s="47"/>
      <c r="K45" s="116">
        <v>-3.3799999999999997E-2</v>
      </c>
      <c r="L45" s="47"/>
      <c r="M45" s="48">
        <f t="shared" si="0"/>
        <v>-10793.466666666665</v>
      </c>
      <c r="N45" s="47"/>
      <c r="O45" s="48">
        <f t="shared" si="1"/>
        <v>-11751.466666666665</v>
      </c>
      <c r="Q45" s="1" t="s">
        <v>14</v>
      </c>
      <c r="R45" s="1"/>
      <c r="S45" s="117">
        <v>0.43997000000000003</v>
      </c>
      <c r="U45" s="48">
        <f t="shared" si="2"/>
        <v>-5170.2927893333326</v>
      </c>
    </row>
    <row r="46" spans="1:21" ht="3.75" customHeight="1" x14ac:dyDescent="0.25"/>
    <row r="47" spans="1:21" ht="16.5" thickBot="1" x14ac:dyDescent="0.3">
      <c r="C47" t="s">
        <v>386</v>
      </c>
      <c r="G47" s="6">
        <f>SUM(G12:G46)</f>
        <v>3690531</v>
      </c>
      <c r="M47" s="6">
        <f>SUM(M12:M46)</f>
        <v>-3713167.8156853197</v>
      </c>
      <c r="O47" s="6">
        <f>SUM(O12:O46)</f>
        <v>-7403698.8156853197</v>
      </c>
      <c r="U47" s="14">
        <f>SUM(U12:U46)</f>
        <v>-3172106.5750856469</v>
      </c>
    </row>
    <row r="48" spans="1:21" ht="16.5" thickTop="1" x14ac:dyDescent="0.25"/>
  </sheetData>
  <pageMargins left="0.7" right="0.7" top="0.75" bottom="0.75" header="0.3" footer="0.3"/>
  <pageSetup scale="70" orientation="portrait" horizontalDpi="0"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1"/>
  <sheetViews>
    <sheetView topLeftCell="A2" workbookViewId="0">
      <selection activeCell="Q6" sqref="Q6"/>
    </sheetView>
  </sheetViews>
  <sheetFormatPr defaultRowHeight="15.75" x14ac:dyDescent="0.25"/>
  <cols>
    <col min="1" max="1" width="4.625" customWidth="1"/>
    <col min="2" max="2" width="1.625" customWidth="1"/>
    <col min="3" max="3" width="20.25" customWidth="1"/>
    <col min="4" max="4" width="2.875" customWidth="1"/>
    <col min="5" max="5" width="6.625" customWidth="1"/>
    <col min="6" max="6" width="1" customWidth="1"/>
    <col min="7" max="7" width="10.375" customWidth="1"/>
    <col min="8" max="8" width="0.75" customWidth="1"/>
    <col min="9" max="9" width="9.375" customWidth="1"/>
    <col min="10" max="10" width="1" customWidth="1"/>
    <col min="11" max="11" width="9.75" customWidth="1"/>
    <col min="12" max="12" width="0.625" customWidth="1"/>
    <col min="13" max="13" width="11.125" customWidth="1"/>
    <col min="14" max="14" width="0.75" customWidth="1"/>
    <col min="15" max="15" width="11.75" customWidth="1"/>
    <col min="16" max="16" width="0.875" customWidth="1"/>
    <col min="17" max="17" width="6.875" customWidth="1"/>
    <col min="18" max="18" width="1" customWidth="1"/>
    <col min="19" max="19" width="9.125" customWidth="1"/>
    <col min="20" max="20" width="1" customWidth="1"/>
    <col min="21" max="21" width="11.125" customWidth="1"/>
  </cols>
  <sheetData>
    <row r="1" spans="1:21" x14ac:dyDescent="0.25">
      <c r="A1" s="7" t="s">
        <v>15</v>
      </c>
      <c r="B1" s="7"/>
      <c r="C1" s="7"/>
      <c r="D1" s="7"/>
      <c r="E1" s="7"/>
      <c r="F1" s="7"/>
      <c r="G1" s="7"/>
      <c r="H1" s="7"/>
      <c r="I1" s="7"/>
      <c r="J1" s="7"/>
      <c r="K1" s="7"/>
      <c r="L1" s="7"/>
      <c r="M1" s="7"/>
      <c r="N1" s="7"/>
      <c r="O1" s="7"/>
      <c r="P1" s="7"/>
      <c r="Q1" s="7" t="s">
        <v>230</v>
      </c>
      <c r="R1" s="7"/>
      <c r="S1" s="7"/>
      <c r="T1" s="7"/>
      <c r="U1" s="7"/>
    </row>
    <row r="2" spans="1:21" x14ac:dyDescent="0.25">
      <c r="A2" s="17" t="s">
        <v>13</v>
      </c>
      <c r="B2" s="7"/>
      <c r="C2" s="7"/>
      <c r="D2" s="7"/>
      <c r="E2" s="7"/>
      <c r="F2" s="7"/>
      <c r="G2" s="7"/>
      <c r="H2" s="7"/>
      <c r="I2" s="7"/>
      <c r="J2" s="7"/>
      <c r="K2" s="7"/>
      <c r="L2" s="7"/>
      <c r="M2" s="7"/>
      <c r="N2" s="7"/>
      <c r="O2" s="7"/>
      <c r="P2" s="7"/>
      <c r="Q2" t="s">
        <v>335</v>
      </c>
      <c r="R2" s="7"/>
      <c r="S2" s="7"/>
      <c r="T2" s="7"/>
      <c r="U2" s="7"/>
    </row>
    <row r="3" spans="1:21" x14ac:dyDescent="0.25">
      <c r="A3" s="5" t="s">
        <v>380</v>
      </c>
      <c r="B3" s="7"/>
      <c r="C3" s="7"/>
      <c r="D3" s="7"/>
      <c r="E3" s="7"/>
      <c r="F3" s="7"/>
      <c r="G3" s="7"/>
      <c r="H3" s="7"/>
      <c r="I3" s="7"/>
      <c r="J3" s="7"/>
      <c r="K3" s="7"/>
      <c r="L3" s="7"/>
      <c r="M3" s="7"/>
      <c r="N3" s="7"/>
      <c r="O3" s="7"/>
      <c r="P3" s="7"/>
      <c r="Q3" t="s">
        <v>585</v>
      </c>
      <c r="R3" s="7"/>
      <c r="S3" s="7"/>
      <c r="T3" s="7"/>
      <c r="U3" s="7"/>
    </row>
    <row r="4" spans="1:21" x14ac:dyDescent="0.25">
      <c r="A4" t="s">
        <v>334</v>
      </c>
      <c r="B4" s="7"/>
      <c r="C4" s="7"/>
      <c r="D4" s="7"/>
      <c r="E4" s="7"/>
      <c r="F4" s="7"/>
      <c r="G4" s="7"/>
      <c r="H4" s="7"/>
      <c r="I4" s="7"/>
      <c r="J4" s="7"/>
      <c r="K4" s="7"/>
      <c r="L4" s="7"/>
      <c r="M4" s="7"/>
      <c r="N4" s="7"/>
      <c r="O4" s="7"/>
      <c r="P4" s="7"/>
      <c r="Q4" s="5" t="s">
        <v>320</v>
      </c>
      <c r="R4" s="7"/>
      <c r="S4" s="9"/>
      <c r="T4" s="7"/>
      <c r="U4" s="7"/>
    </row>
    <row r="5" spans="1:21" x14ac:dyDescent="0.25">
      <c r="B5" s="7"/>
      <c r="C5" s="7"/>
      <c r="D5" s="7"/>
      <c r="E5" s="7"/>
      <c r="F5" s="7"/>
      <c r="G5" s="7"/>
      <c r="H5" s="7"/>
      <c r="I5" s="7"/>
      <c r="J5" s="7"/>
      <c r="K5" s="7"/>
      <c r="L5" s="7"/>
      <c r="M5" s="7"/>
      <c r="N5" s="7"/>
      <c r="O5" s="7"/>
      <c r="P5" s="7"/>
      <c r="Q5" s="70" t="s">
        <v>606</v>
      </c>
      <c r="R5" s="7"/>
      <c r="S5" s="7"/>
      <c r="T5" s="7"/>
      <c r="U5" s="7"/>
    </row>
    <row r="6" spans="1:21" x14ac:dyDescent="0.25">
      <c r="A6" s="7"/>
      <c r="B6" s="7"/>
      <c r="C6" s="7"/>
      <c r="D6" s="16"/>
      <c r="E6" s="7"/>
      <c r="F6" s="7"/>
      <c r="G6" s="7"/>
      <c r="H6" s="7"/>
      <c r="I6" s="7"/>
      <c r="J6" s="7"/>
      <c r="K6" s="7"/>
      <c r="L6" s="7"/>
      <c r="M6" s="7"/>
      <c r="N6" s="7"/>
      <c r="O6" s="7"/>
      <c r="P6" s="7"/>
      <c r="Q6" s="7"/>
      <c r="R6" s="7"/>
      <c r="S6" s="7"/>
      <c r="T6" s="7"/>
      <c r="U6" s="24"/>
    </row>
    <row r="7" spans="1:21" x14ac:dyDescent="0.25">
      <c r="A7" s="7"/>
      <c r="B7" s="7"/>
      <c r="C7" s="7"/>
      <c r="D7" s="7"/>
      <c r="E7" s="7"/>
      <c r="F7" s="7"/>
      <c r="G7" s="37"/>
      <c r="H7" s="37"/>
      <c r="I7" s="37"/>
      <c r="J7" s="37"/>
      <c r="K7" s="37"/>
      <c r="L7" s="37"/>
      <c r="M7" s="37"/>
      <c r="N7" s="37"/>
      <c r="O7" s="37"/>
      <c r="P7" s="37"/>
      <c r="Q7" s="37"/>
      <c r="R7" s="37"/>
      <c r="S7" s="37"/>
      <c r="T7" s="38"/>
      <c r="U7" s="24"/>
    </row>
    <row r="8" spans="1:21" x14ac:dyDescent="0.25">
      <c r="A8" s="7"/>
      <c r="B8" s="7"/>
      <c r="C8" s="7"/>
      <c r="D8" s="7"/>
      <c r="E8" s="7"/>
      <c r="F8" s="7"/>
      <c r="G8" s="114" t="s">
        <v>378</v>
      </c>
      <c r="H8" s="38"/>
      <c r="I8" s="114" t="s">
        <v>378</v>
      </c>
      <c r="J8" s="1"/>
      <c r="K8" s="114" t="s">
        <v>379</v>
      </c>
      <c r="L8" s="114"/>
      <c r="M8" s="114" t="s">
        <v>379</v>
      </c>
      <c r="N8" s="114"/>
      <c r="O8" s="114" t="s">
        <v>233</v>
      </c>
      <c r="P8" s="38"/>
      <c r="Q8" s="38"/>
      <c r="R8" s="38"/>
      <c r="S8" s="38"/>
      <c r="T8" s="38"/>
      <c r="U8" s="24"/>
    </row>
    <row r="9" spans="1:21" x14ac:dyDescent="0.25">
      <c r="A9" t="s">
        <v>0</v>
      </c>
      <c r="E9" s="1"/>
      <c r="F9" s="1"/>
      <c r="G9" s="1" t="s">
        <v>357</v>
      </c>
      <c r="H9" s="1"/>
      <c r="I9" s="1" t="s">
        <v>357</v>
      </c>
      <c r="K9" s="1" t="s">
        <v>357</v>
      </c>
      <c r="L9" s="1"/>
      <c r="M9" s="1" t="s">
        <v>357</v>
      </c>
      <c r="N9" s="1"/>
      <c r="O9" s="1" t="s">
        <v>385</v>
      </c>
      <c r="P9" s="1"/>
      <c r="Q9" s="1"/>
      <c r="R9" s="1"/>
      <c r="S9" s="1"/>
      <c r="T9" s="1"/>
      <c r="U9" s="1" t="s">
        <v>9</v>
      </c>
    </row>
    <row r="10" spans="1:21" x14ac:dyDescent="0.25">
      <c r="A10" s="2" t="s">
        <v>3</v>
      </c>
      <c r="C10" s="2" t="s">
        <v>1</v>
      </c>
      <c r="E10" s="10" t="s">
        <v>66</v>
      </c>
      <c r="F10" s="1"/>
      <c r="G10" s="10" t="s">
        <v>233</v>
      </c>
      <c r="H10" s="8"/>
      <c r="I10" s="10" t="s">
        <v>7</v>
      </c>
      <c r="K10" s="10" t="s">
        <v>7</v>
      </c>
      <c r="L10" s="8"/>
      <c r="M10" s="10" t="s">
        <v>233</v>
      </c>
      <c r="N10" s="8"/>
      <c r="O10" s="10" t="s">
        <v>357</v>
      </c>
      <c r="P10" s="1"/>
      <c r="Q10" s="10" t="s">
        <v>7</v>
      </c>
      <c r="R10" s="1"/>
      <c r="S10" s="11" t="s">
        <v>10</v>
      </c>
      <c r="T10" s="1"/>
      <c r="U10" s="10" t="s">
        <v>8</v>
      </c>
    </row>
    <row r="11" spans="1:21" x14ac:dyDescent="0.25">
      <c r="G11" s="120" t="s">
        <v>262</v>
      </c>
      <c r="I11" s="120" t="s">
        <v>263</v>
      </c>
      <c r="K11" s="120" t="s">
        <v>401</v>
      </c>
      <c r="M11" s="120" t="s">
        <v>313</v>
      </c>
      <c r="O11" s="120" t="s">
        <v>402</v>
      </c>
      <c r="Q11" s="57" t="s">
        <v>314</v>
      </c>
      <c r="R11" s="1"/>
      <c r="S11" s="57" t="s">
        <v>403</v>
      </c>
      <c r="T11" s="1"/>
      <c r="U11" s="57" t="s">
        <v>404</v>
      </c>
    </row>
    <row r="12" spans="1:21" x14ac:dyDescent="0.25">
      <c r="C12" s="3" t="s">
        <v>381</v>
      </c>
    </row>
    <row r="13" spans="1:21" x14ac:dyDescent="0.25">
      <c r="A13">
        <v>1</v>
      </c>
      <c r="C13" t="s">
        <v>383</v>
      </c>
      <c r="E13" s="1">
        <v>557</v>
      </c>
      <c r="G13" s="47">
        <v>18700</v>
      </c>
      <c r="H13" s="47"/>
      <c r="I13" s="116">
        <v>3.0000000000000001E-3</v>
      </c>
      <c r="J13" s="47"/>
      <c r="K13" s="116">
        <v>-3.3799999999999997E-2</v>
      </c>
      <c r="L13" s="47"/>
      <c r="M13" s="47">
        <f>G13/I13*K13</f>
        <v>-210686.66666666663</v>
      </c>
      <c r="N13" s="47"/>
      <c r="O13" s="47">
        <f>M13-G13</f>
        <v>-229386.66666666663</v>
      </c>
      <c r="Q13" s="1" t="s">
        <v>375</v>
      </c>
      <c r="R13" s="1"/>
      <c r="S13" s="117">
        <f>104/18700</f>
        <v>5.5614973262032089E-3</v>
      </c>
      <c r="U13" s="47">
        <f>O13*S13</f>
        <v>-1275.7333333333331</v>
      </c>
    </row>
    <row r="14" spans="1:21" x14ac:dyDescent="0.25">
      <c r="A14">
        <v>2</v>
      </c>
      <c r="C14" t="s">
        <v>383</v>
      </c>
      <c r="E14" s="1">
        <v>557</v>
      </c>
      <c r="G14" s="47">
        <f>31474</f>
        <v>31474</v>
      </c>
      <c r="H14" s="47"/>
      <c r="I14" s="116">
        <v>3.0000000000000001E-3</v>
      </c>
      <c r="J14" s="47"/>
      <c r="K14" s="116">
        <v>-3.3799999999999997E-2</v>
      </c>
      <c r="L14" s="47"/>
      <c r="M14" s="47">
        <f t="shared" ref="M14:M45" si="0">G14/I14*K14</f>
        <v>-354607.06666666665</v>
      </c>
      <c r="N14" s="47"/>
      <c r="O14" s="47">
        <f t="shared" ref="O14:O45" si="1">M14-G14</f>
        <v>-386081.06666666665</v>
      </c>
      <c r="Q14" s="1" t="s">
        <v>14</v>
      </c>
      <c r="R14" s="1"/>
      <c r="S14" s="117">
        <v>0.43997000000000003</v>
      </c>
      <c r="U14" s="47">
        <f t="shared" ref="U14:U48" si="2">O14*S14</f>
        <v>-169864.08690133333</v>
      </c>
    </row>
    <row r="15" spans="1:21" x14ac:dyDescent="0.25">
      <c r="A15">
        <v>3</v>
      </c>
      <c r="C15" t="s">
        <v>383</v>
      </c>
      <c r="E15" s="1">
        <v>557</v>
      </c>
      <c r="G15" s="47">
        <v>30</v>
      </c>
      <c r="H15" s="47"/>
      <c r="I15" s="116">
        <v>3.0000000000000001E-3</v>
      </c>
      <c r="J15" s="47"/>
      <c r="K15" s="116">
        <v>-3.3799999999999997E-2</v>
      </c>
      <c r="L15" s="47"/>
      <c r="M15" s="47">
        <f t="shared" ref="M15" si="3">G15/I15*K15</f>
        <v>-337.99999999999994</v>
      </c>
      <c r="N15" s="47"/>
      <c r="O15" s="47">
        <f t="shared" ref="O15" si="4">M15-G15</f>
        <v>-367.99999999999994</v>
      </c>
      <c r="Q15" s="1" t="s">
        <v>374</v>
      </c>
      <c r="R15" s="1"/>
      <c r="S15" s="117">
        <v>0.43356</v>
      </c>
      <c r="U15" s="47">
        <f t="shared" ref="U15:U27" si="5">O15*S15</f>
        <v>-159.55007999999998</v>
      </c>
    </row>
    <row r="16" spans="1:21" x14ac:dyDescent="0.25">
      <c r="A16">
        <v>4</v>
      </c>
      <c r="C16" t="s">
        <v>387</v>
      </c>
      <c r="E16" s="1">
        <v>560</v>
      </c>
      <c r="G16" s="47">
        <v>6290</v>
      </c>
      <c r="H16" s="47"/>
      <c r="I16" s="116">
        <v>9.7000000000000003E-3</v>
      </c>
      <c r="J16" s="47"/>
      <c r="K16" s="116">
        <v>-3.5000000000000001E-3</v>
      </c>
      <c r="L16" s="47"/>
      <c r="M16" s="47">
        <f t="shared" si="0"/>
        <v>-2269.5876288659792</v>
      </c>
      <c r="N16" s="47"/>
      <c r="O16" s="47">
        <f t="shared" si="1"/>
        <v>-8559.5876288659783</v>
      </c>
      <c r="Q16" s="1" t="s">
        <v>14</v>
      </c>
      <c r="R16" s="1"/>
      <c r="S16" s="117">
        <v>0.43997000000000003</v>
      </c>
      <c r="U16" s="47">
        <f t="shared" si="5"/>
        <v>-3765.9617690721648</v>
      </c>
    </row>
    <row r="17" spans="1:21" x14ac:dyDescent="0.25">
      <c r="A17">
        <v>5</v>
      </c>
      <c r="C17" t="s">
        <v>387</v>
      </c>
      <c r="E17" s="1">
        <v>561</v>
      </c>
      <c r="G17" s="47">
        <v>101309</v>
      </c>
      <c r="H17" s="47"/>
      <c r="I17" s="116">
        <v>9.7000000000000003E-3</v>
      </c>
      <c r="J17" s="47"/>
      <c r="K17" s="116">
        <v>-3.5000000000000001E-3</v>
      </c>
      <c r="L17" s="47"/>
      <c r="M17" s="47">
        <f t="shared" si="0"/>
        <v>-36554.793814432989</v>
      </c>
      <c r="N17" s="47"/>
      <c r="O17" s="47">
        <f t="shared" si="1"/>
        <v>-137863.79381443298</v>
      </c>
      <c r="Q17" s="1" t="s">
        <v>14</v>
      </c>
      <c r="R17" s="1"/>
      <c r="S17" s="117">
        <v>0.43997000000000003</v>
      </c>
      <c r="U17" s="47">
        <f t="shared" si="5"/>
        <v>-60655.933364536082</v>
      </c>
    </row>
    <row r="18" spans="1:21" x14ac:dyDescent="0.25">
      <c r="A18">
        <v>6</v>
      </c>
      <c r="C18" t="s">
        <v>387</v>
      </c>
      <c r="E18" s="1">
        <v>562</v>
      </c>
      <c r="G18" s="47">
        <v>11757</v>
      </c>
      <c r="H18" s="47"/>
      <c r="I18" s="116">
        <v>9.7000000000000003E-3</v>
      </c>
      <c r="J18" s="47"/>
      <c r="K18" s="116">
        <v>-3.5000000000000001E-3</v>
      </c>
      <c r="L18" s="47"/>
      <c r="M18" s="47">
        <f t="shared" si="0"/>
        <v>-4242.216494845361</v>
      </c>
      <c r="N18" s="47"/>
      <c r="O18" s="47">
        <f t="shared" si="1"/>
        <v>-15999.216494845361</v>
      </c>
      <c r="Q18" s="1" t="s">
        <v>14</v>
      </c>
      <c r="R18" s="1"/>
      <c r="S18" s="117">
        <v>0.43997000000000003</v>
      </c>
      <c r="U18" s="47">
        <f t="shared" si="5"/>
        <v>-7039.1752812371142</v>
      </c>
    </row>
    <row r="19" spans="1:21" x14ac:dyDescent="0.25">
      <c r="A19">
        <v>7</v>
      </c>
      <c r="C19" t="s">
        <v>387</v>
      </c>
      <c r="E19" s="1">
        <v>563</v>
      </c>
      <c r="G19" s="47">
        <v>5679</v>
      </c>
      <c r="H19" s="47"/>
      <c r="I19" s="116">
        <v>9.7000000000000003E-3</v>
      </c>
      <c r="J19" s="47"/>
      <c r="K19" s="116">
        <v>-3.5000000000000001E-3</v>
      </c>
      <c r="L19" s="47"/>
      <c r="M19" s="47">
        <f t="shared" si="0"/>
        <v>-2049.1237113402062</v>
      </c>
      <c r="N19" s="47"/>
      <c r="O19" s="47">
        <f t="shared" si="1"/>
        <v>-7728.1237113402058</v>
      </c>
      <c r="Q19" s="1" t="s">
        <v>14</v>
      </c>
      <c r="R19" s="1"/>
      <c r="S19" s="117">
        <v>0.43997000000000003</v>
      </c>
      <c r="U19" s="47">
        <f t="shared" si="5"/>
        <v>-3400.1425892783504</v>
      </c>
    </row>
    <row r="20" spans="1:21" x14ac:dyDescent="0.25">
      <c r="A20">
        <v>8</v>
      </c>
      <c r="C20" t="s">
        <v>387</v>
      </c>
      <c r="E20" s="1">
        <v>566</v>
      </c>
      <c r="G20" s="47">
        <v>28778</v>
      </c>
      <c r="H20" s="47"/>
      <c r="I20" s="116">
        <v>9.7000000000000003E-3</v>
      </c>
      <c r="J20" s="47"/>
      <c r="K20" s="116">
        <v>-3.5000000000000001E-3</v>
      </c>
      <c r="L20" s="47"/>
      <c r="M20" s="47">
        <f t="shared" si="0"/>
        <v>-10383.814432989691</v>
      </c>
      <c r="N20" s="47"/>
      <c r="O20" s="47">
        <f t="shared" si="1"/>
        <v>-39161.81443298969</v>
      </c>
      <c r="Q20" s="1" t="s">
        <v>14</v>
      </c>
      <c r="R20" s="1"/>
      <c r="S20" s="117">
        <v>0.43997000000000003</v>
      </c>
      <c r="U20" s="47">
        <f t="shared" si="5"/>
        <v>-17230.023496082475</v>
      </c>
    </row>
    <row r="21" spans="1:21" x14ac:dyDescent="0.25">
      <c r="A21">
        <v>9</v>
      </c>
      <c r="C21" t="s">
        <v>387</v>
      </c>
      <c r="E21" s="1">
        <v>567</v>
      </c>
      <c r="G21" s="47">
        <v>20217</v>
      </c>
      <c r="H21" s="47"/>
      <c r="I21" s="116">
        <v>9.7000000000000003E-3</v>
      </c>
      <c r="J21" s="47"/>
      <c r="K21" s="116">
        <v>-3.5000000000000001E-3</v>
      </c>
      <c r="L21" s="47"/>
      <c r="M21" s="47">
        <f t="shared" si="0"/>
        <v>-7294.7938144329901</v>
      </c>
      <c r="N21" s="47"/>
      <c r="O21" s="47">
        <f t="shared" si="1"/>
        <v>-27511.793814432989</v>
      </c>
      <c r="Q21" s="1" t="s">
        <v>14</v>
      </c>
      <c r="R21" s="1"/>
      <c r="S21" s="117">
        <v>0.43997000000000003</v>
      </c>
      <c r="U21" s="47">
        <f t="shared" si="5"/>
        <v>-12104.363924536083</v>
      </c>
    </row>
    <row r="22" spans="1:21" x14ac:dyDescent="0.25">
      <c r="A22">
        <v>10</v>
      </c>
      <c r="C22" t="s">
        <v>388</v>
      </c>
      <c r="E22" s="1">
        <v>568</v>
      </c>
      <c r="G22" s="47">
        <v>3423</v>
      </c>
      <c r="H22" s="47"/>
      <c r="I22" s="116">
        <v>1.35E-2</v>
      </c>
      <c r="J22" s="47"/>
      <c r="K22" s="116">
        <v>-2.24E-2</v>
      </c>
      <c r="L22" s="47"/>
      <c r="M22" s="47">
        <f t="shared" si="0"/>
        <v>-5679.6444444444442</v>
      </c>
      <c r="N22" s="47"/>
      <c r="O22" s="47">
        <f t="shared" si="1"/>
        <v>-9102.6444444444442</v>
      </c>
      <c r="Q22" s="1" t="s">
        <v>14</v>
      </c>
      <c r="R22" s="1"/>
      <c r="S22" s="117">
        <v>0.43997000000000003</v>
      </c>
      <c r="U22" s="47">
        <f t="shared" si="5"/>
        <v>-4004.8904762222223</v>
      </c>
    </row>
    <row r="23" spans="1:21" x14ac:dyDescent="0.25">
      <c r="A23">
        <v>11</v>
      </c>
      <c r="C23" t="s">
        <v>388</v>
      </c>
      <c r="E23" s="1">
        <v>569</v>
      </c>
      <c r="G23" s="47">
        <v>36302</v>
      </c>
      <c r="H23" s="47"/>
      <c r="I23" s="116">
        <v>1.35E-2</v>
      </c>
      <c r="J23" s="47"/>
      <c r="K23" s="116">
        <v>-2.24E-2</v>
      </c>
      <c r="L23" s="47"/>
      <c r="M23" s="47">
        <f t="shared" ref="M23:M26" si="6">G23/I23*K23</f>
        <v>-60234.429629629623</v>
      </c>
      <c r="N23" s="47"/>
      <c r="O23" s="47">
        <f t="shared" ref="O23:O26" si="7">M23-G23</f>
        <v>-96536.429629629623</v>
      </c>
      <c r="Q23" s="1" t="s">
        <v>14</v>
      </c>
      <c r="R23" s="1"/>
      <c r="S23" s="117">
        <v>0.43997000000000003</v>
      </c>
      <c r="U23" s="47">
        <f t="shared" si="5"/>
        <v>-42473.13294414815</v>
      </c>
    </row>
    <row r="24" spans="1:21" x14ac:dyDescent="0.25">
      <c r="A24">
        <v>12</v>
      </c>
      <c r="C24" t="s">
        <v>388</v>
      </c>
      <c r="E24" s="1">
        <v>570</v>
      </c>
      <c r="G24" s="47">
        <v>64382</v>
      </c>
      <c r="H24" s="47"/>
      <c r="I24" s="116">
        <v>1.35E-2</v>
      </c>
      <c r="J24" s="47"/>
      <c r="K24" s="116">
        <v>-2.24E-2</v>
      </c>
      <c r="L24" s="47"/>
      <c r="M24" s="47">
        <f t="shared" si="6"/>
        <v>-106826.42962962964</v>
      </c>
      <c r="N24" s="47"/>
      <c r="O24" s="47">
        <f t="shared" si="7"/>
        <v>-171208.42962962965</v>
      </c>
      <c r="Q24" s="1" t="s">
        <v>14</v>
      </c>
      <c r="R24" s="1"/>
      <c r="S24" s="117">
        <v>0.43997000000000003</v>
      </c>
      <c r="U24" s="47">
        <f t="shared" si="5"/>
        <v>-75326.572784148157</v>
      </c>
    </row>
    <row r="25" spans="1:21" x14ac:dyDescent="0.25">
      <c r="A25">
        <v>13</v>
      </c>
      <c r="C25" t="s">
        <v>388</v>
      </c>
      <c r="E25" s="1">
        <v>571</v>
      </c>
      <c r="G25" s="47">
        <v>170076</v>
      </c>
      <c r="H25" s="47"/>
      <c r="I25" s="116">
        <v>1.35E-2</v>
      </c>
      <c r="J25" s="47"/>
      <c r="K25" s="116">
        <v>-2.24E-2</v>
      </c>
      <c r="L25" s="47"/>
      <c r="M25" s="47">
        <f t="shared" si="6"/>
        <v>-282200.17777777778</v>
      </c>
      <c r="N25" s="47"/>
      <c r="O25" s="47">
        <f t="shared" si="7"/>
        <v>-452276.17777777778</v>
      </c>
      <c r="Q25" s="1" t="s">
        <v>14</v>
      </c>
      <c r="R25" s="1"/>
      <c r="S25" s="117">
        <v>0.43997000000000003</v>
      </c>
      <c r="U25" s="47">
        <f t="shared" si="5"/>
        <v>-198987.94993688891</v>
      </c>
    </row>
    <row r="26" spans="1:21" x14ac:dyDescent="0.25">
      <c r="A26">
        <v>14</v>
      </c>
      <c r="C26" t="s">
        <v>388</v>
      </c>
      <c r="E26" s="1">
        <v>572</v>
      </c>
      <c r="G26" s="47">
        <v>421</v>
      </c>
      <c r="H26" s="47"/>
      <c r="I26" s="116">
        <v>1.35E-2</v>
      </c>
      <c r="J26" s="47"/>
      <c r="K26" s="116">
        <v>-2.24E-2</v>
      </c>
      <c r="L26" s="47"/>
      <c r="M26" s="47">
        <f t="shared" si="6"/>
        <v>-698.54814814814813</v>
      </c>
      <c r="N26" s="47"/>
      <c r="O26" s="47">
        <f t="shared" si="7"/>
        <v>-1119.5481481481481</v>
      </c>
      <c r="Q26" s="1" t="s">
        <v>14</v>
      </c>
      <c r="R26" s="1"/>
      <c r="S26" s="117">
        <v>0.43997000000000003</v>
      </c>
      <c r="U26" s="47">
        <f t="shared" si="5"/>
        <v>-492.56759874074078</v>
      </c>
    </row>
    <row r="27" spans="1:21" x14ac:dyDescent="0.25">
      <c r="A27">
        <v>15</v>
      </c>
      <c r="C27" t="s">
        <v>388</v>
      </c>
      <c r="E27" s="1">
        <v>573</v>
      </c>
      <c r="G27" s="47">
        <v>2065</v>
      </c>
      <c r="H27" s="47"/>
      <c r="I27" s="116">
        <v>1.35E-2</v>
      </c>
      <c r="J27" s="47"/>
      <c r="K27" s="116">
        <v>-2.24E-2</v>
      </c>
      <c r="L27" s="47"/>
      <c r="M27" s="47">
        <f t="shared" si="0"/>
        <v>-3426.3703703703709</v>
      </c>
      <c r="N27" s="47"/>
      <c r="O27" s="47">
        <f t="shared" si="1"/>
        <v>-5491.3703703703704</v>
      </c>
      <c r="Q27" s="1" t="s">
        <v>14</v>
      </c>
      <c r="R27" s="1"/>
      <c r="S27" s="117">
        <v>0.43997000000000003</v>
      </c>
      <c r="U27" s="47">
        <f t="shared" si="5"/>
        <v>-2416.0382218518521</v>
      </c>
    </row>
    <row r="28" spans="1:21" x14ac:dyDescent="0.25">
      <c r="A28">
        <v>16</v>
      </c>
      <c r="C28" t="s">
        <v>389</v>
      </c>
      <c r="E28" s="1">
        <v>580</v>
      </c>
      <c r="G28" s="47">
        <v>10309</v>
      </c>
      <c r="H28" s="47"/>
      <c r="I28" s="116">
        <v>2.0799999999999999E-2</v>
      </c>
      <c r="J28" s="47"/>
      <c r="K28" s="116">
        <v>-7.1999999999999998E-3</v>
      </c>
      <c r="L28" s="47"/>
      <c r="M28" s="47">
        <f t="shared" si="0"/>
        <v>-3568.5</v>
      </c>
      <c r="N28" s="47"/>
      <c r="O28" s="47">
        <f t="shared" si="1"/>
        <v>-13877.5</v>
      </c>
      <c r="Q28" s="1" t="s">
        <v>375</v>
      </c>
      <c r="R28" s="1"/>
      <c r="S28" s="117">
        <f>1588/10309</f>
        <v>0.15404015908429528</v>
      </c>
      <c r="U28" s="47">
        <f t="shared" si="2"/>
        <v>-2137.6923076923076</v>
      </c>
    </row>
    <row r="29" spans="1:21" x14ac:dyDescent="0.25">
      <c r="A29">
        <v>17</v>
      </c>
      <c r="C29" t="s">
        <v>389</v>
      </c>
      <c r="E29" s="1">
        <v>580</v>
      </c>
      <c r="G29" s="47">
        <v>15131</v>
      </c>
      <c r="H29" s="47"/>
      <c r="I29" s="116">
        <v>2.0799999999999999E-2</v>
      </c>
      <c r="J29" s="47"/>
      <c r="K29" s="116">
        <v>-7.1999999999999998E-3</v>
      </c>
      <c r="L29" s="47"/>
      <c r="M29" s="47">
        <f t="shared" si="0"/>
        <v>-5237.6538461538466</v>
      </c>
      <c r="N29" s="47"/>
      <c r="O29" s="47">
        <f t="shared" si="1"/>
        <v>-20368.653846153848</v>
      </c>
      <c r="Q29" s="1" t="s">
        <v>391</v>
      </c>
      <c r="R29" s="1"/>
      <c r="S29" s="117">
        <v>0.48487999999999998</v>
      </c>
      <c r="U29" s="47">
        <f t="shared" si="2"/>
        <v>-9876.3528769230779</v>
      </c>
    </row>
    <row r="30" spans="1:21" x14ac:dyDescent="0.25">
      <c r="A30">
        <v>18</v>
      </c>
      <c r="C30" t="s">
        <v>389</v>
      </c>
      <c r="E30" s="1">
        <v>581</v>
      </c>
      <c r="G30" s="47">
        <v>1378</v>
      </c>
      <c r="H30" s="47"/>
      <c r="I30" s="116">
        <v>2.0799999999999999E-2</v>
      </c>
      <c r="J30" s="47"/>
      <c r="K30" s="116">
        <v>-7.1999999999999998E-3</v>
      </c>
      <c r="L30" s="47"/>
      <c r="M30" s="47">
        <f t="shared" si="0"/>
        <v>-477</v>
      </c>
      <c r="N30" s="47"/>
      <c r="O30" s="47">
        <f t="shared" si="1"/>
        <v>-1855</v>
      </c>
      <c r="Q30" s="1" t="s">
        <v>391</v>
      </c>
      <c r="R30" s="1"/>
      <c r="S30" s="117">
        <v>0.48487999999999998</v>
      </c>
      <c r="U30" s="47">
        <f t="shared" si="2"/>
        <v>-899.45240000000001</v>
      </c>
    </row>
    <row r="31" spans="1:21" x14ac:dyDescent="0.25">
      <c r="A31">
        <v>19</v>
      </c>
      <c r="C31" t="s">
        <v>389</v>
      </c>
      <c r="E31" s="1">
        <v>582</v>
      </c>
      <c r="G31" s="47">
        <v>53041</v>
      </c>
      <c r="H31" s="47"/>
      <c r="I31" s="116">
        <v>2.0799999999999999E-2</v>
      </c>
      <c r="J31" s="47"/>
      <c r="K31" s="116">
        <v>-7.1999999999999998E-3</v>
      </c>
      <c r="L31" s="47"/>
      <c r="M31" s="47">
        <f t="shared" si="0"/>
        <v>-18360.346153846152</v>
      </c>
      <c r="N31" s="47"/>
      <c r="O31" s="47">
        <f t="shared" si="1"/>
        <v>-71401.346153846156</v>
      </c>
      <c r="Q31" s="1" t="s">
        <v>375</v>
      </c>
      <c r="R31" s="1"/>
      <c r="S31" s="117">
        <f>23017/53041</f>
        <v>0.43394732376840556</v>
      </c>
      <c r="U31" s="47">
        <f t="shared" si="2"/>
        <v>-30984.423076923078</v>
      </c>
    </row>
    <row r="32" spans="1:21" x14ac:dyDescent="0.25">
      <c r="A32">
        <v>20</v>
      </c>
      <c r="C32" t="s">
        <v>389</v>
      </c>
      <c r="E32" s="1">
        <v>582</v>
      </c>
      <c r="G32" s="47">
        <v>17</v>
      </c>
      <c r="H32" s="47"/>
      <c r="I32" s="116">
        <v>2.0799999999999999E-2</v>
      </c>
      <c r="J32" s="47"/>
      <c r="K32" s="116">
        <v>-7.1999999999999998E-3</v>
      </c>
      <c r="L32" s="47"/>
      <c r="M32" s="47">
        <f t="shared" si="0"/>
        <v>-5.884615384615385</v>
      </c>
      <c r="N32" s="47"/>
      <c r="O32" s="47">
        <f t="shared" si="1"/>
        <v>-22.884615384615387</v>
      </c>
      <c r="Q32" s="1" t="s">
        <v>391</v>
      </c>
      <c r="R32" s="1"/>
      <c r="S32" s="117">
        <v>0.48487999999999998</v>
      </c>
      <c r="U32" s="47">
        <f t="shared" si="2"/>
        <v>-11.096292307692309</v>
      </c>
    </row>
    <row r="33" spans="1:21" x14ac:dyDescent="0.25">
      <c r="A33">
        <v>21</v>
      </c>
      <c r="C33" t="s">
        <v>389</v>
      </c>
      <c r="E33" s="1">
        <v>583</v>
      </c>
      <c r="G33" s="47">
        <v>60748</v>
      </c>
      <c r="H33" s="47"/>
      <c r="I33" s="116">
        <v>2.0799999999999999E-2</v>
      </c>
      <c r="J33" s="47"/>
      <c r="K33" s="116">
        <v>-7.1999999999999998E-3</v>
      </c>
      <c r="L33" s="47"/>
      <c r="M33" s="47">
        <f t="shared" si="0"/>
        <v>-21028.153846153844</v>
      </c>
      <c r="N33" s="47"/>
      <c r="O33" s="47">
        <f t="shared" si="1"/>
        <v>-81776.153846153844</v>
      </c>
      <c r="Q33" s="1" t="s">
        <v>375</v>
      </c>
      <c r="R33" s="1"/>
      <c r="S33" s="117">
        <f>43883/60748</f>
        <v>0.722377691446632</v>
      </c>
      <c r="U33" s="47">
        <f t="shared" si="2"/>
        <v>-59073.269230769227</v>
      </c>
    </row>
    <row r="34" spans="1:21" x14ac:dyDescent="0.25">
      <c r="A34">
        <v>22</v>
      </c>
      <c r="C34" t="s">
        <v>389</v>
      </c>
      <c r="E34" s="1">
        <v>584</v>
      </c>
      <c r="G34" s="47">
        <v>13</v>
      </c>
      <c r="H34" s="47"/>
      <c r="I34" s="116">
        <v>2.0799999999999999E-2</v>
      </c>
      <c r="J34" s="47"/>
      <c r="K34" s="116">
        <v>-7.1999999999999998E-3</v>
      </c>
      <c r="L34" s="47"/>
      <c r="M34" s="47">
        <f t="shared" si="0"/>
        <v>-4.5</v>
      </c>
      <c r="N34" s="47"/>
      <c r="O34" s="47">
        <f t="shared" si="1"/>
        <v>-17.5</v>
      </c>
      <c r="Q34" s="1" t="s">
        <v>375</v>
      </c>
      <c r="R34" s="1"/>
      <c r="S34" s="117">
        <f>3/13</f>
        <v>0.23076923076923078</v>
      </c>
      <c r="U34" s="47">
        <f t="shared" si="2"/>
        <v>-4.0384615384615383</v>
      </c>
    </row>
    <row r="35" spans="1:21" x14ac:dyDescent="0.25">
      <c r="A35">
        <v>23</v>
      </c>
      <c r="C35" t="s">
        <v>389</v>
      </c>
      <c r="E35" s="1">
        <v>585</v>
      </c>
      <c r="G35" s="47">
        <v>362</v>
      </c>
      <c r="H35" s="47"/>
      <c r="I35" s="116">
        <v>2.0799999999999999E-2</v>
      </c>
      <c r="J35" s="47"/>
      <c r="K35" s="116">
        <v>-7.1999999999999998E-3</v>
      </c>
      <c r="L35" s="47"/>
      <c r="M35" s="47">
        <f t="shared" si="0"/>
        <v>-125.30769230769232</v>
      </c>
      <c r="N35" s="47"/>
      <c r="O35" s="47">
        <f t="shared" si="1"/>
        <v>-487.30769230769232</v>
      </c>
      <c r="Q35" s="1" t="s">
        <v>391</v>
      </c>
      <c r="R35" s="1"/>
      <c r="S35" s="117">
        <v>0.48487999999999998</v>
      </c>
      <c r="U35" s="47">
        <f t="shared" si="2"/>
        <v>-236.28575384615385</v>
      </c>
    </row>
    <row r="36" spans="1:21" x14ac:dyDescent="0.25">
      <c r="A36">
        <v>24</v>
      </c>
      <c r="C36" t="s">
        <v>389</v>
      </c>
      <c r="E36" s="1">
        <v>586</v>
      </c>
      <c r="G36" s="47">
        <v>11624</v>
      </c>
      <c r="H36" s="47"/>
      <c r="I36" s="116">
        <v>2.0799999999999999E-2</v>
      </c>
      <c r="J36" s="47"/>
      <c r="K36" s="116">
        <v>-7.1999999999999998E-3</v>
      </c>
      <c r="L36" s="47"/>
      <c r="M36" s="47">
        <f t="shared" si="0"/>
        <v>-4023.6923076923076</v>
      </c>
      <c r="N36" s="47"/>
      <c r="O36" s="47">
        <f t="shared" si="1"/>
        <v>-15647.692307692309</v>
      </c>
      <c r="Q36" s="1" t="s">
        <v>375</v>
      </c>
      <c r="R36" s="1"/>
      <c r="S36" s="117">
        <f>3473/11624</f>
        <v>0.29877838953888508</v>
      </c>
      <c r="U36" s="47">
        <f t="shared" si="2"/>
        <v>-4675.1923076923085</v>
      </c>
    </row>
    <row r="37" spans="1:21" x14ac:dyDescent="0.25">
      <c r="A37">
        <v>25</v>
      </c>
      <c r="C37" t="s">
        <v>389</v>
      </c>
      <c r="E37" s="1">
        <v>586</v>
      </c>
      <c r="G37" s="47">
        <v>260</v>
      </c>
      <c r="H37" s="47"/>
      <c r="I37" s="116">
        <v>2.0799999999999999E-2</v>
      </c>
      <c r="J37" s="47"/>
      <c r="K37" s="116">
        <v>-7.1999999999999998E-3</v>
      </c>
      <c r="L37" s="47"/>
      <c r="M37" s="47">
        <f t="shared" si="0"/>
        <v>-90</v>
      </c>
      <c r="N37" s="47"/>
      <c r="O37" s="47">
        <f t="shared" si="1"/>
        <v>-350</v>
      </c>
      <c r="Q37" s="1" t="s">
        <v>391</v>
      </c>
      <c r="R37" s="1"/>
      <c r="S37" s="117">
        <v>0.48487999999999998</v>
      </c>
      <c r="U37" s="47">
        <f t="shared" si="2"/>
        <v>-169.708</v>
      </c>
    </row>
    <row r="38" spans="1:21" x14ac:dyDescent="0.25">
      <c r="A38">
        <v>26</v>
      </c>
      <c r="C38" t="s">
        <v>389</v>
      </c>
      <c r="E38" s="1">
        <v>587</v>
      </c>
      <c r="G38" s="47">
        <v>79659</v>
      </c>
      <c r="H38" s="47"/>
      <c r="I38" s="116">
        <v>2.0799999999999999E-2</v>
      </c>
      <c r="J38" s="47"/>
      <c r="K38" s="116">
        <v>-7.1999999999999998E-3</v>
      </c>
      <c r="L38" s="47"/>
      <c r="M38" s="47">
        <f t="shared" si="0"/>
        <v>-27574.26923076923</v>
      </c>
      <c r="N38" s="47"/>
      <c r="O38" s="47">
        <f t="shared" si="1"/>
        <v>-107233.26923076923</v>
      </c>
      <c r="Q38" s="1" t="s">
        <v>375</v>
      </c>
      <c r="R38" s="1"/>
      <c r="S38" s="117">
        <f>29694/79659</f>
        <v>0.37276390614996424</v>
      </c>
      <c r="U38" s="47">
        <f t="shared" si="2"/>
        <v>-39972.692307692312</v>
      </c>
    </row>
    <row r="39" spans="1:21" x14ac:dyDescent="0.25">
      <c r="A39">
        <v>27</v>
      </c>
      <c r="C39" t="s">
        <v>389</v>
      </c>
      <c r="E39" s="1">
        <v>588</v>
      </c>
      <c r="G39" s="47">
        <v>-5564</v>
      </c>
      <c r="H39" s="47"/>
      <c r="I39" s="116">
        <v>2.0799999999999999E-2</v>
      </c>
      <c r="J39" s="47"/>
      <c r="K39" s="116">
        <v>-7.1999999999999998E-3</v>
      </c>
      <c r="L39" s="47"/>
      <c r="M39" s="47">
        <f t="shared" si="0"/>
        <v>1926</v>
      </c>
      <c r="N39" s="47"/>
      <c r="O39" s="47">
        <f t="shared" si="1"/>
        <v>7490</v>
      </c>
      <c r="Q39" s="1" t="s">
        <v>375</v>
      </c>
      <c r="R39" s="1"/>
      <c r="S39" s="1">
        <f>-1150/-5564</f>
        <v>0.20668583752695902</v>
      </c>
      <c r="U39" s="47">
        <f t="shared" si="2"/>
        <v>1548.0769230769231</v>
      </c>
    </row>
    <row r="40" spans="1:21" x14ac:dyDescent="0.25">
      <c r="A40">
        <v>28</v>
      </c>
      <c r="C40" t="s">
        <v>389</v>
      </c>
      <c r="E40" s="1">
        <v>588</v>
      </c>
      <c r="G40" s="47">
        <v>-44506</v>
      </c>
      <c r="H40" s="47"/>
      <c r="I40" s="116">
        <v>2.0799999999999999E-2</v>
      </c>
      <c r="J40" s="47"/>
      <c r="K40" s="116">
        <v>-7.1999999999999998E-3</v>
      </c>
      <c r="L40" s="47"/>
      <c r="M40" s="47">
        <f t="shared" si="0"/>
        <v>15405.923076923076</v>
      </c>
      <c r="N40" s="47"/>
      <c r="O40" s="47">
        <f t="shared" si="1"/>
        <v>59911.923076923078</v>
      </c>
      <c r="Q40" s="1" t="s">
        <v>391</v>
      </c>
      <c r="R40" s="1"/>
      <c r="S40" s="117">
        <v>0.48487999999999998</v>
      </c>
      <c r="U40" s="47">
        <f t="shared" si="2"/>
        <v>29050.093261538459</v>
      </c>
    </row>
    <row r="41" spans="1:21" x14ac:dyDescent="0.25">
      <c r="A41">
        <v>29</v>
      </c>
      <c r="C41" t="s">
        <v>389</v>
      </c>
      <c r="E41" s="1">
        <v>589</v>
      </c>
      <c r="G41" s="47">
        <v>49335</v>
      </c>
      <c r="H41" s="47"/>
      <c r="I41" s="116">
        <v>2.0799999999999999E-2</v>
      </c>
      <c r="J41" s="47"/>
      <c r="K41" s="116">
        <v>-7.1999999999999998E-3</v>
      </c>
      <c r="L41" s="47"/>
      <c r="M41" s="47">
        <f t="shared" si="0"/>
        <v>-17077.5</v>
      </c>
      <c r="N41" s="47"/>
      <c r="O41" s="47">
        <f t="shared" si="1"/>
        <v>-66412.5</v>
      </c>
      <c r="Q41" s="1" t="s">
        <v>375</v>
      </c>
      <c r="R41" s="1"/>
      <c r="S41" s="1">
        <f>3974/49335</f>
        <v>8.0551332725245769E-2</v>
      </c>
      <c r="U41" s="47">
        <f t="shared" si="2"/>
        <v>-5349.6153846153848</v>
      </c>
    </row>
    <row r="42" spans="1:21" x14ac:dyDescent="0.25">
      <c r="A42">
        <v>30</v>
      </c>
      <c r="C42" t="s">
        <v>389</v>
      </c>
      <c r="E42" s="1">
        <v>589</v>
      </c>
      <c r="G42" s="47">
        <v>58</v>
      </c>
      <c r="H42" s="47"/>
      <c r="I42" s="116">
        <v>2.0799999999999999E-2</v>
      </c>
      <c r="J42" s="47"/>
      <c r="K42" s="116">
        <v>-7.1999999999999998E-3</v>
      </c>
      <c r="L42" s="47"/>
      <c r="M42" s="47">
        <f t="shared" si="0"/>
        <v>-20.076923076923077</v>
      </c>
      <c r="N42" s="47"/>
      <c r="O42" s="47">
        <f t="shared" si="1"/>
        <v>-78.07692307692308</v>
      </c>
      <c r="Q42" s="1" t="s">
        <v>391</v>
      </c>
      <c r="R42" s="1"/>
      <c r="S42" s="117">
        <v>0.48487999999999998</v>
      </c>
      <c r="U42" s="47">
        <f t="shared" si="2"/>
        <v>-37.85793846153846</v>
      </c>
    </row>
    <row r="43" spans="1:21" x14ac:dyDescent="0.25">
      <c r="A43">
        <v>31</v>
      </c>
      <c r="C43" t="s">
        <v>390</v>
      </c>
      <c r="E43" s="1">
        <v>590</v>
      </c>
      <c r="G43" s="47">
        <v>3852</v>
      </c>
      <c r="H43" s="47"/>
      <c r="I43" s="116">
        <v>8.3000000000000001E-3</v>
      </c>
      <c r="J43" s="47"/>
      <c r="K43" s="116">
        <v>-2.7199999999999998E-2</v>
      </c>
      <c r="L43" s="47"/>
      <c r="M43" s="47">
        <f t="shared" si="0"/>
        <v>-12623.421686746988</v>
      </c>
      <c r="N43" s="47"/>
      <c r="O43" s="47">
        <f t="shared" si="1"/>
        <v>-16475.421686746988</v>
      </c>
      <c r="Q43" s="1" t="s">
        <v>375</v>
      </c>
      <c r="R43" s="1"/>
      <c r="S43" s="117">
        <f>1384/3852</f>
        <v>0.3592938733125649</v>
      </c>
      <c r="U43" s="47">
        <f t="shared" si="2"/>
        <v>-5919.5180722891564</v>
      </c>
    </row>
    <row r="44" spans="1:21" x14ac:dyDescent="0.25">
      <c r="A44">
        <v>32</v>
      </c>
      <c r="C44" t="s">
        <v>390</v>
      </c>
      <c r="E44" s="1">
        <v>590</v>
      </c>
      <c r="G44" s="47">
        <v>4475</v>
      </c>
      <c r="H44" s="47"/>
      <c r="I44" s="116">
        <v>8.3000000000000001E-3</v>
      </c>
      <c r="J44" s="47"/>
      <c r="K44" s="116">
        <v>-2.7199999999999998E-2</v>
      </c>
      <c r="L44" s="47"/>
      <c r="M44" s="47">
        <f t="shared" si="0"/>
        <v>-14665.060240963852</v>
      </c>
      <c r="N44" s="47"/>
      <c r="O44" s="47">
        <f t="shared" si="1"/>
        <v>-19140.060240963852</v>
      </c>
      <c r="Q44" s="1" t="s">
        <v>391</v>
      </c>
      <c r="R44" s="1"/>
      <c r="S44" s="117">
        <v>0.48487999999999998</v>
      </c>
      <c r="U44" s="47">
        <f t="shared" si="2"/>
        <v>-9280.6324096385524</v>
      </c>
    </row>
    <row r="45" spans="1:21" x14ac:dyDescent="0.25">
      <c r="A45">
        <v>34</v>
      </c>
      <c r="C45" t="s">
        <v>390</v>
      </c>
      <c r="E45" s="1">
        <v>591</v>
      </c>
      <c r="G45" s="47">
        <v>18580</v>
      </c>
      <c r="H45" s="47"/>
      <c r="I45" s="116">
        <v>8.3000000000000001E-3</v>
      </c>
      <c r="J45" s="47"/>
      <c r="K45" s="116">
        <v>-2.7199999999999998E-2</v>
      </c>
      <c r="L45" s="47"/>
      <c r="M45" s="47">
        <f t="shared" si="0"/>
        <v>-60888.67469879517</v>
      </c>
      <c r="N45" s="47"/>
      <c r="O45" s="47">
        <f t="shared" si="1"/>
        <v>-79468.674698795163</v>
      </c>
      <c r="Q45" s="1" t="s">
        <v>375</v>
      </c>
      <c r="R45" s="1"/>
      <c r="S45" s="117">
        <f>8406/18580</f>
        <v>0.45242195909580196</v>
      </c>
      <c r="U45" s="47">
        <f t="shared" si="2"/>
        <v>-35953.373493975894</v>
      </c>
    </row>
    <row r="46" spans="1:21" x14ac:dyDescent="0.25">
      <c r="A46">
        <v>35</v>
      </c>
      <c r="C46" t="s">
        <v>390</v>
      </c>
      <c r="E46" s="1">
        <v>591</v>
      </c>
      <c r="G46" s="6">
        <v>1055</v>
      </c>
      <c r="I46" s="116">
        <v>8.3000000000000001E-3</v>
      </c>
      <c r="J46" s="47"/>
      <c r="K46" s="116">
        <v>-2.7199999999999998E-2</v>
      </c>
      <c r="L46" s="47"/>
      <c r="M46" s="47">
        <f t="shared" ref="M46:M48" si="8">G46/I46*K46</f>
        <v>-3457.3493975903611</v>
      </c>
      <c r="N46" s="47"/>
      <c r="O46" s="47">
        <f t="shared" ref="O46:O48" si="9">M46-G46</f>
        <v>-4512.3493975903611</v>
      </c>
      <c r="Q46" s="1" t="s">
        <v>391</v>
      </c>
      <c r="S46" s="117">
        <v>0.48487999999999998</v>
      </c>
      <c r="U46" s="47">
        <f t="shared" si="2"/>
        <v>-2187.9479759036144</v>
      </c>
    </row>
    <row r="47" spans="1:21" x14ac:dyDescent="0.25">
      <c r="A47">
        <v>36</v>
      </c>
      <c r="C47" t="s">
        <v>390</v>
      </c>
      <c r="E47" s="1">
        <v>592</v>
      </c>
      <c r="G47" s="6">
        <v>18212</v>
      </c>
      <c r="I47" s="116">
        <v>8.3000000000000001E-3</v>
      </c>
      <c r="J47" s="47"/>
      <c r="K47" s="116">
        <v>-2.7199999999999998E-2</v>
      </c>
      <c r="L47" s="47"/>
      <c r="M47" s="47">
        <f t="shared" si="8"/>
        <v>-59682.698795180717</v>
      </c>
      <c r="N47" s="47"/>
      <c r="O47" s="47">
        <f t="shared" si="9"/>
        <v>-77894.69879518071</v>
      </c>
      <c r="Q47" s="1" t="s">
        <v>375</v>
      </c>
      <c r="S47" s="117">
        <f>7413/18212</f>
        <v>0.40703931473753568</v>
      </c>
      <c r="U47" s="47">
        <f t="shared" si="2"/>
        <v>-31706.204819277104</v>
      </c>
    </row>
    <row r="48" spans="1:21" x14ac:dyDescent="0.25">
      <c r="A48">
        <v>37</v>
      </c>
      <c r="C48" t="s">
        <v>390</v>
      </c>
      <c r="E48" s="1">
        <v>592</v>
      </c>
      <c r="G48" s="41">
        <v>1950</v>
      </c>
      <c r="I48" s="116">
        <v>8.3000000000000001E-3</v>
      </c>
      <c r="J48" s="47"/>
      <c r="K48" s="116">
        <v>-2.7199999999999998E-2</v>
      </c>
      <c r="L48" s="47"/>
      <c r="M48" s="48">
        <f t="shared" si="8"/>
        <v>-6390.3614457831318</v>
      </c>
      <c r="N48" s="47"/>
      <c r="O48" s="48">
        <f t="shared" si="9"/>
        <v>-8340.3614457831318</v>
      </c>
      <c r="Q48" s="1" t="s">
        <v>391</v>
      </c>
      <c r="S48" s="117">
        <v>0.48487999999999998</v>
      </c>
      <c r="U48" s="48">
        <f t="shared" si="2"/>
        <v>-4044.0744578313247</v>
      </c>
    </row>
    <row r="49" spans="1:21" ht="8.25" customHeight="1" x14ac:dyDescent="0.25"/>
    <row r="50" spans="1:21" ht="16.5" thickBot="1" x14ac:dyDescent="0.3">
      <c r="A50">
        <v>38</v>
      </c>
      <c r="C50" t="s">
        <v>392</v>
      </c>
      <c r="G50" s="6">
        <f>SUM(G13:G48)</f>
        <v>780892</v>
      </c>
      <c r="M50" s="6">
        <f>SUM(M13:M48)</f>
        <v>-1325460.1910337624</v>
      </c>
      <c r="O50" s="6">
        <f>SUM(O13:O49)</f>
        <v>-2106352.1910337624</v>
      </c>
      <c r="U50" s="14">
        <f>SUM(U13:U49)</f>
        <v>-811117.38008417061</v>
      </c>
    </row>
    <row r="51" spans="1:21" ht="16.5" thickTop="1" x14ac:dyDescent="0.25"/>
  </sheetData>
  <pageMargins left="0.7" right="0.7" top="0.75" bottom="0.75" header="0.3" footer="0.3"/>
  <pageSetup scale="6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89"/>
  <sheetViews>
    <sheetView workbookViewId="0">
      <selection activeCell="D10" sqref="D10"/>
    </sheetView>
  </sheetViews>
  <sheetFormatPr defaultRowHeight="15.75" x14ac:dyDescent="0.25"/>
  <cols>
    <col min="1" max="1" width="4" customWidth="1"/>
    <col min="2" max="2" width="26.125" customWidth="1"/>
    <col min="3" max="3" width="6.25" customWidth="1"/>
    <col min="4" max="4" width="16.375" customWidth="1"/>
    <col min="5" max="5" width="14.125" customWidth="1"/>
    <col min="6" max="6" width="16.375" customWidth="1"/>
  </cols>
  <sheetData>
    <row r="1" spans="1:6" x14ac:dyDescent="0.25">
      <c r="A1" s="7" t="s">
        <v>15</v>
      </c>
      <c r="F1" s="7" t="s">
        <v>230</v>
      </c>
    </row>
    <row r="2" spans="1:6" x14ac:dyDescent="0.25">
      <c r="A2" s="17" t="s">
        <v>13</v>
      </c>
      <c r="F2" t="s">
        <v>335</v>
      </c>
    </row>
    <row r="3" spans="1:6" x14ac:dyDescent="0.25">
      <c r="A3" s="5" t="s">
        <v>616</v>
      </c>
      <c r="F3" t="s">
        <v>615</v>
      </c>
    </row>
    <row r="4" spans="1:6" x14ac:dyDescent="0.25">
      <c r="A4" t="s">
        <v>334</v>
      </c>
      <c r="F4" s="5" t="s">
        <v>320</v>
      </c>
    </row>
    <row r="5" spans="1:6" x14ac:dyDescent="0.25">
      <c r="F5" t="s">
        <v>618</v>
      </c>
    </row>
    <row r="8" spans="1:6" x14ac:dyDescent="0.25">
      <c r="D8" s="1" t="s">
        <v>620</v>
      </c>
      <c r="E8" s="1" t="s">
        <v>622</v>
      </c>
      <c r="F8" s="1" t="s">
        <v>624</v>
      </c>
    </row>
    <row r="9" spans="1:6" x14ac:dyDescent="0.25">
      <c r="D9" s="1" t="s">
        <v>626</v>
      </c>
      <c r="E9" s="1"/>
      <c r="F9" s="1" t="s">
        <v>627</v>
      </c>
    </row>
    <row r="10" spans="1:6" x14ac:dyDescent="0.25">
      <c r="D10" s="10" t="s">
        <v>628</v>
      </c>
      <c r="E10" s="10" t="s">
        <v>629</v>
      </c>
      <c r="F10" s="10" t="s">
        <v>629</v>
      </c>
    </row>
    <row r="11" spans="1:6" x14ac:dyDescent="0.25">
      <c r="A11">
        <v>1</v>
      </c>
      <c r="B11" t="s">
        <v>630</v>
      </c>
    </row>
    <row r="12" spans="1:6" x14ac:dyDescent="0.25">
      <c r="A12">
        <v>2</v>
      </c>
      <c r="B12" t="s">
        <v>631</v>
      </c>
      <c r="D12" s="145">
        <v>2001695945.4085445</v>
      </c>
      <c r="E12" s="145">
        <v>-59285929.311638981</v>
      </c>
      <c r="F12" s="145">
        <v>1942410016.0969055</v>
      </c>
    </row>
    <row r="13" spans="1:6" x14ac:dyDescent="0.25">
      <c r="A13">
        <v>3</v>
      </c>
      <c r="B13" t="s">
        <v>632</v>
      </c>
      <c r="D13" s="145">
        <v>0</v>
      </c>
      <c r="E13" s="145"/>
      <c r="F13" s="145"/>
    </row>
    <row r="14" spans="1:6" x14ac:dyDescent="0.25">
      <c r="A14">
        <v>4</v>
      </c>
      <c r="B14" t="s">
        <v>633</v>
      </c>
      <c r="D14" s="145">
        <v>112290110.70110954</v>
      </c>
      <c r="E14" s="145"/>
      <c r="F14" s="145"/>
    </row>
    <row r="15" spans="1:6" x14ac:dyDescent="0.25">
      <c r="A15">
        <v>5</v>
      </c>
      <c r="B15" t="s">
        <v>634</v>
      </c>
      <c r="D15" s="145">
        <v>77112564.341061324</v>
      </c>
      <c r="E15" s="145"/>
      <c r="F15" s="145"/>
    </row>
    <row r="16" spans="1:6" x14ac:dyDescent="0.25">
      <c r="A16">
        <v>6</v>
      </c>
      <c r="B16" t="s">
        <v>635</v>
      </c>
      <c r="D16" s="149">
        <v>2191098620.4507155</v>
      </c>
      <c r="E16" s="149"/>
      <c r="F16" s="149"/>
    </row>
    <row r="17" spans="1:6" x14ac:dyDescent="0.25">
      <c r="A17">
        <v>7</v>
      </c>
      <c r="D17" s="145"/>
      <c r="E17" s="145"/>
      <c r="F17" s="145"/>
    </row>
    <row r="18" spans="1:6" x14ac:dyDescent="0.25">
      <c r="A18">
        <v>8</v>
      </c>
      <c r="B18" t="s">
        <v>636</v>
      </c>
      <c r="D18" s="145"/>
      <c r="E18" s="145"/>
      <c r="F18" s="145"/>
    </row>
    <row r="19" spans="1:6" x14ac:dyDescent="0.25">
      <c r="A19">
        <v>9</v>
      </c>
      <c r="B19" t="s">
        <v>637</v>
      </c>
      <c r="D19" s="145">
        <v>392229250.20436764</v>
      </c>
      <c r="E19" s="145"/>
      <c r="F19" s="145"/>
    </row>
    <row r="20" spans="1:6" x14ac:dyDescent="0.25">
      <c r="A20">
        <v>10</v>
      </c>
      <c r="B20" t="s">
        <v>638</v>
      </c>
      <c r="D20" s="145">
        <v>0</v>
      </c>
      <c r="E20" s="145"/>
      <c r="F20" s="145"/>
    </row>
    <row r="21" spans="1:6" x14ac:dyDescent="0.25">
      <c r="A21">
        <v>11</v>
      </c>
      <c r="B21" t="s">
        <v>639</v>
      </c>
      <c r="D21" s="145">
        <v>20041185.820641056</v>
      </c>
      <c r="E21" s="145"/>
      <c r="F21" s="145"/>
    </row>
    <row r="22" spans="1:6" x14ac:dyDescent="0.25">
      <c r="A22">
        <v>12</v>
      </c>
      <c r="B22" t="s">
        <v>640</v>
      </c>
      <c r="D22" s="145">
        <v>435608123.77133322</v>
      </c>
      <c r="E22" s="145"/>
      <c r="F22" s="145"/>
    </row>
    <row r="23" spans="1:6" x14ac:dyDescent="0.25">
      <c r="A23">
        <v>13</v>
      </c>
      <c r="B23" t="s">
        <v>641</v>
      </c>
      <c r="D23" s="145">
        <v>96284491.281754717</v>
      </c>
      <c r="E23" s="145"/>
      <c r="F23" s="145"/>
    </row>
    <row r="24" spans="1:6" x14ac:dyDescent="0.25">
      <c r="A24">
        <v>14</v>
      </c>
      <c r="B24" t="s">
        <v>642</v>
      </c>
      <c r="D24" s="145">
        <v>89943873.954390451</v>
      </c>
      <c r="E24" s="145"/>
      <c r="F24" s="145"/>
    </row>
    <row r="25" spans="1:6" x14ac:dyDescent="0.25">
      <c r="A25">
        <v>15</v>
      </c>
      <c r="B25" t="s">
        <v>643</v>
      </c>
      <c r="D25" s="145">
        <v>34556330.057466619</v>
      </c>
      <c r="E25" s="145">
        <v>-115325.56207731273</v>
      </c>
      <c r="F25" s="145">
        <v>34441004.495389305</v>
      </c>
    </row>
    <row r="26" spans="1:6" x14ac:dyDescent="0.25">
      <c r="A26">
        <v>16</v>
      </c>
      <c r="B26" t="s">
        <v>644</v>
      </c>
      <c r="D26" s="145">
        <v>6854056.5309636649</v>
      </c>
      <c r="E26" s="145"/>
      <c r="F26" s="145"/>
    </row>
    <row r="27" spans="1:6" x14ac:dyDescent="0.25">
      <c r="A27">
        <v>17</v>
      </c>
      <c r="B27" t="s">
        <v>645</v>
      </c>
      <c r="D27" s="145">
        <v>0</v>
      </c>
      <c r="E27" s="145"/>
      <c r="F27" s="145"/>
    </row>
    <row r="28" spans="1:6" x14ac:dyDescent="0.25">
      <c r="A28">
        <v>18</v>
      </c>
      <c r="B28" t="s">
        <v>646</v>
      </c>
      <c r="D28" s="146">
        <v>54143961.814618684</v>
      </c>
      <c r="E28" s="146"/>
      <c r="F28" s="146"/>
    </row>
    <row r="29" spans="1:6" x14ac:dyDescent="0.25">
      <c r="A29">
        <v>19</v>
      </c>
      <c r="D29" s="145"/>
      <c r="E29" s="145"/>
      <c r="F29" s="145"/>
    </row>
    <row r="30" spans="1:6" x14ac:dyDescent="0.25">
      <c r="A30">
        <v>20</v>
      </c>
      <c r="B30" t="s">
        <v>647</v>
      </c>
      <c r="D30" s="145">
        <v>1129661273.4355359</v>
      </c>
      <c r="E30" s="145"/>
      <c r="F30" s="145"/>
    </row>
    <row r="31" spans="1:6" x14ac:dyDescent="0.25">
      <c r="A31">
        <v>21</v>
      </c>
      <c r="D31" s="145"/>
      <c r="E31" s="145"/>
      <c r="F31" s="145"/>
    </row>
    <row r="32" spans="1:6" x14ac:dyDescent="0.25">
      <c r="A32">
        <v>22</v>
      </c>
      <c r="B32" t="s">
        <v>648</v>
      </c>
      <c r="D32" s="145">
        <v>421979334.87531936</v>
      </c>
      <c r="E32" s="145"/>
      <c r="F32" s="145"/>
    </row>
    <row r="33" spans="1:6" x14ac:dyDescent="0.25">
      <c r="A33">
        <v>23</v>
      </c>
      <c r="B33" t="s">
        <v>649</v>
      </c>
      <c r="D33" s="145">
        <v>-2425096.3186958879</v>
      </c>
      <c r="E33" s="145"/>
      <c r="F33" s="145"/>
    </row>
    <row r="34" spans="1:6" x14ac:dyDescent="0.25">
      <c r="A34">
        <v>24</v>
      </c>
      <c r="B34" t="s">
        <v>650</v>
      </c>
      <c r="D34" s="145">
        <v>84812481.236791328</v>
      </c>
      <c r="E34" s="145">
        <v>-177857.78793491694</v>
      </c>
      <c r="F34" s="145">
        <v>84634623.448856413</v>
      </c>
    </row>
    <row r="35" spans="1:6" x14ac:dyDescent="0.25">
      <c r="A35">
        <v>25</v>
      </c>
      <c r="B35" t="s">
        <v>651</v>
      </c>
      <c r="D35" s="145">
        <v>-51663794.297634549</v>
      </c>
      <c r="E35" s="145">
        <v>-11826039.811943468</v>
      </c>
      <c r="F35" s="145">
        <v>-63489834.109578013</v>
      </c>
    </row>
    <row r="36" spans="1:6" x14ac:dyDescent="0.25">
      <c r="A36">
        <v>26</v>
      </c>
      <c r="B36" t="s">
        <v>652</v>
      </c>
      <c r="D36" s="145">
        <v>5112225.3549107984</v>
      </c>
      <c r="E36" s="145">
        <v>-2678270.6666578548</v>
      </c>
      <c r="F36" s="145">
        <v>2433954.6882529436</v>
      </c>
    </row>
    <row r="37" spans="1:6" x14ac:dyDescent="0.25">
      <c r="A37">
        <v>27</v>
      </c>
      <c r="B37" t="s">
        <v>653</v>
      </c>
      <c r="D37" s="145">
        <v>52350763.976785481</v>
      </c>
      <c r="E37" s="145"/>
      <c r="F37" s="145"/>
    </row>
    <row r="38" spans="1:6" x14ac:dyDescent="0.25">
      <c r="A38">
        <v>28</v>
      </c>
      <c r="B38" t="s">
        <v>654</v>
      </c>
      <c r="D38" s="145">
        <v>-1117293.7135367221</v>
      </c>
      <c r="E38" s="145"/>
      <c r="F38" s="145"/>
    </row>
    <row r="39" spans="1:6" x14ac:dyDescent="0.25">
      <c r="A39">
        <v>29</v>
      </c>
      <c r="B39" t="s">
        <v>655</v>
      </c>
      <c r="D39" s="146">
        <v>212024.38876717049</v>
      </c>
      <c r="E39" s="146"/>
      <c r="F39" s="146"/>
    </row>
    <row r="40" spans="1:6" x14ac:dyDescent="0.25">
      <c r="A40">
        <v>30</v>
      </c>
      <c r="D40" s="145"/>
      <c r="E40" s="145"/>
      <c r="F40" s="145"/>
    </row>
    <row r="41" spans="1:6" x14ac:dyDescent="0.25">
      <c r="A41">
        <v>31</v>
      </c>
      <c r="B41" t="s">
        <v>656</v>
      </c>
      <c r="D41" s="145">
        <v>1638921918.9382432</v>
      </c>
      <c r="E41" s="145">
        <v>-14797493.828613553</v>
      </c>
      <c r="F41" s="145">
        <v>1624124425.1096296</v>
      </c>
    </row>
    <row r="42" spans="1:6" x14ac:dyDescent="0.25">
      <c r="A42">
        <v>32</v>
      </c>
      <c r="D42" s="145"/>
      <c r="E42" s="145"/>
      <c r="F42" s="145"/>
    </row>
    <row r="43" spans="1:6" ht="16.5" thickBot="1" x14ac:dyDescent="0.3">
      <c r="A43">
        <v>33</v>
      </c>
      <c r="B43" t="s">
        <v>657</v>
      </c>
      <c r="D43" s="147">
        <v>552176701.51247239</v>
      </c>
      <c r="E43" s="147">
        <v>-44488435.483025432</v>
      </c>
      <c r="F43" s="147">
        <v>507688266.02944696</v>
      </c>
    </row>
    <row r="44" spans="1:6" ht="16.5" thickTop="1" x14ac:dyDescent="0.25">
      <c r="A44">
        <v>34</v>
      </c>
      <c r="D44" s="145"/>
      <c r="E44" s="145"/>
      <c r="F44" s="145"/>
    </row>
    <row r="45" spans="1:6" x14ac:dyDescent="0.25">
      <c r="A45">
        <v>35</v>
      </c>
      <c r="B45" t="s">
        <v>658</v>
      </c>
      <c r="D45" s="145"/>
      <c r="E45" s="145"/>
      <c r="F45" s="145"/>
    </row>
    <row r="46" spans="1:6" x14ac:dyDescent="0.25">
      <c r="A46">
        <v>36</v>
      </c>
      <c r="B46" t="s">
        <v>659</v>
      </c>
      <c r="D46" s="145">
        <v>13473835846.845215</v>
      </c>
      <c r="E46" s="145"/>
      <c r="F46" s="145"/>
    </row>
    <row r="47" spans="1:6" x14ac:dyDescent="0.25">
      <c r="A47">
        <v>37</v>
      </c>
      <c r="B47" t="s">
        <v>660</v>
      </c>
      <c r="D47" s="145">
        <v>6357563.9663493512</v>
      </c>
      <c r="E47" s="145"/>
      <c r="F47" s="145"/>
    </row>
    <row r="48" spans="1:6" x14ac:dyDescent="0.25">
      <c r="A48">
        <v>38</v>
      </c>
      <c r="B48" t="s">
        <v>661</v>
      </c>
      <c r="D48" s="145">
        <v>115358942.3197307</v>
      </c>
      <c r="E48" s="145"/>
      <c r="F48" s="145"/>
    </row>
    <row r="49" spans="1:6" x14ac:dyDescent="0.25">
      <c r="A49">
        <v>39</v>
      </c>
      <c r="B49" t="s">
        <v>662</v>
      </c>
      <c r="D49" s="145">
        <v>11116607.63013659</v>
      </c>
      <c r="E49" s="145"/>
      <c r="F49" s="145"/>
    </row>
    <row r="50" spans="1:6" x14ac:dyDescent="0.25">
      <c r="A50">
        <v>40</v>
      </c>
      <c r="B50" t="s">
        <v>663</v>
      </c>
      <c r="D50" s="145">
        <v>-0.13269740922805717</v>
      </c>
      <c r="E50" s="145"/>
      <c r="F50" s="145"/>
    </row>
    <row r="51" spans="1:6" x14ac:dyDescent="0.25">
      <c r="A51">
        <v>41</v>
      </c>
      <c r="B51" t="s">
        <v>664</v>
      </c>
      <c r="D51" s="145">
        <v>16435236.82395386</v>
      </c>
      <c r="E51" s="145"/>
      <c r="F51" s="145"/>
    </row>
    <row r="52" spans="1:6" x14ac:dyDescent="0.25">
      <c r="A52">
        <v>42</v>
      </c>
      <c r="B52" t="s">
        <v>665</v>
      </c>
      <c r="D52" s="145">
        <v>74344484.222343668</v>
      </c>
      <c r="E52" s="145"/>
      <c r="F52" s="145"/>
    </row>
    <row r="53" spans="1:6" x14ac:dyDescent="0.25">
      <c r="A53">
        <v>43</v>
      </c>
      <c r="B53" t="s">
        <v>666</v>
      </c>
      <c r="D53" s="145">
        <v>101321811.27382673</v>
      </c>
      <c r="E53" s="145"/>
      <c r="F53" s="145"/>
    </row>
    <row r="54" spans="1:6" x14ac:dyDescent="0.25">
      <c r="A54">
        <v>44</v>
      </c>
      <c r="B54" t="s">
        <v>667</v>
      </c>
      <c r="D54" s="145">
        <v>13303583.523275938</v>
      </c>
      <c r="E54" s="145"/>
      <c r="F54" s="145"/>
    </row>
    <row r="55" spans="1:6" x14ac:dyDescent="0.25">
      <c r="A55">
        <v>45</v>
      </c>
      <c r="B55" t="s">
        <v>668</v>
      </c>
      <c r="D55" s="145">
        <v>-0.52730411673260824</v>
      </c>
      <c r="E55" s="145"/>
      <c r="F55" s="145"/>
    </row>
    <row r="56" spans="1:6" x14ac:dyDescent="0.25">
      <c r="A56">
        <v>46</v>
      </c>
      <c r="B56" t="s">
        <v>669</v>
      </c>
      <c r="D56" s="146">
        <v>0</v>
      </c>
      <c r="E56" s="146"/>
      <c r="F56" s="146"/>
    </row>
    <row r="57" spans="1:6" x14ac:dyDescent="0.25">
      <c r="A57">
        <v>47</v>
      </c>
      <c r="D57" s="145"/>
      <c r="E57" s="145"/>
      <c r="F57" s="145"/>
    </row>
    <row r="58" spans="1:6" x14ac:dyDescent="0.25">
      <c r="A58">
        <v>48</v>
      </c>
      <c r="B58" t="s">
        <v>670</v>
      </c>
      <c r="D58" s="145">
        <v>13812074075.944828</v>
      </c>
      <c r="E58" s="145">
        <v>0</v>
      </c>
      <c r="F58" s="145">
        <v>13812074075.944828</v>
      </c>
    </row>
    <row r="59" spans="1:6" x14ac:dyDescent="0.25">
      <c r="A59">
        <v>49</v>
      </c>
      <c r="D59" s="145"/>
      <c r="E59" s="145"/>
      <c r="F59" s="145"/>
    </row>
    <row r="60" spans="1:6" x14ac:dyDescent="0.25">
      <c r="A60">
        <v>50</v>
      </c>
      <c r="B60" t="s">
        <v>671</v>
      </c>
      <c r="D60" s="145"/>
      <c r="E60" s="145"/>
      <c r="F60" s="145"/>
    </row>
    <row r="61" spans="1:6" x14ac:dyDescent="0.25">
      <c r="A61">
        <v>51</v>
      </c>
      <c r="B61" t="s">
        <v>672</v>
      </c>
      <c r="D61" s="145">
        <v>-4175894502.9293528</v>
      </c>
      <c r="E61" s="145"/>
      <c r="F61" s="145"/>
    </row>
    <row r="62" spans="1:6" x14ac:dyDescent="0.25">
      <c r="A62">
        <v>52</v>
      </c>
      <c r="B62" t="s">
        <v>673</v>
      </c>
      <c r="D62" s="145">
        <v>-276131816.21720016</v>
      </c>
      <c r="E62" s="145"/>
      <c r="F62" s="145"/>
    </row>
    <row r="63" spans="1:6" x14ac:dyDescent="0.25">
      <c r="A63">
        <v>53</v>
      </c>
      <c r="B63" t="s">
        <v>674</v>
      </c>
      <c r="D63" s="145">
        <v>-1125025209.8189902</v>
      </c>
      <c r="E63" s="145"/>
      <c r="F63" s="145"/>
    </row>
    <row r="64" spans="1:6" x14ac:dyDescent="0.25">
      <c r="A64">
        <v>54</v>
      </c>
      <c r="B64" t="s">
        <v>675</v>
      </c>
      <c r="D64" s="145">
        <v>-84977.084561841402</v>
      </c>
      <c r="E64" s="145"/>
      <c r="F64" s="145"/>
    </row>
    <row r="65" spans="1:6" x14ac:dyDescent="0.25">
      <c r="A65">
        <v>55</v>
      </c>
      <c r="B65" t="s">
        <v>676</v>
      </c>
      <c r="D65" s="145">
        <v>-38042159.690947056</v>
      </c>
      <c r="E65" s="145"/>
      <c r="F65" s="145"/>
    </row>
    <row r="66" spans="1:6" x14ac:dyDescent="0.25">
      <c r="A66">
        <v>56</v>
      </c>
      <c r="B66" t="s">
        <v>677</v>
      </c>
      <c r="D66" s="145">
        <v>-16275584.48076923</v>
      </c>
      <c r="E66" s="145"/>
      <c r="F66" s="145"/>
    </row>
    <row r="67" spans="1:6" x14ac:dyDescent="0.25">
      <c r="A67">
        <v>57</v>
      </c>
      <c r="B67" t="s">
        <v>678</v>
      </c>
      <c r="D67" s="146">
        <v>-828353314.02982247</v>
      </c>
      <c r="E67" s="146"/>
      <c r="F67" s="146"/>
    </row>
    <row r="68" spans="1:6" x14ac:dyDescent="0.25">
      <c r="A68">
        <v>58</v>
      </c>
      <c r="D68" s="145"/>
      <c r="E68" s="145"/>
      <c r="F68" s="145"/>
    </row>
    <row r="69" spans="1:6" x14ac:dyDescent="0.25">
      <c r="A69">
        <v>59</v>
      </c>
      <c r="B69" t="s">
        <v>679</v>
      </c>
      <c r="D69" s="145">
        <v>-6459807564.2516441</v>
      </c>
      <c r="E69" s="145">
        <v>0</v>
      </c>
      <c r="F69" s="145">
        <v>-6459807564.2516441</v>
      </c>
    </row>
    <row r="70" spans="1:6" x14ac:dyDescent="0.25">
      <c r="A70">
        <v>60</v>
      </c>
      <c r="D70" s="145"/>
      <c r="E70" s="145"/>
      <c r="F70" s="145"/>
    </row>
    <row r="71" spans="1:6" ht="16.5" thickBot="1" x14ac:dyDescent="0.3">
      <c r="A71">
        <v>61</v>
      </c>
      <c r="B71" t="s">
        <v>680</v>
      </c>
      <c r="D71" s="147">
        <v>7352266511.6931839</v>
      </c>
      <c r="E71" s="147">
        <v>0</v>
      </c>
      <c r="F71" s="147">
        <v>7352266511.6931839</v>
      </c>
    </row>
    <row r="72" spans="1:6" ht="16.5" thickTop="1" x14ac:dyDescent="0.25">
      <c r="A72">
        <v>62</v>
      </c>
    </row>
    <row r="73" spans="1:6" x14ac:dyDescent="0.25">
      <c r="A73">
        <v>63</v>
      </c>
      <c r="B73" t="s">
        <v>681</v>
      </c>
      <c r="D73" s="148">
        <v>7.5102922430012584E-2</v>
      </c>
      <c r="E73" s="148"/>
      <c r="F73" s="148">
        <v>6.9051939999999992E-2</v>
      </c>
    </row>
    <row r="74" spans="1:6" x14ac:dyDescent="0.25">
      <c r="A74">
        <v>64</v>
      </c>
      <c r="D74" s="148"/>
      <c r="E74" s="148"/>
      <c r="F74" s="148"/>
    </row>
    <row r="75" spans="1:6" x14ac:dyDescent="0.25">
      <c r="A75">
        <v>65</v>
      </c>
      <c r="B75" t="s">
        <v>682</v>
      </c>
      <c r="D75" s="148">
        <v>0.10210196486002518</v>
      </c>
      <c r="E75" s="148"/>
      <c r="F75" s="148">
        <v>0.09</v>
      </c>
    </row>
    <row r="77" spans="1:6" x14ac:dyDescent="0.25">
      <c r="A77" s="4"/>
      <c r="B77" s="4"/>
      <c r="C77" s="4"/>
      <c r="D77" s="4"/>
      <c r="E77" s="4"/>
      <c r="F77" s="4"/>
    </row>
    <row r="78" spans="1:6" x14ac:dyDescent="0.25">
      <c r="A78" s="4"/>
      <c r="B78" s="4"/>
      <c r="C78" s="4"/>
      <c r="D78" s="127"/>
      <c r="E78" s="127"/>
      <c r="F78" s="127"/>
    </row>
    <row r="79" spans="1:6" x14ac:dyDescent="0.25">
      <c r="A79" s="4"/>
      <c r="B79" s="4"/>
      <c r="C79" s="4"/>
      <c r="D79" s="127"/>
      <c r="E79" s="127"/>
      <c r="F79" s="127"/>
    </row>
    <row r="80" spans="1:6" x14ac:dyDescent="0.25">
      <c r="A80" s="4"/>
      <c r="B80" s="4"/>
      <c r="C80" s="4"/>
      <c r="D80" s="127"/>
      <c r="E80" s="127"/>
      <c r="F80" s="127"/>
    </row>
    <row r="81" spans="1:6" x14ac:dyDescent="0.25">
      <c r="A81" s="4"/>
      <c r="B81" s="4"/>
      <c r="C81" s="4"/>
      <c r="D81" s="127"/>
      <c r="E81" s="127"/>
      <c r="F81" s="127"/>
    </row>
    <row r="82" spans="1:6" x14ac:dyDescent="0.25">
      <c r="A82" s="4"/>
      <c r="B82" s="4"/>
      <c r="C82" s="4"/>
      <c r="D82" s="127"/>
      <c r="E82" s="127"/>
      <c r="F82" s="127"/>
    </row>
    <row r="83" spans="1:6" x14ac:dyDescent="0.25">
      <c r="A83" s="4"/>
      <c r="B83" s="4"/>
      <c r="C83" s="4"/>
      <c r="D83" s="127"/>
      <c r="E83" s="127"/>
      <c r="F83" s="127"/>
    </row>
    <row r="84" spans="1:6" x14ac:dyDescent="0.25">
      <c r="A84" s="4"/>
      <c r="B84" s="4"/>
      <c r="C84" s="4"/>
      <c r="D84" s="127"/>
      <c r="E84" s="127"/>
      <c r="F84" s="127"/>
    </row>
    <row r="85" spans="1:6" x14ac:dyDescent="0.25">
      <c r="A85" s="4"/>
      <c r="B85" s="4"/>
      <c r="C85" s="4"/>
      <c r="D85" s="127"/>
      <c r="E85" s="127"/>
      <c r="F85" s="127"/>
    </row>
    <row r="86" spans="1:6" x14ac:dyDescent="0.25">
      <c r="A86" s="4"/>
      <c r="B86" s="4"/>
      <c r="C86" s="4"/>
      <c r="D86" s="127"/>
      <c r="E86" s="127"/>
      <c r="F86" s="127"/>
    </row>
    <row r="87" spans="1:6" x14ac:dyDescent="0.25">
      <c r="A87" s="4"/>
      <c r="B87" s="4"/>
      <c r="C87" s="4"/>
      <c r="D87" s="127"/>
      <c r="E87" s="127"/>
      <c r="F87" s="127"/>
    </row>
    <row r="88" spans="1:6" x14ac:dyDescent="0.25">
      <c r="A88" s="4"/>
      <c r="B88" s="4"/>
      <c r="C88" s="4"/>
      <c r="D88" s="127"/>
      <c r="E88" s="127"/>
      <c r="F88" s="127"/>
    </row>
    <row r="89" spans="1:6" x14ac:dyDescent="0.25">
      <c r="A89" s="4"/>
      <c r="B89" s="4"/>
      <c r="C89" s="4"/>
      <c r="D89" s="127"/>
      <c r="E89" s="127"/>
      <c r="F89" s="127"/>
    </row>
  </sheetData>
  <pageMargins left="0.7" right="0.7" top="0.75" bottom="0.75" header="0.3" footer="0.3"/>
  <pageSetup scale="59" orientation="portrait" horizontalDpi="0"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8"/>
  <sheetViews>
    <sheetView workbookViewId="0">
      <selection activeCell="Q5" sqref="Q5"/>
    </sheetView>
  </sheetViews>
  <sheetFormatPr defaultRowHeight="15.75" x14ac:dyDescent="0.25"/>
  <cols>
    <col min="1" max="1" width="4.625" customWidth="1"/>
    <col min="2" max="2" width="1.625" customWidth="1"/>
    <col min="3" max="3" width="20.25" customWidth="1"/>
    <col min="4" max="4" width="2.875" customWidth="1"/>
    <col min="5" max="5" width="6.625" customWidth="1"/>
    <col min="6" max="6" width="1" customWidth="1"/>
    <col min="7" max="7" width="10.625" customWidth="1"/>
    <col min="8" max="8" width="0.75" customWidth="1"/>
    <col min="9" max="9" width="9.375" customWidth="1"/>
    <col min="10" max="10" width="1" customWidth="1"/>
    <col min="11" max="11" width="9.75" customWidth="1"/>
    <col min="12" max="12" width="0.625" customWidth="1"/>
    <col min="13" max="13" width="11.875" customWidth="1"/>
    <col min="14" max="14" width="0.75" customWidth="1"/>
    <col min="15" max="15" width="11.75" customWidth="1"/>
    <col min="16" max="16" width="0.875" customWidth="1"/>
    <col min="17" max="17" width="6.875" customWidth="1"/>
    <col min="18" max="18" width="1" customWidth="1"/>
    <col min="19" max="19" width="9.125" customWidth="1"/>
    <col min="20" max="20" width="1" customWidth="1"/>
    <col min="21" max="21" width="11.125" customWidth="1"/>
    <col min="24" max="24" width="13.75" bestFit="1" customWidth="1"/>
  </cols>
  <sheetData>
    <row r="1" spans="1:21" x14ac:dyDescent="0.25">
      <c r="A1" s="7" t="s">
        <v>15</v>
      </c>
      <c r="B1" s="7"/>
      <c r="C1" s="7"/>
      <c r="D1" s="7"/>
      <c r="E1" s="7"/>
      <c r="F1" s="7"/>
      <c r="G1" s="7"/>
      <c r="H1" s="7"/>
      <c r="I1" s="7"/>
      <c r="J1" s="7"/>
      <c r="K1" s="7"/>
      <c r="L1" s="7"/>
      <c r="M1" s="7"/>
      <c r="N1" s="7"/>
      <c r="O1" s="7"/>
      <c r="P1" s="7"/>
      <c r="Q1" s="7" t="s">
        <v>230</v>
      </c>
      <c r="R1" s="7"/>
      <c r="S1" s="7"/>
      <c r="T1" s="7"/>
      <c r="U1" s="7"/>
    </row>
    <row r="2" spans="1:21" x14ac:dyDescent="0.25">
      <c r="A2" s="17" t="s">
        <v>13</v>
      </c>
      <c r="B2" s="7"/>
      <c r="C2" s="7"/>
      <c r="D2" s="7"/>
      <c r="E2" s="7"/>
      <c r="F2" s="7"/>
      <c r="G2" s="7"/>
      <c r="H2" s="7"/>
      <c r="I2" s="7"/>
      <c r="J2" s="7"/>
      <c r="K2" s="7"/>
      <c r="L2" s="7"/>
      <c r="M2" s="7"/>
      <c r="N2" s="7"/>
      <c r="O2" s="7"/>
      <c r="P2" s="7"/>
      <c r="Q2" t="s">
        <v>335</v>
      </c>
      <c r="R2" s="7"/>
      <c r="S2" s="7"/>
      <c r="T2" s="7"/>
      <c r="U2" s="7"/>
    </row>
    <row r="3" spans="1:21" x14ac:dyDescent="0.25">
      <c r="A3" s="5" t="s">
        <v>380</v>
      </c>
      <c r="B3" s="7"/>
      <c r="C3" s="7"/>
      <c r="D3" s="7"/>
      <c r="E3" s="7"/>
      <c r="F3" s="7"/>
      <c r="G3" s="7"/>
      <c r="H3" s="7"/>
      <c r="I3" s="7"/>
      <c r="J3" s="7"/>
      <c r="K3" s="7"/>
      <c r="L3" s="7"/>
      <c r="M3" s="7"/>
      <c r="N3" s="7"/>
      <c r="O3" s="7"/>
      <c r="P3" s="7"/>
      <c r="Q3" t="s">
        <v>585</v>
      </c>
      <c r="R3" s="7"/>
      <c r="S3" s="7"/>
      <c r="T3" s="7"/>
      <c r="U3" s="7"/>
    </row>
    <row r="4" spans="1:21" x14ac:dyDescent="0.25">
      <c r="A4" t="s">
        <v>334</v>
      </c>
      <c r="B4" s="7"/>
      <c r="C4" s="7"/>
      <c r="D4" s="7"/>
      <c r="E4" s="7"/>
      <c r="F4" s="7"/>
      <c r="G4" s="7"/>
      <c r="H4" s="7"/>
      <c r="I4" s="7"/>
      <c r="J4" s="7"/>
      <c r="K4" s="7"/>
      <c r="L4" s="7"/>
      <c r="M4" s="7"/>
      <c r="N4" s="7"/>
      <c r="O4" s="7"/>
      <c r="P4" s="7"/>
      <c r="Q4" s="5" t="s">
        <v>320</v>
      </c>
      <c r="R4" s="7"/>
      <c r="S4" s="9"/>
      <c r="T4" s="7"/>
      <c r="U4" s="7"/>
    </row>
    <row r="5" spans="1:21" x14ac:dyDescent="0.25">
      <c r="B5" s="7"/>
      <c r="C5" s="7"/>
      <c r="D5" s="7"/>
      <c r="E5" s="7"/>
      <c r="F5" s="7"/>
      <c r="G5" s="7"/>
      <c r="H5" s="7"/>
      <c r="I5" s="7"/>
      <c r="J5" s="7"/>
      <c r="K5" s="7"/>
      <c r="L5" s="7"/>
      <c r="M5" s="7"/>
      <c r="N5" s="7"/>
      <c r="O5" s="7"/>
      <c r="P5" s="7"/>
      <c r="Q5" s="70" t="s">
        <v>607</v>
      </c>
      <c r="R5" s="7"/>
      <c r="S5" s="7"/>
      <c r="T5" s="7"/>
      <c r="U5" s="7"/>
    </row>
    <row r="6" spans="1:21" x14ac:dyDescent="0.25">
      <c r="A6" s="7"/>
      <c r="B6" s="7"/>
      <c r="C6" s="7"/>
      <c r="D6" s="16"/>
      <c r="E6" s="7"/>
      <c r="F6" s="7"/>
      <c r="G6" s="7"/>
      <c r="H6" s="7"/>
      <c r="I6" s="7"/>
      <c r="J6" s="7"/>
      <c r="K6" s="7"/>
      <c r="L6" s="7"/>
      <c r="M6" s="7"/>
      <c r="N6" s="7"/>
      <c r="O6" s="7"/>
      <c r="P6" s="7"/>
      <c r="Q6" s="7"/>
      <c r="R6" s="7"/>
      <c r="S6" s="7"/>
      <c r="T6" s="7"/>
      <c r="U6" s="24"/>
    </row>
    <row r="7" spans="1:21" x14ac:dyDescent="0.25">
      <c r="A7" s="7"/>
      <c r="B7" s="7"/>
      <c r="C7" s="7"/>
      <c r="D7" s="7"/>
      <c r="E7" s="7"/>
      <c r="F7" s="7"/>
      <c r="G7" s="37"/>
      <c r="H7" s="37"/>
      <c r="I7" s="37"/>
      <c r="J7" s="37"/>
      <c r="K7" s="37"/>
      <c r="L7" s="37"/>
      <c r="M7" s="37"/>
      <c r="N7" s="37"/>
      <c r="O7" s="37"/>
      <c r="P7" s="37"/>
      <c r="Q7" s="37"/>
      <c r="R7" s="37"/>
      <c r="S7" s="37"/>
      <c r="T7" s="38"/>
      <c r="U7" s="24"/>
    </row>
    <row r="8" spans="1:21" x14ac:dyDescent="0.25">
      <c r="A8" s="7"/>
      <c r="B8" s="7"/>
      <c r="C8" s="7"/>
      <c r="D8" s="7"/>
      <c r="E8" s="7"/>
      <c r="F8" s="7"/>
      <c r="G8" s="114" t="s">
        <v>378</v>
      </c>
      <c r="H8" s="38"/>
      <c r="I8" s="114" t="s">
        <v>378</v>
      </c>
      <c r="J8" s="1"/>
      <c r="K8" s="114" t="s">
        <v>379</v>
      </c>
      <c r="L8" s="114"/>
      <c r="M8" s="114" t="s">
        <v>379</v>
      </c>
      <c r="N8" s="114"/>
      <c r="O8" s="114" t="s">
        <v>233</v>
      </c>
      <c r="P8" s="38"/>
      <c r="Q8" s="38"/>
      <c r="R8" s="38"/>
      <c r="S8" s="38"/>
      <c r="T8" s="38"/>
      <c r="U8" s="24"/>
    </row>
    <row r="9" spans="1:21" x14ac:dyDescent="0.25">
      <c r="A9" t="s">
        <v>0</v>
      </c>
      <c r="E9" s="1"/>
      <c r="F9" s="1"/>
      <c r="G9" s="1" t="s">
        <v>357</v>
      </c>
      <c r="H9" s="1"/>
      <c r="I9" s="1" t="s">
        <v>357</v>
      </c>
      <c r="K9" s="1" t="s">
        <v>357</v>
      </c>
      <c r="L9" s="1"/>
      <c r="M9" s="1" t="s">
        <v>357</v>
      </c>
      <c r="N9" s="1"/>
      <c r="O9" s="1" t="s">
        <v>385</v>
      </c>
      <c r="P9" s="1"/>
      <c r="Q9" s="1"/>
      <c r="R9" s="1"/>
      <c r="S9" s="1"/>
      <c r="T9" s="1"/>
      <c r="U9" s="1" t="s">
        <v>9</v>
      </c>
    </row>
    <row r="10" spans="1:21" x14ac:dyDescent="0.25">
      <c r="A10" s="2" t="s">
        <v>3</v>
      </c>
      <c r="C10" s="2" t="s">
        <v>1</v>
      </c>
      <c r="E10" s="10" t="s">
        <v>66</v>
      </c>
      <c r="F10" s="1"/>
      <c r="G10" s="10" t="s">
        <v>233</v>
      </c>
      <c r="H10" s="8"/>
      <c r="I10" s="10" t="s">
        <v>7</v>
      </c>
      <c r="K10" s="10" t="s">
        <v>7</v>
      </c>
      <c r="L10" s="8"/>
      <c r="M10" s="10" t="s">
        <v>233</v>
      </c>
      <c r="N10" s="8"/>
      <c r="O10" s="10" t="s">
        <v>357</v>
      </c>
      <c r="P10" s="1"/>
      <c r="Q10" s="10" t="s">
        <v>7</v>
      </c>
      <c r="R10" s="1"/>
      <c r="S10" s="11" t="s">
        <v>10</v>
      </c>
      <c r="T10" s="1"/>
      <c r="U10" s="10" t="s">
        <v>8</v>
      </c>
    </row>
    <row r="11" spans="1:21" x14ac:dyDescent="0.25">
      <c r="G11" s="120" t="s">
        <v>262</v>
      </c>
      <c r="I11" s="120" t="s">
        <v>263</v>
      </c>
      <c r="K11" s="120" t="s">
        <v>401</v>
      </c>
      <c r="M11" s="120" t="s">
        <v>313</v>
      </c>
      <c r="O11" s="120" t="s">
        <v>402</v>
      </c>
      <c r="Q11" s="57" t="s">
        <v>314</v>
      </c>
      <c r="R11" s="1"/>
      <c r="S11" s="57" t="s">
        <v>403</v>
      </c>
      <c r="T11" s="1"/>
      <c r="U11" s="57" t="s">
        <v>404</v>
      </c>
    </row>
    <row r="12" spans="1:21" x14ac:dyDescent="0.25">
      <c r="C12" s="3" t="s">
        <v>381</v>
      </c>
    </row>
    <row r="13" spans="1:21" x14ac:dyDescent="0.25">
      <c r="A13">
        <v>1</v>
      </c>
      <c r="C13" t="s">
        <v>390</v>
      </c>
      <c r="E13" s="1">
        <v>593</v>
      </c>
      <c r="G13" s="47">
        <v>215295</v>
      </c>
      <c r="H13" s="47"/>
      <c r="I13" s="116">
        <v>8.3000000000000001E-3</v>
      </c>
      <c r="J13" s="47"/>
      <c r="K13" s="116">
        <v>-2.7199999999999998E-2</v>
      </c>
      <c r="L13" s="47"/>
      <c r="M13" s="47">
        <f>G13/I13*K13</f>
        <v>-705545.06024096382</v>
      </c>
      <c r="N13" s="47"/>
      <c r="O13" s="47">
        <f>M13-G13</f>
        <v>-920840.06024096382</v>
      </c>
      <c r="Q13" s="1" t="s">
        <v>375</v>
      </c>
      <c r="R13" s="1"/>
      <c r="S13" s="117">
        <f>43176/215295</f>
        <v>0.20054344039573607</v>
      </c>
      <c r="U13" s="47">
        <f>O13*S13</f>
        <v>-184668.43373493975</v>
      </c>
    </row>
    <row r="14" spans="1:21" x14ac:dyDescent="0.25">
      <c r="A14">
        <v>2</v>
      </c>
      <c r="C14" t="s">
        <v>390</v>
      </c>
      <c r="E14" s="1">
        <v>593</v>
      </c>
      <c r="G14" s="47">
        <v>9343</v>
      </c>
      <c r="H14" s="47"/>
      <c r="I14" s="116">
        <v>8.3000000000000001E-3</v>
      </c>
      <c r="J14" s="47"/>
      <c r="K14" s="116">
        <v>-2.7199999999999998E-2</v>
      </c>
      <c r="L14" s="47"/>
      <c r="M14" s="47">
        <f t="shared" ref="M14:M45" si="0">G14/I14*K14</f>
        <v>-30618.024096385539</v>
      </c>
      <c r="N14" s="47"/>
      <c r="O14" s="47">
        <f t="shared" ref="O14:O45" si="1">M14-G14</f>
        <v>-39961.024096385539</v>
      </c>
      <c r="Q14" s="1" t="s">
        <v>391</v>
      </c>
      <c r="R14" s="1"/>
      <c r="S14" s="117">
        <v>0.48487999999999998</v>
      </c>
      <c r="U14" s="47">
        <f t="shared" ref="U14:U45" si="2">O14*S14</f>
        <v>-19376.301363855418</v>
      </c>
    </row>
    <row r="15" spans="1:21" x14ac:dyDescent="0.25">
      <c r="A15">
        <v>3</v>
      </c>
      <c r="C15" t="s">
        <v>390</v>
      </c>
      <c r="E15" s="1">
        <v>594</v>
      </c>
      <c r="G15" s="47">
        <v>120759</v>
      </c>
      <c r="H15" s="47"/>
      <c r="I15" s="116">
        <v>8.3000000000000001E-3</v>
      </c>
      <c r="J15" s="47"/>
      <c r="K15" s="116">
        <v>-2.7199999999999998E-2</v>
      </c>
      <c r="L15" s="47"/>
      <c r="M15" s="47">
        <f t="shared" si="0"/>
        <v>-395740.33734939754</v>
      </c>
      <c r="N15" s="47"/>
      <c r="O15" s="47">
        <f t="shared" si="1"/>
        <v>-516499.33734939754</v>
      </c>
      <c r="Q15" s="1" t="s">
        <v>375</v>
      </c>
      <c r="R15" s="1"/>
      <c r="S15" s="117">
        <f>74873/120759</f>
        <v>0.62002003991420929</v>
      </c>
      <c r="U15" s="47">
        <f t="shared" si="2"/>
        <v>-320239.93975903612</v>
      </c>
    </row>
    <row r="16" spans="1:21" x14ac:dyDescent="0.25">
      <c r="A16">
        <v>4</v>
      </c>
      <c r="C16" t="s">
        <v>390</v>
      </c>
      <c r="E16" s="1">
        <v>594</v>
      </c>
      <c r="G16" s="47">
        <v>26</v>
      </c>
      <c r="H16" s="47"/>
      <c r="I16" s="116">
        <v>8.3000000000000001E-3</v>
      </c>
      <c r="J16" s="47"/>
      <c r="K16" s="116">
        <v>-2.7199999999999998E-2</v>
      </c>
      <c r="L16" s="47"/>
      <c r="M16" s="47">
        <f t="shared" si="0"/>
        <v>-85.204819277108427</v>
      </c>
      <c r="N16" s="47"/>
      <c r="O16" s="47">
        <f t="shared" si="1"/>
        <v>-111.20481927710843</v>
      </c>
      <c r="Q16" s="1" t="s">
        <v>391</v>
      </c>
      <c r="R16" s="1"/>
      <c r="S16" s="117">
        <v>0.48487999999999998</v>
      </c>
      <c r="U16" s="47">
        <f t="shared" si="2"/>
        <v>-53.920992771084329</v>
      </c>
    </row>
    <row r="17" spans="1:24" x14ac:dyDescent="0.25">
      <c r="A17">
        <v>5</v>
      </c>
      <c r="C17" t="s">
        <v>390</v>
      </c>
      <c r="E17" s="1">
        <v>595</v>
      </c>
      <c r="G17" s="47">
        <v>1400</v>
      </c>
      <c r="H17" s="47"/>
      <c r="I17" s="116">
        <v>8.3000000000000001E-3</v>
      </c>
      <c r="J17" s="47"/>
      <c r="K17" s="116">
        <v>-2.7199999999999998E-2</v>
      </c>
      <c r="L17" s="47"/>
      <c r="M17" s="47">
        <f t="shared" si="0"/>
        <v>-4587.9518072289147</v>
      </c>
      <c r="N17" s="47"/>
      <c r="O17" s="47">
        <f t="shared" si="1"/>
        <v>-5987.9518072289147</v>
      </c>
      <c r="Q17" s="1" t="s">
        <v>391</v>
      </c>
      <c r="R17" s="1"/>
      <c r="S17" s="117">
        <v>0.48487999999999998</v>
      </c>
      <c r="U17" s="47">
        <f t="shared" si="2"/>
        <v>-2903.438072289156</v>
      </c>
    </row>
    <row r="18" spans="1:24" x14ac:dyDescent="0.25">
      <c r="A18">
        <v>6</v>
      </c>
      <c r="C18" t="s">
        <v>390</v>
      </c>
      <c r="E18" s="1">
        <v>596</v>
      </c>
      <c r="G18" s="47">
        <v>10356</v>
      </c>
      <c r="H18" s="47"/>
      <c r="I18" s="116">
        <v>8.3000000000000001E-3</v>
      </c>
      <c r="J18" s="47"/>
      <c r="K18" s="116">
        <v>-2.7199999999999998E-2</v>
      </c>
      <c r="L18" s="47"/>
      <c r="M18" s="47">
        <f t="shared" si="0"/>
        <v>-33937.734939759037</v>
      </c>
      <c r="N18" s="47"/>
      <c r="O18" s="47">
        <f t="shared" si="1"/>
        <v>-44293.734939759037</v>
      </c>
      <c r="Q18" s="1" t="s">
        <v>375</v>
      </c>
      <c r="R18" s="1"/>
      <c r="S18" s="117">
        <f>6001/10356</f>
        <v>0.57947083816145228</v>
      </c>
      <c r="U18" s="47">
        <f t="shared" si="2"/>
        <v>-25666.927710843374</v>
      </c>
    </row>
    <row r="19" spans="1:24" x14ac:dyDescent="0.25">
      <c r="A19">
        <v>7</v>
      </c>
      <c r="C19" t="s">
        <v>390</v>
      </c>
      <c r="E19" s="1">
        <v>597</v>
      </c>
      <c r="G19" s="47">
        <v>1342</v>
      </c>
      <c r="H19" s="47"/>
      <c r="I19" s="116">
        <v>8.3000000000000001E-3</v>
      </c>
      <c r="J19" s="47"/>
      <c r="K19" s="116">
        <v>-2.7199999999999998E-2</v>
      </c>
      <c r="L19" s="47"/>
      <c r="M19" s="47">
        <f t="shared" si="0"/>
        <v>-4397.8795180722891</v>
      </c>
      <c r="N19" s="47"/>
      <c r="O19" s="47">
        <f t="shared" si="1"/>
        <v>-5739.8795180722891</v>
      </c>
      <c r="Q19" s="1" t="s">
        <v>375</v>
      </c>
      <c r="R19" s="1"/>
      <c r="S19" s="117">
        <f>506/1342</f>
        <v>0.37704918032786883</v>
      </c>
      <c r="U19" s="47">
        <f t="shared" si="2"/>
        <v>-2164.2168674698792</v>
      </c>
    </row>
    <row r="20" spans="1:24" x14ac:dyDescent="0.25">
      <c r="A20">
        <v>8</v>
      </c>
      <c r="C20" t="s">
        <v>390</v>
      </c>
      <c r="E20" s="1">
        <v>597</v>
      </c>
      <c r="G20" s="47">
        <v>104</v>
      </c>
      <c r="H20" s="47"/>
      <c r="I20" s="116">
        <v>8.3000000000000001E-3</v>
      </c>
      <c r="J20" s="47"/>
      <c r="K20" s="116">
        <v>-2.7199999999999998E-2</v>
      </c>
      <c r="L20" s="47"/>
      <c r="M20" s="47">
        <f t="shared" si="0"/>
        <v>-340.81927710843371</v>
      </c>
      <c r="N20" s="47"/>
      <c r="O20" s="47">
        <f t="shared" si="1"/>
        <v>-444.81927710843371</v>
      </c>
      <c r="Q20" s="1" t="s">
        <v>391</v>
      </c>
      <c r="R20" s="1"/>
      <c r="S20" s="117">
        <v>0.48487999999999998</v>
      </c>
      <c r="U20" s="47">
        <f t="shared" si="2"/>
        <v>-215.68397108433732</v>
      </c>
    </row>
    <row r="21" spans="1:24" x14ac:dyDescent="0.25">
      <c r="A21">
        <v>9</v>
      </c>
      <c r="C21" t="s">
        <v>390</v>
      </c>
      <c r="E21" s="1">
        <v>598</v>
      </c>
      <c r="G21" s="47">
        <v>16076</v>
      </c>
      <c r="H21" s="47"/>
      <c r="I21" s="116">
        <v>8.3000000000000001E-3</v>
      </c>
      <c r="J21" s="47"/>
      <c r="K21" s="116">
        <v>-2.7199999999999998E-2</v>
      </c>
      <c r="L21" s="47"/>
      <c r="M21" s="47">
        <f t="shared" si="0"/>
        <v>-52682.795180722889</v>
      </c>
      <c r="N21" s="47"/>
      <c r="O21" s="47">
        <f t="shared" si="1"/>
        <v>-68758.795180722896</v>
      </c>
      <c r="Q21" s="1" t="s">
        <v>375</v>
      </c>
      <c r="R21" s="1"/>
      <c r="S21" s="117">
        <f>5343/16076</f>
        <v>0.33235879572032845</v>
      </c>
      <c r="U21" s="47">
        <f t="shared" si="2"/>
        <v>-22852.590361445786</v>
      </c>
    </row>
    <row r="22" spans="1:24" x14ac:dyDescent="0.25">
      <c r="A22">
        <v>10</v>
      </c>
      <c r="C22" t="s">
        <v>390</v>
      </c>
      <c r="E22" s="1">
        <v>598</v>
      </c>
      <c r="G22" s="47">
        <v>25350</v>
      </c>
      <c r="H22" s="47"/>
      <c r="I22" s="116">
        <v>8.3000000000000001E-3</v>
      </c>
      <c r="J22" s="47"/>
      <c r="K22" s="116">
        <v>-2.7199999999999998E-2</v>
      </c>
      <c r="L22" s="47"/>
      <c r="M22" s="47">
        <f t="shared" si="0"/>
        <v>-83074.69879518071</v>
      </c>
      <c r="N22" s="47"/>
      <c r="O22" s="47">
        <f t="shared" si="1"/>
        <v>-108424.69879518071</v>
      </c>
      <c r="Q22" s="1" t="s">
        <v>391</v>
      </c>
      <c r="R22" s="1"/>
      <c r="S22" s="117">
        <v>0.48487999999999998</v>
      </c>
      <c r="U22" s="47">
        <f t="shared" si="2"/>
        <v>-52572.967951807223</v>
      </c>
    </row>
    <row r="23" spans="1:24" x14ac:dyDescent="0.25">
      <c r="A23">
        <v>11</v>
      </c>
      <c r="C23" t="s">
        <v>393</v>
      </c>
      <c r="E23" s="1">
        <v>901</v>
      </c>
      <c r="G23" s="47">
        <v>17502</v>
      </c>
      <c r="H23" s="47"/>
      <c r="I23" s="116">
        <v>3.0599999999999999E-2</v>
      </c>
      <c r="J23" s="47"/>
      <c r="K23" s="116">
        <v>6.4000000000000003E-3</v>
      </c>
      <c r="L23" s="47"/>
      <c r="M23" s="47">
        <f t="shared" si="0"/>
        <v>3660.5490196078435</v>
      </c>
      <c r="N23" s="47"/>
      <c r="O23" s="47">
        <f t="shared" si="1"/>
        <v>-13841.450980392157</v>
      </c>
      <c r="Q23" s="1" t="s">
        <v>396</v>
      </c>
      <c r="R23" s="1"/>
      <c r="S23" s="117">
        <v>0.47809000000000001</v>
      </c>
      <c r="U23" s="47">
        <f t="shared" si="2"/>
        <v>-6617.4592992156868</v>
      </c>
    </row>
    <row r="24" spans="1:24" x14ac:dyDescent="0.25">
      <c r="A24">
        <v>12</v>
      </c>
      <c r="C24" t="s">
        <v>393</v>
      </c>
      <c r="E24" s="1">
        <v>902</v>
      </c>
      <c r="G24" s="47">
        <v>118728</v>
      </c>
      <c r="H24" s="47"/>
      <c r="I24" s="116">
        <v>3.0599999999999999E-2</v>
      </c>
      <c r="J24" s="47"/>
      <c r="K24" s="116">
        <v>6.4000000000000003E-3</v>
      </c>
      <c r="L24" s="47"/>
      <c r="M24" s="47">
        <f t="shared" si="0"/>
        <v>24832</v>
      </c>
      <c r="N24" s="47"/>
      <c r="O24" s="47">
        <f t="shared" si="1"/>
        <v>-93896</v>
      </c>
      <c r="Q24" s="1" t="s">
        <v>375</v>
      </c>
      <c r="R24" s="1"/>
      <c r="S24" s="117">
        <f>35866/118728</f>
        <v>0.30208543898659118</v>
      </c>
      <c r="U24" s="47">
        <f t="shared" si="2"/>
        <v>-28364.614379084967</v>
      </c>
    </row>
    <row r="25" spans="1:24" x14ac:dyDescent="0.25">
      <c r="A25">
        <v>13</v>
      </c>
      <c r="C25" t="s">
        <v>393</v>
      </c>
      <c r="E25" s="1">
        <v>902</v>
      </c>
      <c r="G25" s="47">
        <v>5876</v>
      </c>
      <c r="H25" s="47"/>
      <c r="I25" s="116">
        <v>3.0599999999999999E-2</v>
      </c>
      <c r="J25" s="47"/>
      <c r="K25" s="116">
        <v>6.4000000000000003E-3</v>
      </c>
      <c r="L25" s="47"/>
      <c r="M25" s="47">
        <f t="shared" si="0"/>
        <v>1228.9673202614381</v>
      </c>
      <c r="N25" s="47"/>
      <c r="O25" s="47">
        <f t="shared" si="1"/>
        <v>-4647.0326797385624</v>
      </c>
      <c r="Q25" s="1" t="s">
        <v>396</v>
      </c>
      <c r="R25" s="1"/>
      <c r="S25" s="117">
        <v>0.47809000000000001</v>
      </c>
      <c r="U25" s="47">
        <f t="shared" si="2"/>
        <v>-2221.6998538562093</v>
      </c>
    </row>
    <row r="26" spans="1:24" x14ac:dyDescent="0.25">
      <c r="A26">
        <v>14</v>
      </c>
      <c r="C26" t="s">
        <v>393</v>
      </c>
      <c r="E26" s="1">
        <v>903</v>
      </c>
      <c r="G26" s="47">
        <v>56751</v>
      </c>
      <c r="H26" s="47"/>
      <c r="I26" s="116">
        <v>3.0599999999999999E-2</v>
      </c>
      <c r="J26" s="47"/>
      <c r="K26" s="116">
        <v>6.4000000000000003E-3</v>
      </c>
      <c r="L26" s="47"/>
      <c r="M26" s="47">
        <f t="shared" si="0"/>
        <v>11869.490196078432</v>
      </c>
      <c r="N26" s="47"/>
      <c r="O26" s="47">
        <f t="shared" si="1"/>
        <v>-44881.509803921566</v>
      </c>
      <c r="Q26" s="1" t="s">
        <v>375</v>
      </c>
      <c r="R26" s="1"/>
      <c r="S26" s="117">
        <f>23195/56751</f>
        <v>0.40871526492925236</v>
      </c>
      <c r="U26" s="47">
        <f t="shared" si="2"/>
        <v>-18343.758169934641</v>
      </c>
    </row>
    <row r="27" spans="1:24" x14ac:dyDescent="0.25">
      <c r="A27">
        <v>15</v>
      </c>
      <c r="C27" t="s">
        <v>393</v>
      </c>
      <c r="E27" s="1">
        <v>903</v>
      </c>
      <c r="G27" s="47">
        <v>464044</v>
      </c>
      <c r="H27" s="47"/>
      <c r="I27" s="116">
        <v>3.0599999999999999E-2</v>
      </c>
      <c r="J27" s="47"/>
      <c r="K27" s="116">
        <v>6.4000000000000003E-3</v>
      </c>
      <c r="L27" s="47"/>
      <c r="M27" s="47">
        <f t="shared" si="0"/>
        <v>97054.954248366033</v>
      </c>
      <c r="N27" s="47"/>
      <c r="O27" s="47">
        <f t="shared" si="1"/>
        <v>-366989.04575163394</v>
      </c>
      <c r="Q27" s="1" t="s">
        <v>396</v>
      </c>
      <c r="R27" s="1"/>
      <c r="S27" s="117">
        <v>0.47809000000000001</v>
      </c>
      <c r="U27" s="47">
        <f t="shared" si="2"/>
        <v>-175453.79288339868</v>
      </c>
    </row>
    <row r="28" spans="1:24" x14ac:dyDescent="0.25">
      <c r="A28">
        <v>16</v>
      </c>
      <c r="C28" t="s">
        <v>393</v>
      </c>
      <c r="E28" s="1">
        <v>904</v>
      </c>
      <c r="G28" s="47">
        <v>370151</v>
      </c>
      <c r="H28" s="47"/>
      <c r="I28" s="116">
        <v>3.0599999999999999E-2</v>
      </c>
      <c r="J28" s="47"/>
      <c r="K28" s="116">
        <v>6.4000000000000003E-3</v>
      </c>
      <c r="L28" s="47"/>
      <c r="M28" s="47">
        <f t="shared" si="0"/>
        <v>77417.202614379086</v>
      </c>
      <c r="N28" s="47"/>
      <c r="O28" s="47">
        <f t="shared" si="1"/>
        <v>-292733.79738562088</v>
      </c>
      <c r="Q28" s="1" t="s">
        <v>375</v>
      </c>
      <c r="R28" s="1"/>
      <c r="S28" s="117">
        <f>118538/370151</f>
        <v>0.32024227950214912</v>
      </c>
      <c r="U28" s="47">
        <f t="shared" si="2"/>
        <v>-93745.738562091487</v>
      </c>
      <c r="X28" s="63"/>
    </row>
    <row r="29" spans="1:24" x14ac:dyDescent="0.25">
      <c r="A29">
        <v>17</v>
      </c>
      <c r="C29" t="s">
        <v>393</v>
      </c>
      <c r="E29" s="1">
        <v>904</v>
      </c>
      <c r="G29" s="47">
        <v>30284</v>
      </c>
      <c r="H29" s="47"/>
      <c r="I29" s="116">
        <v>3.0599999999999999E-2</v>
      </c>
      <c r="J29" s="47"/>
      <c r="K29" s="116">
        <v>6.4000000000000003E-3</v>
      </c>
      <c r="L29" s="47"/>
      <c r="M29" s="47">
        <f t="shared" si="0"/>
        <v>6333.9084967320268</v>
      </c>
      <c r="N29" s="47"/>
      <c r="O29" s="47">
        <f t="shared" si="1"/>
        <v>-23950.091503267973</v>
      </c>
      <c r="Q29" s="1" t="s">
        <v>396</v>
      </c>
      <c r="R29" s="1"/>
      <c r="S29" s="117">
        <v>0.47809000000000001</v>
      </c>
      <c r="U29" s="47">
        <f t="shared" si="2"/>
        <v>-11450.299246797385</v>
      </c>
    </row>
    <row r="30" spans="1:24" x14ac:dyDescent="0.25">
      <c r="A30">
        <v>18</v>
      </c>
      <c r="C30" t="s">
        <v>393</v>
      </c>
      <c r="E30" s="1">
        <v>905</v>
      </c>
      <c r="G30" s="47">
        <v>10110</v>
      </c>
      <c r="H30" s="47"/>
      <c r="I30" s="116">
        <v>3.0599999999999999E-2</v>
      </c>
      <c r="J30" s="47"/>
      <c r="K30" s="116">
        <v>6.4000000000000003E-3</v>
      </c>
      <c r="L30" s="47"/>
      <c r="M30" s="47">
        <f t="shared" si="0"/>
        <v>2114.5098039215691</v>
      </c>
      <c r="N30" s="47"/>
      <c r="O30" s="47">
        <f t="shared" si="1"/>
        <v>-7995.4901960784309</v>
      </c>
      <c r="Q30" s="1" t="s">
        <v>375</v>
      </c>
      <c r="R30" s="1"/>
      <c r="S30" s="118">
        <v>1</v>
      </c>
      <c r="U30" s="47">
        <f t="shared" si="2"/>
        <v>-7995.4901960784309</v>
      </c>
    </row>
    <row r="31" spans="1:24" x14ac:dyDescent="0.25">
      <c r="A31">
        <v>19</v>
      </c>
      <c r="C31" t="s">
        <v>393</v>
      </c>
      <c r="E31" s="1">
        <v>905</v>
      </c>
      <c r="G31" s="47">
        <v>550</v>
      </c>
      <c r="H31" s="47"/>
      <c r="I31" s="116">
        <v>3.0599999999999999E-2</v>
      </c>
      <c r="J31" s="47"/>
      <c r="K31" s="116">
        <v>6.4000000000000003E-3</v>
      </c>
      <c r="L31" s="47"/>
      <c r="M31" s="47">
        <f t="shared" si="0"/>
        <v>115.03267973856209</v>
      </c>
      <c r="N31" s="47"/>
      <c r="O31" s="47">
        <f t="shared" si="1"/>
        <v>-434.96732026143792</v>
      </c>
      <c r="Q31" s="1" t="s">
        <v>396</v>
      </c>
      <c r="R31" s="1"/>
      <c r="S31" s="117">
        <v>0.47809000000000001</v>
      </c>
      <c r="U31" s="47">
        <f t="shared" si="2"/>
        <v>-207.95352614379087</v>
      </c>
    </row>
    <row r="32" spans="1:24" x14ac:dyDescent="0.25">
      <c r="A32">
        <v>20</v>
      </c>
      <c r="C32" t="s">
        <v>394</v>
      </c>
      <c r="E32" s="1">
        <v>907</v>
      </c>
      <c r="G32" s="47">
        <v>310</v>
      </c>
      <c r="H32" s="47"/>
      <c r="I32" s="116">
        <v>2.01E-2</v>
      </c>
      <c r="J32" s="47"/>
      <c r="K32" s="116">
        <v>-9.1999999999999998E-3</v>
      </c>
      <c r="L32" s="47"/>
      <c r="M32" s="47">
        <f t="shared" si="0"/>
        <v>-141.89054726368158</v>
      </c>
      <c r="N32" s="47"/>
      <c r="O32" s="47">
        <f t="shared" si="1"/>
        <v>-451.89054726368158</v>
      </c>
      <c r="Q32" s="1" t="s">
        <v>396</v>
      </c>
      <c r="R32" s="1"/>
      <c r="S32" s="117">
        <v>0.47809000000000001</v>
      </c>
      <c r="U32" s="47">
        <f t="shared" si="2"/>
        <v>-216.04435174129353</v>
      </c>
    </row>
    <row r="33" spans="1:21" x14ac:dyDescent="0.25">
      <c r="A33">
        <v>21</v>
      </c>
      <c r="C33" t="s">
        <v>394</v>
      </c>
      <c r="E33" s="1">
        <v>908</v>
      </c>
      <c r="G33" s="47">
        <v>14068</v>
      </c>
      <c r="H33" s="47"/>
      <c r="I33" s="116">
        <v>2.01E-2</v>
      </c>
      <c r="J33" s="47"/>
      <c r="K33" s="116">
        <v>-9.1999999999999998E-3</v>
      </c>
      <c r="L33" s="47"/>
      <c r="M33" s="47">
        <f t="shared" si="0"/>
        <v>-6439.0845771144286</v>
      </c>
      <c r="N33" s="47"/>
      <c r="O33" s="47">
        <f t="shared" si="1"/>
        <v>-20507.08457711443</v>
      </c>
      <c r="Q33" s="1" t="s">
        <v>375</v>
      </c>
      <c r="R33" s="1"/>
      <c r="S33" s="117">
        <f>4793/14068</f>
        <v>0.34070230309923227</v>
      </c>
      <c r="U33" s="47">
        <f t="shared" si="2"/>
        <v>-6986.8109452736326</v>
      </c>
    </row>
    <row r="34" spans="1:21" x14ac:dyDescent="0.25">
      <c r="A34">
        <v>22</v>
      </c>
      <c r="C34" t="s">
        <v>394</v>
      </c>
      <c r="E34" s="1">
        <v>908</v>
      </c>
      <c r="G34" s="47">
        <v>12176</v>
      </c>
      <c r="H34" s="47"/>
      <c r="I34" s="116">
        <v>2.01E-2</v>
      </c>
      <c r="J34" s="47"/>
      <c r="K34" s="116">
        <v>-9.1999999999999998E-3</v>
      </c>
      <c r="L34" s="47"/>
      <c r="M34" s="47">
        <f t="shared" si="0"/>
        <v>-5573.0945273631842</v>
      </c>
      <c r="N34" s="47"/>
      <c r="O34" s="47">
        <f t="shared" si="1"/>
        <v>-17749.094527363184</v>
      </c>
      <c r="Q34" s="1" t="s">
        <v>396</v>
      </c>
      <c r="R34" s="1"/>
      <c r="S34" s="117">
        <v>0.47809000000000001</v>
      </c>
      <c r="U34" s="47">
        <f t="shared" si="2"/>
        <v>-8485.664602587065</v>
      </c>
    </row>
    <row r="35" spans="1:21" x14ac:dyDescent="0.25">
      <c r="A35">
        <v>23</v>
      </c>
      <c r="C35" t="s">
        <v>394</v>
      </c>
      <c r="E35" s="1">
        <v>909</v>
      </c>
      <c r="G35" s="47">
        <v>69273</v>
      </c>
      <c r="H35" s="47"/>
      <c r="I35" s="116">
        <v>2.01E-2</v>
      </c>
      <c r="J35" s="47"/>
      <c r="K35" s="116">
        <v>-9.1999999999999998E-3</v>
      </c>
      <c r="L35" s="47"/>
      <c r="M35" s="47">
        <f t="shared" si="0"/>
        <v>-31707.044776119405</v>
      </c>
      <c r="N35" s="47"/>
      <c r="O35" s="47">
        <f t="shared" si="1"/>
        <v>-100980.04477611941</v>
      </c>
      <c r="Q35" s="1" t="s">
        <v>375</v>
      </c>
      <c r="R35" s="1"/>
      <c r="S35" s="117">
        <f>24075/69273</f>
        <v>0.3475380018188905</v>
      </c>
      <c r="U35" s="47">
        <f t="shared" si="2"/>
        <v>-35094.40298507463</v>
      </c>
    </row>
    <row r="36" spans="1:21" x14ac:dyDescent="0.25">
      <c r="A36">
        <v>24</v>
      </c>
      <c r="C36" t="s">
        <v>394</v>
      </c>
      <c r="E36" s="1">
        <v>909</v>
      </c>
      <c r="G36" s="47">
        <v>27859</v>
      </c>
      <c r="H36" s="47"/>
      <c r="I36" s="116">
        <v>2.01E-2</v>
      </c>
      <c r="J36" s="47"/>
      <c r="K36" s="116">
        <v>-9.1999999999999998E-3</v>
      </c>
      <c r="L36" s="47"/>
      <c r="M36" s="47">
        <f t="shared" si="0"/>
        <v>-12751.383084577114</v>
      </c>
      <c r="N36" s="47"/>
      <c r="O36" s="47">
        <f t="shared" si="1"/>
        <v>-40610.383084577115</v>
      </c>
      <c r="Q36" s="1" t="s">
        <v>396</v>
      </c>
      <c r="R36" s="1"/>
      <c r="S36" s="117">
        <v>0.47809000000000001</v>
      </c>
      <c r="U36" s="47">
        <f t="shared" si="2"/>
        <v>-19415.418048905474</v>
      </c>
    </row>
    <row r="37" spans="1:21" x14ac:dyDescent="0.25">
      <c r="A37">
        <v>25</v>
      </c>
      <c r="C37" t="s">
        <v>394</v>
      </c>
      <c r="E37" s="1">
        <v>910</v>
      </c>
      <c r="G37" s="47">
        <v>85</v>
      </c>
      <c r="H37" s="47"/>
      <c r="I37" s="116">
        <v>2.01E-2</v>
      </c>
      <c r="J37" s="47"/>
      <c r="K37" s="116">
        <v>-9.1999999999999998E-3</v>
      </c>
      <c r="L37" s="47"/>
      <c r="M37" s="47">
        <f t="shared" si="0"/>
        <v>-38.905472636815922</v>
      </c>
      <c r="N37" s="47"/>
      <c r="O37" s="47">
        <f t="shared" si="1"/>
        <v>-123.90547263681592</v>
      </c>
      <c r="Q37" s="1" t="s">
        <v>396</v>
      </c>
      <c r="R37" s="1"/>
      <c r="S37" s="117">
        <v>0.47809000000000001</v>
      </c>
      <c r="U37" s="47">
        <f t="shared" si="2"/>
        <v>-59.237967412935326</v>
      </c>
    </row>
    <row r="38" spans="1:21" x14ac:dyDescent="0.25">
      <c r="A38">
        <v>26</v>
      </c>
      <c r="C38" t="s">
        <v>395</v>
      </c>
      <c r="E38" s="1">
        <v>920</v>
      </c>
      <c r="G38" s="47">
        <v>88437</v>
      </c>
      <c r="H38" s="47"/>
      <c r="I38" s="116">
        <v>4.7800000000000002E-2</v>
      </c>
      <c r="J38" s="47"/>
      <c r="K38" s="116">
        <v>3.5400000000000001E-2</v>
      </c>
      <c r="L38" s="47"/>
      <c r="M38" s="47">
        <f t="shared" si="0"/>
        <v>65495.184100418403</v>
      </c>
      <c r="N38" s="47"/>
      <c r="O38" s="47">
        <f t="shared" si="1"/>
        <v>-22941.815899581597</v>
      </c>
      <c r="Q38" s="1" t="s">
        <v>231</v>
      </c>
      <c r="R38" s="1"/>
      <c r="S38" s="117">
        <v>0.43695000000000001</v>
      </c>
      <c r="U38" s="47">
        <f t="shared" si="2"/>
        <v>-10024.426457322179</v>
      </c>
    </row>
    <row r="39" spans="1:21" x14ac:dyDescent="0.25">
      <c r="A39">
        <v>27</v>
      </c>
      <c r="C39" t="s">
        <v>395</v>
      </c>
      <c r="E39" s="1">
        <v>921</v>
      </c>
      <c r="G39" s="47">
        <v>2228</v>
      </c>
      <c r="H39" s="47"/>
      <c r="I39" s="116">
        <v>2.5600000000000001E-2</v>
      </c>
      <c r="J39" s="47"/>
      <c r="K39" s="116">
        <v>1.26E-2</v>
      </c>
      <c r="L39" s="47"/>
      <c r="M39" s="47">
        <f t="shared" si="0"/>
        <v>1096.59375</v>
      </c>
      <c r="N39" s="47"/>
      <c r="O39" s="47">
        <f t="shared" si="1"/>
        <v>-1131.40625</v>
      </c>
      <c r="Q39" s="1" t="s">
        <v>396</v>
      </c>
      <c r="R39" s="1"/>
      <c r="S39" s="117">
        <v>0.47809000000000001</v>
      </c>
      <c r="U39" s="47">
        <f t="shared" si="2"/>
        <v>-540.91401406249997</v>
      </c>
    </row>
    <row r="40" spans="1:21" x14ac:dyDescent="0.25">
      <c r="A40">
        <v>28</v>
      </c>
      <c r="C40" t="s">
        <v>395</v>
      </c>
      <c r="E40" s="1">
        <v>921</v>
      </c>
      <c r="G40" s="47">
        <v>6489</v>
      </c>
      <c r="H40" s="47"/>
      <c r="I40" s="116">
        <v>2.5600000000000001E-2</v>
      </c>
      <c r="J40" s="47"/>
      <c r="K40" s="116">
        <v>1.26E-2</v>
      </c>
      <c r="L40" s="47"/>
      <c r="M40" s="47">
        <f t="shared" si="0"/>
        <v>3193.8046875</v>
      </c>
      <c r="N40" s="47"/>
      <c r="O40" s="47">
        <f t="shared" si="1"/>
        <v>-3295.1953125</v>
      </c>
      <c r="Q40" s="1" t="s">
        <v>375</v>
      </c>
      <c r="R40" s="1"/>
      <c r="S40" s="117">
        <f>3169/6489</f>
        <v>0.48836492525812913</v>
      </c>
      <c r="U40" s="47">
        <f t="shared" si="2"/>
        <v>-1609.2578125</v>
      </c>
    </row>
    <row r="41" spans="1:21" x14ac:dyDescent="0.25">
      <c r="A41">
        <v>29</v>
      </c>
      <c r="C41" t="s">
        <v>395</v>
      </c>
      <c r="E41" s="1">
        <v>921</v>
      </c>
      <c r="G41" s="47">
        <v>212226</v>
      </c>
      <c r="H41" s="47"/>
      <c r="I41" s="116">
        <v>2.5600000000000001E-2</v>
      </c>
      <c r="J41" s="47"/>
      <c r="K41" s="116">
        <v>1.26E-2</v>
      </c>
      <c r="L41" s="47"/>
      <c r="M41" s="47">
        <f t="shared" si="0"/>
        <v>104454.984375</v>
      </c>
      <c r="N41" s="47"/>
      <c r="O41" s="47">
        <f t="shared" si="1"/>
        <v>-107771.015625</v>
      </c>
      <c r="Q41" s="1" t="s">
        <v>231</v>
      </c>
      <c r="R41" s="1"/>
      <c r="S41" s="117">
        <v>0.43695000000000001</v>
      </c>
      <c r="U41" s="47">
        <f t="shared" si="2"/>
        <v>-47090.54527734375</v>
      </c>
    </row>
    <row r="42" spans="1:21" x14ac:dyDescent="0.25">
      <c r="A42">
        <v>30</v>
      </c>
      <c r="C42" t="s">
        <v>395</v>
      </c>
      <c r="E42" s="1">
        <v>922</v>
      </c>
      <c r="G42" s="47">
        <v>-574091</v>
      </c>
      <c r="H42" s="47"/>
      <c r="I42" s="116">
        <v>4.7800000000000002E-2</v>
      </c>
      <c r="J42" s="47"/>
      <c r="K42" s="116">
        <v>3.5400000000000001E-2</v>
      </c>
      <c r="L42" s="47"/>
      <c r="M42" s="47">
        <f t="shared" si="0"/>
        <v>-425163.62761506275</v>
      </c>
      <c r="N42" s="47"/>
      <c r="O42" s="47">
        <f t="shared" si="1"/>
        <v>148927.37238493725</v>
      </c>
      <c r="Q42" s="1" t="s">
        <v>231</v>
      </c>
      <c r="R42" s="1"/>
      <c r="S42" s="117">
        <v>0.43695000000000001</v>
      </c>
      <c r="U42" s="47">
        <f t="shared" si="2"/>
        <v>65073.815363598333</v>
      </c>
    </row>
    <row r="43" spans="1:21" x14ac:dyDescent="0.25">
      <c r="A43">
        <v>31</v>
      </c>
      <c r="C43" t="s">
        <v>395</v>
      </c>
      <c r="E43" s="1">
        <v>923</v>
      </c>
      <c r="G43" s="47">
        <v>60385</v>
      </c>
      <c r="H43" s="47"/>
      <c r="I43" s="116">
        <v>3.61E-2</v>
      </c>
      <c r="J43" s="47"/>
      <c r="K43" s="116">
        <v>2.1600000000000001E-2</v>
      </c>
      <c r="L43" s="47"/>
      <c r="M43" s="47">
        <f t="shared" si="0"/>
        <v>36130.637119113577</v>
      </c>
      <c r="N43" s="47"/>
      <c r="O43" s="47">
        <f t="shared" si="1"/>
        <v>-24254.362880886423</v>
      </c>
      <c r="Q43" s="1" t="s">
        <v>375</v>
      </c>
      <c r="R43" s="1"/>
      <c r="S43" s="117">
        <f>45444/60385</f>
        <v>0.75257100273246669</v>
      </c>
      <c r="U43" s="47">
        <f t="shared" si="2"/>
        <v>-18253.130193905814</v>
      </c>
    </row>
    <row r="44" spans="1:21" x14ac:dyDescent="0.25">
      <c r="A44">
        <v>32</v>
      </c>
      <c r="C44" t="s">
        <v>395</v>
      </c>
      <c r="E44" s="1">
        <v>923</v>
      </c>
      <c r="G44" s="47">
        <v>735735</v>
      </c>
      <c r="H44" s="47"/>
      <c r="I44" s="116">
        <v>3.61E-2</v>
      </c>
      <c r="J44" s="47"/>
      <c r="K44" s="116">
        <v>2.1600000000000001E-2</v>
      </c>
      <c r="L44" s="47"/>
      <c r="M44" s="47">
        <f t="shared" si="0"/>
        <v>440218.17174515239</v>
      </c>
      <c r="N44" s="47"/>
      <c r="O44" s="47">
        <f t="shared" si="1"/>
        <v>-295516.82825484761</v>
      </c>
      <c r="Q44" s="1" t="s">
        <v>231</v>
      </c>
      <c r="R44" s="1"/>
      <c r="S44" s="117">
        <v>0.43695000000000001</v>
      </c>
      <c r="U44" s="47">
        <f t="shared" si="2"/>
        <v>-129126.07810595566</v>
      </c>
    </row>
    <row r="45" spans="1:21" x14ac:dyDescent="0.25">
      <c r="A45">
        <v>34</v>
      </c>
      <c r="C45" t="s">
        <v>395</v>
      </c>
      <c r="E45" s="1">
        <v>926</v>
      </c>
      <c r="G45" s="6">
        <v>6786891</v>
      </c>
      <c r="I45" s="116">
        <v>6.6699999999999995E-2</v>
      </c>
      <c r="J45" s="47"/>
      <c r="K45" s="116">
        <v>5.5199999999999999E-2</v>
      </c>
      <c r="L45" s="47"/>
      <c r="M45" s="47">
        <f t="shared" si="0"/>
        <v>5616737.3793103453</v>
      </c>
      <c r="N45" s="47"/>
      <c r="O45" s="48">
        <f t="shared" si="1"/>
        <v>-1170153.6206896547</v>
      </c>
      <c r="Q45" s="1" t="s">
        <v>231</v>
      </c>
      <c r="S45" s="117">
        <v>0.43695000000000001</v>
      </c>
      <c r="U45" s="48">
        <f t="shared" si="2"/>
        <v>-511298.62456034462</v>
      </c>
    </row>
    <row r="46" spans="1:21" ht="3.75" customHeight="1" x14ac:dyDescent="0.25">
      <c r="E46" s="1"/>
      <c r="G46" s="6"/>
      <c r="I46" s="116"/>
      <c r="J46" s="47"/>
      <c r="K46" s="116"/>
      <c r="L46" s="47"/>
      <c r="M46" s="47"/>
      <c r="N46" s="47"/>
      <c r="O46" s="47"/>
      <c r="Q46" s="1"/>
      <c r="S46" s="117"/>
      <c r="U46" s="47"/>
    </row>
    <row r="47" spans="1:21" ht="16.5" thickBot="1" x14ac:dyDescent="0.3">
      <c r="C47" t="s">
        <v>392</v>
      </c>
      <c r="G47" s="6"/>
      <c r="M47" s="6"/>
      <c r="O47" s="6">
        <f>SUM(O13:O45)</f>
        <v>-4216990.1671576193</v>
      </c>
      <c r="U47" s="14">
        <f>SUM(U13:U45)</f>
        <v>-1698241.9668609747</v>
      </c>
    </row>
    <row r="48" spans="1:21" ht="16.5" thickTop="1" x14ac:dyDescent="0.25">
      <c r="A48">
        <v>38</v>
      </c>
    </row>
  </sheetData>
  <pageMargins left="0.7" right="0.7" top="0.75" bottom="0.75" header="0.3" footer="0.3"/>
  <pageSetup scale="68" orientation="portrait" horizontalDpi="0" verticalDpi="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7"/>
  <sheetViews>
    <sheetView topLeftCell="A19" workbookViewId="0">
      <selection activeCell="C48" sqref="C48"/>
    </sheetView>
  </sheetViews>
  <sheetFormatPr defaultRowHeight="15.75" x14ac:dyDescent="0.25"/>
  <cols>
    <col min="1" max="1" width="4.625" customWidth="1"/>
    <col min="2" max="2" width="1.625" customWidth="1"/>
    <col min="3" max="3" width="17.375" customWidth="1"/>
    <col min="4" max="4" width="1.625" customWidth="1"/>
    <col min="5" max="5" width="6.625" customWidth="1"/>
    <col min="6" max="6" width="1" customWidth="1"/>
    <col min="7" max="7" width="11.375" customWidth="1"/>
    <col min="8" max="8" width="0.75" customWidth="1"/>
    <col min="9" max="9" width="9.375" customWidth="1"/>
    <col min="10" max="10" width="1" customWidth="1"/>
    <col min="11" max="11" width="9.75" customWidth="1"/>
    <col min="12" max="12" width="0.625" customWidth="1"/>
    <col min="13" max="13" width="11.875" customWidth="1"/>
    <col min="14" max="14" width="0.75" customWidth="1"/>
    <col min="15" max="15" width="12.5" customWidth="1"/>
    <col min="16" max="16" width="0.875" customWidth="1"/>
    <col min="17" max="17" width="6.875" customWidth="1"/>
    <col min="18" max="18" width="1" customWidth="1"/>
    <col min="19" max="19" width="8" customWidth="1"/>
    <col min="20" max="20" width="1" customWidth="1"/>
    <col min="21" max="21" width="11.75" customWidth="1"/>
  </cols>
  <sheetData>
    <row r="1" spans="1:21" x14ac:dyDescent="0.25">
      <c r="A1" s="7" t="s">
        <v>15</v>
      </c>
      <c r="B1" s="7"/>
      <c r="C1" s="7"/>
      <c r="D1" s="7"/>
      <c r="E1" s="7"/>
      <c r="F1" s="7"/>
      <c r="G1" s="7"/>
      <c r="H1" s="7"/>
      <c r="I1" s="7"/>
      <c r="J1" s="7"/>
      <c r="K1" s="7"/>
      <c r="L1" s="7"/>
      <c r="M1" s="7"/>
      <c r="N1" s="7"/>
      <c r="O1" s="7"/>
      <c r="P1" s="7"/>
      <c r="Q1" s="7" t="s">
        <v>230</v>
      </c>
      <c r="R1" s="7"/>
      <c r="S1" s="7"/>
      <c r="T1" s="7"/>
      <c r="U1" s="7"/>
    </row>
    <row r="2" spans="1:21" x14ac:dyDescent="0.25">
      <c r="A2" s="17" t="s">
        <v>13</v>
      </c>
      <c r="B2" s="7"/>
      <c r="C2" s="7"/>
      <c r="D2" s="7"/>
      <c r="E2" s="7"/>
      <c r="F2" s="7"/>
      <c r="G2" s="7"/>
      <c r="H2" s="7"/>
      <c r="I2" s="7"/>
      <c r="J2" s="7"/>
      <c r="K2" s="7"/>
      <c r="L2" s="7"/>
      <c r="M2" s="7"/>
      <c r="N2" s="7"/>
      <c r="O2" s="7"/>
      <c r="P2" s="7"/>
      <c r="Q2" t="s">
        <v>335</v>
      </c>
      <c r="R2" s="7"/>
      <c r="S2" s="7"/>
      <c r="T2" s="7"/>
      <c r="U2" s="7"/>
    </row>
    <row r="3" spans="1:21" x14ac:dyDescent="0.25">
      <c r="A3" s="5" t="s">
        <v>380</v>
      </c>
      <c r="B3" s="7"/>
      <c r="C3" s="7"/>
      <c r="D3" s="7"/>
      <c r="E3" s="7"/>
      <c r="F3" s="7"/>
      <c r="G3" s="7"/>
      <c r="H3" s="7"/>
      <c r="I3" s="7"/>
      <c r="J3" s="7"/>
      <c r="K3" s="7"/>
      <c r="L3" s="7"/>
      <c r="M3" s="7"/>
      <c r="N3" s="7"/>
      <c r="O3" s="7"/>
      <c r="P3" s="7"/>
      <c r="Q3" t="s">
        <v>585</v>
      </c>
      <c r="R3" s="7"/>
      <c r="S3" s="7"/>
      <c r="T3" s="7"/>
      <c r="U3" s="7"/>
    </row>
    <row r="4" spans="1:21" x14ac:dyDescent="0.25">
      <c r="A4" t="s">
        <v>334</v>
      </c>
      <c r="B4" s="7"/>
      <c r="C4" s="7"/>
      <c r="D4" s="7"/>
      <c r="E4" s="7"/>
      <c r="F4" s="7"/>
      <c r="G4" s="7"/>
      <c r="H4" s="7"/>
      <c r="I4" s="7"/>
      <c r="J4" s="7"/>
      <c r="K4" s="7"/>
      <c r="L4" s="7"/>
      <c r="M4" s="7"/>
      <c r="N4" s="7"/>
      <c r="O4" s="7"/>
      <c r="P4" s="7"/>
      <c r="Q4" s="5" t="s">
        <v>320</v>
      </c>
      <c r="R4" s="7"/>
      <c r="S4" s="9"/>
      <c r="T4" s="7"/>
      <c r="U4" s="7"/>
    </row>
    <row r="5" spans="1:21" x14ac:dyDescent="0.25">
      <c r="B5" s="7"/>
      <c r="C5" s="7"/>
      <c r="D5" s="7"/>
      <c r="E5" s="7"/>
      <c r="F5" s="7"/>
      <c r="G5" s="7"/>
      <c r="H5" s="7"/>
      <c r="I5" s="7"/>
      <c r="J5" s="7"/>
      <c r="K5" s="7"/>
      <c r="L5" s="7"/>
      <c r="M5" s="7"/>
      <c r="N5" s="7"/>
      <c r="O5" s="7"/>
      <c r="P5" s="7"/>
      <c r="Q5" s="70" t="s">
        <v>608</v>
      </c>
      <c r="R5" s="7"/>
      <c r="S5" s="7"/>
      <c r="T5" s="7"/>
      <c r="U5" s="7"/>
    </row>
    <row r="6" spans="1:21" x14ac:dyDescent="0.25">
      <c r="A6" s="7"/>
      <c r="B6" s="7"/>
      <c r="C6" s="7"/>
      <c r="D6" s="16"/>
      <c r="E6" s="7"/>
      <c r="F6" s="7"/>
      <c r="G6" s="7"/>
      <c r="H6" s="7"/>
      <c r="I6" s="7"/>
      <c r="J6" s="7"/>
      <c r="K6" s="7"/>
      <c r="L6" s="7"/>
      <c r="M6" s="7"/>
      <c r="N6" s="7"/>
      <c r="O6" s="7"/>
      <c r="P6" s="7"/>
      <c r="Q6" s="7"/>
      <c r="R6" s="7"/>
      <c r="S6" s="7"/>
      <c r="T6" s="7"/>
      <c r="U6" s="24"/>
    </row>
    <row r="7" spans="1:21" x14ac:dyDescent="0.25">
      <c r="A7" s="7"/>
      <c r="B7" s="7"/>
      <c r="C7" s="7"/>
      <c r="D7" s="7"/>
      <c r="E7" s="7"/>
      <c r="F7" s="7"/>
      <c r="G7" s="37"/>
      <c r="H7" s="37"/>
      <c r="I7" s="37"/>
      <c r="J7" s="37"/>
      <c r="K7" s="37"/>
      <c r="L7" s="37"/>
      <c r="M7" s="37"/>
      <c r="N7" s="37"/>
      <c r="O7" s="37"/>
      <c r="P7" s="37"/>
      <c r="Q7" s="37"/>
      <c r="R7" s="37"/>
      <c r="S7" s="37"/>
      <c r="T7" s="38"/>
      <c r="U7" s="24"/>
    </row>
    <row r="8" spans="1:21" x14ac:dyDescent="0.25">
      <c r="A8" s="7"/>
      <c r="B8" s="7"/>
      <c r="C8" s="7"/>
      <c r="D8" s="7"/>
      <c r="E8" s="7"/>
      <c r="F8" s="7"/>
      <c r="G8" s="114" t="s">
        <v>378</v>
      </c>
      <c r="H8" s="38"/>
      <c r="I8" s="114" t="s">
        <v>378</v>
      </c>
      <c r="J8" s="1"/>
      <c r="K8" s="114" t="s">
        <v>379</v>
      </c>
      <c r="L8" s="114"/>
      <c r="M8" s="114" t="s">
        <v>379</v>
      </c>
      <c r="N8" s="114"/>
      <c r="O8" s="114" t="s">
        <v>233</v>
      </c>
      <c r="P8" s="38"/>
      <c r="Q8" s="38"/>
      <c r="R8" s="38"/>
      <c r="S8" s="38"/>
      <c r="T8" s="38"/>
      <c r="U8" s="24"/>
    </row>
    <row r="9" spans="1:21" x14ac:dyDescent="0.25">
      <c r="A9" t="s">
        <v>0</v>
      </c>
      <c r="E9" s="1"/>
      <c r="F9" s="1"/>
      <c r="G9" s="1" t="s">
        <v>357</v>
      </c>
      <c r="H9" s="1"/>
      <c r="I9" s="1" t="s">
        <v>357</v>
      </c>
      <c r="K9" s="1" t="s">
        <v>357</v>
      </c>
      <c r="L9" s="1"/>
      <c r="M9" s="1" t="s">
        <v>357</v>
      </c>
      <c r="N9" s="1"/>
      <c r="O9" s="1" t="s">
        <v>385</v>
      </c>
      <c r="P9" s="1"/>
      <c r="Q9" s="1"/>
      <c r="R9" s="1"/>
      <c r="S9" s="1"/>
      <c r="T9" s="1"/>
      <c r="U9" s="1" t="s">
        <v>9</v>
      </c>
    </row>
    <row r="10" spans="1:21" x14ac:dyDescent="0.25">
      <c r="A10" s="2" t="s">
        <v>3</v>
      </c>
      <c r="C10" s="2" t="s">
        <v>1</v>
      </c>
      <c r="E10" s="10" t="s">
        <v>66</v>
      </c>
      <c r="F10" s="1"/>
      <c r="G10" s="10" t="s">
        <v>233</v>
      </c>
      <c r="H10" s="8"/>
      <c r="I10" s="10" t="s">
        <v>7</v>
      </c>
      <c r="K10" s="10" t="s">
        <v>7</v>
      </c>
      <c r="L10" s="8"/>
      <c r="M10" s="10" t="s">
        <v>233</v>
      </c>
      <c r="N10" s="8"/>
      <c r="O10" s="10" t="s">
        <v>357</v>
      </c>
      <c r="P10" s="1"/>
      <c r="Q10" s="10" t="s">
        <v>7</v>
      </c>
      <c r="R10" s="1"/>
      <c r="S10" s="11" t="s">
        <v>10</v>
      </c>
      <c r="T10" s="1"/>
      <c r="U10" s="10" t="s">
        <v>8</v>
      </c>
    </row>
    <row r="11" spans="1:21" x14ac:dyDescent="0.25">
      <c r="G11" s="120" t="s">
        <v>262</v>
      </c>
      <c r="I11" s="120" t="s">
        <v>263</v>
      </c>
      <c r="K11" s="120" t="s">
        <v>401</v>
      </c>
      <c r="M11" s="120" t="s">
        <v>313</v>
      </c>
      <c r="O11" s="120" t="s">
        <v>405</v>
      </c>
      <c r="Q11" s="57" t="s">
        <v>314</v>
      </c>
      <c r="R11" s="1"/>
      <c r="S11" s="57" t="s">
        <v>403</v>
      </c>
      <c r="T11" s="1"/>
      <c r="U11" s="57" t="s">
        <v>404</v>
      </c>
    </row>
    <row r="12" spans="1:21" x14ac:dyDescent="0.25">
      <c r="C12" s="3" t="s">
        <v>381</v>
      </c>
    </row>
    <row r="13" spans="1:21" x14ac:dyDescent="0.25">
      <c r="A13">
        <v>1</v>
      </c>
      <c r="C13" t="s">
        <v>395</v>
      </c>
      <c r="E13" s="1">
        <v>928</v>
      </c>
      <c r="G13" s="47">
        <v>154417</v>
      </c>
      <c r="H13" s="47"/>
      <c r="I13" s="116">
        <v>3.0099999999999998E-2</v>
      </c>
      <c r="J13" s="47"/>
      <c r="K13" s="116">
        <v>3.5000000000000001E-3</v>
      </c>
      <c r="L13" s="47"/>
      <c r="M13" s="47">
        <f>G13/I13*K13</f>
        <v>17955.465116279072</v>
      </c>
      <c r="N13" s="47"/>
      <c r="O13" s="47">
        <f>M13-G13</f>
        <v>-136461.53488372092</v>
      </c>
      <c r="Q13" s="1" t="s">
        <v>14</v>
      </c>
      <c r="R13" s="1"/>
      <c r="S13" s="117">
        <v>0.43997000000000003</v>
      </c>
      <c r="U13" s="47">
        <f>O13*S13</f>
        <v>-60038.981502790695</v>
      </c>
    </row>
    <row r="14" spans="1:21" x14ac:dyDescent="0.25">
      <c r="A14">
        <v>2</v>
      </c>
      <c r="C14" t="s">
        <v>395</v>
      </c>
      <c r="E14" s="1">
        <v>928</v>
      </c>
      <c r="G14" s="47">
        <v>151123</v>
      </c>
      <c r="H14" s="47"/>
      <c r="I14" s="116">
        <v>3.0099999999999998E-2</v>
      </c>
      <c r="J14" s="47"/>
      <c r="K14" s="116">
        <v>3.5000000000000001E-3</v>
      </c>
      <c r="L14" s="47"/>
      <c r="M14" s="47">
        <f t="shared" ref="M14:M23" si="0">G14/I14*K14</f>
        <v>17572.441860465118</v>
      </c>
      <c r="N14" s="47"/>
      <c r="O14" s="47">
        <f t="shared" ref="O14:O23" si="1">M14-G14</f>
        <v>-133550.55813953487</v>
      </c>
      <c r="Q14" s="1" t="s">
        <v>231</v>
      </c>
      <c r="R14" s="1"/>
      <c r="S14" s="117">
        <v>0.43695000000000001</v>
      </c>
      <c r="U14" s="47">
        <f t="shared" ref="U14:U23" si="2">O14*S14</f>
        <v>-58354.916379069764</v>
      </c>
    </row>
    <row r="15" spans="1:21" x14ac:dyDescent="0.25">
      <c r="A15">
        <v>3</v>
      </c>
      <c r="C15" t="s">
        <v>395</v>
      </c>
      <c r="E15" s="1">
        <v>928</v>
      </c>
      <c r="G15" s="47">
        <v>433752</v>
      </c>
      <c r="H15" s="47"/>
      <c r="I15" s="116">
        <v>3.0099999999999998E-2</v>
      </c>
      <c r="J15" s="47"/>
      <c r="K15" s="116">
        <v>3.5000000000000001E-3</v>
      </c>
      <c r="L15" s="47"/>
      <c r="M15" s="47">
        <f t="shared" si="0"/>
        <v>50436.27906976745</v>
      </c>
      <c r="N15" s="47"/>
      <c r="O15" s="47">
        <f t="shared" si="1"/>
        <v>-383315.72093023255</v>
      </c>
      <c r="Q15" s="1" t="s">
        <v>375</v>
      </c>
      <c r="R15" s="1"/>
      <c r="S15" s="117">
        <f>192683/433752</f>
        <v>0.44422388830483778</v>
      </c>
      <c r="U15" s="47">
        <f t="shared" si="2"/>
        <v>-170278</v>
      </c>
    </row>
    <row r="16" spans="1:21" x14ac:dyDescent="0.25">
      <c r="A16">
        <v>4</v>
      </c>
      <c r="C16" t="s">
        <v>395</v>
      </c>
      <c r="E16" s="1">
        <v>929</v>
      </c>
      <c r="G16" s="47">
        <v>-6084348</v>
      </c>
      <c r="H16" s="47"/>
      <c r="I16" s="116">
        <v>4.7800000000000002E-2</v>
      </c>
      <c r="J16" s="47"/>
      <c r="K16" s="116">
        <v>3.5400000000000001E-2</v>
      </c>
      <c r="L16" s="47"/>
      <c r="M16" s="47">
        <f t="shared" si="0"/>
        <v>-4505981.5732217571</v>
      </c>
      <c r="N16" s="47"/>
      <c r="O16" s="47">
        <f t="shared" si="1"/>
        <v>1578366.4267782429</v>
      </c>
      <c r="Q16" s="1" t="s">
        <v>231</v>
      </c>
      <c r="R16" s="1"/>
      <c r="S16" s="117">
        <v>0.43695000000000001</v>
      </c>
      <c r="U16" s="47">
        <f t="shared" si="2"/>
        <v>689667.21018075326</v>
      </c>
    </row>
    <row r="17" spans="1:21" x14ac:dyDescent="0.25">
      <c r="A17">
        <v>5</v>
      </c>
      <c r="C17" t="s">
        <v>395</v>
      </c>
      <c r="E17" s="1">
        <v>930</v>
      </c>
      <c r="G17" s="47">
        <v>842</v>
      </c>
      <c r="H17" s="47"/>
      <c r="I17" s="116">
        <v>1.52E-2</v>
      </c>
      <c r="J17" s="47"/>
      <c r="K17" s="116">
        <v>1.1900000000000001E-2</v>
      </c>
      <c r="L17" s="47"/>
      <c r="M17" s="47">
        <f t="shared" si="0"/>
        <v>659.1973684210526</v>
      </c>
      <c r="N17" s="47"/>
      <c r="O17" s="47">
        <f t="shared" si="1"/>
        <v>-182.8026315789474</v>
      </c>
      <c r="Q17" s="1" t="s">
        <v>375</v>
      </c>
      <c r="R17" s="1"/>
      <c r="S17" s="117">
        <f>305/842</f>
        <v>0.36223277909738716</v>
      </c>
      <c r="U17" s="47">
        <f t="shared" si="2"/>
        <v>-66.217105263157904</v>
      </c>
    </row>
    <row r="18" spans="1:21" x14ac:dyDescent="0.25">
      <c r="A18">
        <v>6</v>
      </c>
      <c r="C18" t="s">
        <v>395</v>
      </c>
      <c r="E18" s="1">
        <v>930</v>
      </c>
      <c r="G18" s="47">
        <v>34194</v>
      </c>
      <c r="H18" s="47"/>
      <c r="I18" s="116">
        <v>1.52E-2</v>
      </c>
      <c r="J18" s="47"/>
      <c r="K18" s="116">
        <v>1.1900000000000001E-2</v>
      </c>
      <c r="L18" s="47"/>
      <c r="M18" s="47">
        <f t="shared" si="0"/>
        <v>26770.30263157895</v>
      </c>
      <c r="N18" s="47"/>
      <c r="O18" s="47">
        <f t="shared" si="1"/>
        <v>-7423.6973684210498</v>
      </c>
      <c r="Q18" s="1" t="s">
        <v>231</v>
      </c>
      <c r="R18" s="1"/>
      <c r="S18" s="117">
        <v>0.43695000000000001</v>
      </c>
      <c r="U18" s="47">
        <f t="shared" si="2"/>
        <v>-3243.7845651315779</v>
      </c>
    </row>
    <row r="19" spans="1:21" x14ac:dyDescent="0.25">
      <c r="A19">
        <v>7</v>
      </c>
      <c r="C19" t="s">
        <v>395</v>
      </c>
      <c r="E19" s="1">
        <v>931</v>
      </c>
      <c r="G19" s="47">
        <v>13984</v>
      </c>
      <c r="H19" s="47"/>
      <c r="I19" s="116">
        <v>3.8600000000000002E-2</v>
      </c>
      <c r="J19" s="47"/>
      <c r="K19" s="116">
        <v>3.3300000000000003E-2</v>
      </c>
      <c r="L19" s="47"/>
      <c r="M19" s="47">
        <f t="shared" si="0"/>
        <v>12063.917098445596</v>
      </c>
      <c r="N19" s="47"/>
      <c r="O19" s="47">
        <f t="shared" si="1"/>
        <v>-1920.0829015544041</v>
      </c>
      <c r="Q19" s="1" t="s">
        <v>375</v>
      </c>
      <c r="R19" s="1"/>
      <c r="S19" s="117">
        <f>385/13984</f>
        <v>2.753146453089245E-2</v>
      </c>
      <c r="U19" s="47">
        <f t="shared" si="2"/>
        <v>-52.862694300518136</v>
      </c>
    </row>
    <row r="20" spans="1:21" x14ac:dyDescent="0.25">
      <c r="A20">
        <v>8</v>
      </c>
      <c r="C20" t="s">
        <v>395</v>
      </c>
      <c r="E20" s="1">
        <v>931</v>
      </c>
      <c r="G20" s="47">
        <v>84005</v>
      </c>
      <c r="H20" s="47"/>
      <c r="I20" s="116">
        <v>3.8600000000000002E-2</v>
      </c>
      <c r="J20" s="47"/>
      <c r="K20" s="116">
        <v>3.3300000000000003E-2</v>
      </c>
      <c r="L20" s="47"/>
      <c r="M20" s="47">
        <f t="shared" si="0"/>
        <v>72470.63471502591</v>
      </c>
      <c r="N20" s="47"/>
      <c r="O20" s="47">
        <f t="shared" si="1"/>
        <v>-11534.36528497409</v>
      </c>
      <c r="Q20" s="1" t="s">
        <v>231</v>
      </c>
      <c r="R20" s="1"/>
      <c r="S20" s="117">
        <v>0.43695000000000001</v>
      </c>
      <c r="U20" s="47">
        <f t="shared" si="2"/>
        <v>-5039.9409112694284</v>
      </c>
    </row>
    <row r="21" spans="1:21" x14ac:dyDescent="0.25">
      <c r="A21">
        <v>9</v>
      </c>
      <c r="C21" t="s">
        <v>395</v>
      </c>
      <c r="E21" s="1">
        <v>935</v>
      </c>
      <c r="G21" s="47">
        <v>2866</v>
      </c>
      <c r="H21" s="47"/>
      <c r="I21" s="116">
        <v>6.8999999999999999E-3</v>
      </c>
      <c r="J21" s="47"/>
      <c r="K21" s="116">
        <v>-6.7000000000000002E-3</v>
      </c>
      <c r="L21" s="47"/>
      <c r="M21" s="47">
        <f t="shared" si="0"/>
        <v>-2782.927536231884</v>
      </c>
      <c r="N21" s="47"/>
      <c r="O21" s="47">
        <f t="shared" si="1"/>
        <v>-5648.927536231884</v>
      </c>
      <c r="Q21" s="1" t="s">
        <v>375</v>
      </c>
      <c r="R21" s="1"/>
      <c r="S21" s="117">
        <f>675/2866</f>
        <v>0.235519888346127</v>
      </c>
      <c r="U21" s="47">
        <f t="shared" si="2"/>
        <v>-1330.4347826086955</v>
      </c>
    </row>
    <row r="22" spans="1:21" x14ac:dyDescent="0.25">
      <c r="A22">
        <v>10</v>
      </c>
      <c r="C22" t="s">
        <v>395</v>
      </c>
      <c r="E22" s="1">
        <v>935</v>
      </c>
      <c r="G22" s="47">
        <v>349</v>
      </c>
      <c r="H22" s="47"/>
      <c r="I22" s="116">
        <v>6.8999999999999999E-3</v>
      </c>
      <c r="J22" s="47"/>
      <c r="K22" s="116">
        <v>-6.7000000000000002E-3</v>
      </c>
      <c r="L22" s="47"/>
      <c r="M22" s="47">
        <f t="shared" si="0"/>
        <v>-338.8840579710145</v>
      </c>
      <c r="N22" s="47"/>
      <c r="O22" s="47">
        <f t="shared" si="1"/>
        <v>-687.8840579710145</v>
      </c>
      <c r="Q22" s="1" t="s">
        <v>396</v>
      </c>
      <c r="R22" s="1"/>
      <c r="S22" s="117">
        <v>0.47809000000000001</v>
      </c>
      <c r="U22" s="47">
        <f t="shared" si="2"/>
        <v>-328.87048927536233</v>
      </c>
    </row>
    <row r="23" spans="1:21" x14ac:dyDescent="0.25">
      <c r="A23">
        <v>11</v>
      </c>
      <c r="C23" t="s">
        <v>395</v>
      </c>
      <c r="E23" s="1">
        <v>935</v>
      </c>
      <c r="G23" s="47">
        <v>151878</v>
      </c>
      <c r="H23" s="47"/>
      <c r="I23" s="116">
        <v>6.8999999999999999E-3</v>
      </c>
      <c r="J23" s="47"/>
      <c r="K23" s="116">
        <v>-6.7000000000000002E-3</v>
      </c>
      <c r="L23" s="47"/>
      <c r="M23" s="47">
        <f t="shared" si="0"/>
        <v>-147475.73913043478</v>
      </c>
      <c r="N23" s="47"/>
      <c r="O23" s="48">
        <f t="shared" si="1"/>
        <v>-299353.73913043481</v>
      </c>
      <c r="Q23" s="1" t="s">
        <v>231</v>
      </c>
      <c r="R23" s="1"/>
      <c r="S23" s="117">
        <v>0.43695000000000001</v>
      </c>
      <c r="U23" s="48">
        <f t="shared" si="2"/>
        <v>-130802.61631304349</v>
      </c>
    </row>
    <row r="24" spans="1:21" ht="6" customHeight="1" x14ac:dyDescent="0.25">
      <c r="E24" s="1"/>
    </row>
    <row r="25" spans="1:21" ht="16.5" thickBot="1" x14ac:dyDescent="0.3">
      <c r="A25">
        <v>12</v>
      </c>
      <c r="C25" t="s">
        <v>386</v>
      </c>
      <c r="O25" s="6">
        <f>SUM(O13:O24)</f>
        <v>598287.11391358823</v>
      </c>
      <c r="U25" s="14">
        <f>SUM(U13:U24)</f>
        <v>260130.58543800047</v>
      </c>
    </row>
    <row r="26" spans="1:21" ht="16.5" thickTop="1" x14ac:dyDescent="0.25"/>
    <row r="27" spans="1:21" x14ac:dyDescent="0.25">
      <c r="A27">
        <v>13</v>
      </c>
      <c r="M27" s="119" t="s">
        <v>586</v>
      </c>
      <c r="O27" s="6">
        <f>'3.12'!O47</f>
        <v>-7403698.8156853197</v>
      </c>
      <c r="U27" s="6">
        <f>'3.12'!U47</f>
        <v>-3172106.5750856469</v>
      </c>
    </row>
    <row r="28" spans="1:21" x14ac:dyDescent="0.25">
      <c r="A28">
        <v>14</v>
      </c>
      <c r="M28" s="119" t="s">
        <v>587</v>
      </c>
      <c r="O28" s="6">
        <f>'3.12.1'!O50</f>
        <v>-2106352.1910337624</v>
      </c>
      <c r="U28" s="6">
        <f>'3.12.1'!U50</f>
        <v>-811117.38008417061</v>
      </c>
    </row>
    <row r="29" spans="1:21" x14ac:dyDescent="0.25">
      <c r="A29">
        <v>15</v>
      </c>
      <c r="M29" s="119" t="s">
        <v>588</v>
      </c>
      <c r="O29" s="6">
        <f>'3.12.2'!O47</f>
        <v>-4216990.1671576193</v>
      </c>
      <c r="U29" s="6">
        <f>'3.12.2'!U47</f>
        <v>-1698241.9668609747</v>
      </c>
    </row>
    <row r="30" spans="1:21" x14ac:dyDescent="0.25">
      <c r="A30">
        <v>16</v>
      </c>
      <c r="M30" s="119" t="s">
        <v>589</v>
      </c>
      <c r="O30" s="41">
        <f>O25</f>
        <v>598287.11391358823</v>
      </c>
      <c r="U30" s="41">
        <f>U25</f>
        <v>260130.58543800047</v>
      </c>
    </row>
    <row r="31" spans="1:21" ht="8.25" customHeight="1" x14ac:dyDescent="0.25"/>
    <row r="32" spans="1:21" ht="16.5" thickBot="1" x14ac:dyDescent="0.3">
      <c r="A32">
        <v>17</v>
      </c>
      <c r="C32" t="s">
        <v>245</v>
      </c>
      <c r="O32" s="14">
        <f>SUM(O27:O31)</f>
        <v>-13128754.059963115</v>
      </c>
      <c r="U32" s="14">
        <f>SUM(U27:U31)</f>
        <v>-5421335.3365927916</v>
      </c>
    </row>
    <row r="33" spans="3:21" ht="16.5" thickTop="1" x14ac:dyDescent="0.25"/>
    <row r="35" spans="3:21" x14ac:dyDescent="0.25">
      <c r="C35" s="3" t="s">
        <v>400</v>
      </c>
    </row>
    <row r="36" spans="3:21" x14ac:dyDescent="0.25">
      <c r="C36" t="s">
        <v>406</v>
      </c>
    </row>
    <row r="37" spans="3:21" x14ac:dyDescent="0.25">
      <c r="C37" t="s">
        <v>716</v>
      </c>
    </row>
    <row r="38" spans="3:21" x14ac:dyDescent="0.25">
      <c r="C38" t="s">
        <v>407</v>
      </c>
    </row>
    <row r="39" spans="3:21" x14ac:dyDescent="0.25">
      <c r="C39" t="s">
        <v>717</v>
      </c>
    </row>
    <row r="40" spans="3:21" x14ac:dyDescent="0.25">
      <c r="C40" t="s">
        <v>602</v>
      </c>
    </row>
    <row r="41" spans="3:21" x14ac:dyDescent="0.25">
      <c r="C41" t="s">
        <v>603</v>
      </c>
    </row>
    <row r="43" spans="3:21" x14ac:dyDescent="0.25">
      <c r="C43" t="s">
        <v>5</v>
      </c>
    </row>
    <row r="44" spans="3:21" ht="7.5" customHeight="1" x14ac:dyDescent="0.25"/>
    <row r="45" spans="3:21" x14ac:dyDescent="0.25">
      <c r="C45" s="162" t="s">
        <v>718</v>
      </c>
      <c r="D45" s="163"/>
      <c r="E45" s="163"/>
      <c r="F45" s="163"/>
      <c r="G45" s="163"/>
      <c r="H45" s="163"/>
      <c r="I45" s="163"/>
      <c r="J45" s="163"/>
      <c r="K45" s="163"/>
      <c r="L45" s="163"/>
      <c r="M45" s="163"/>
      <c r="N45" s="163"/>
      <c r="O45" s="163"/>
      <c r="P45" s="163"/>
      <c r="Q45" s="163"/>
      <c r="R45" s="163"/>
      <c r="S45" s="163"/>
      <c r="T45" s="163"/>
      <c r="U45" s="164"/>
    </row>
    <row r="46" spans="3:21" x14ac:dyDescent="0.25">
      <c r="C46" s="165"/>
      <c r="D46" s="166"/>
      <c r="E46" s="166"/>
      <c r="F46" s="166"/>
      <c r="G46" s="166"/>
      <c r="H46" s="166"/>
      <c r="I46" s="166"/>
      <c r="J46" s="166"/>
      <c r="K46" s="166"/>
      <c r="L46" s="166"/>
      <c r="M46" s="166"/>
      <c r="N46" s="166"/>
      <c r="O46" s="166"/>
      <c r="P46" s="166"/>
      <c r="Q46" s="166"/>
      <c r="R46" s="166"/>
      <c r="S46" s="166"/>
      <c r="T46" s="166"/>
      <c r="U46" s="167"/>
    </row>
    <row r="47" spans="3:21" x14ac:dyDescent="0.25">
      <c r="C47" s="168"/>
      <c r="D47" s="169"/>
      <c r="E47" s="169"/>
      <c r="F47" s="169"/>
      <c r="G47" s="169"/>
      <c r="H47" s="169"/>
      <c r="I47" s="169"/>
      <c r="J47" s="169"/>
      <c r="K47" s="169"/>
      <c r="L47" s="169"/>
      <c r="M47" s="169"/>
      <c r="N47" s="169"/>
      <c r="O47" s="169"/>
      <c r="P47" s="169"/>
      <c r="Q47" s="169"/>
      <c r="R47" s="169"/>
      <c r="S47" s="169"/>
      <c r="T47" s="169"/>
      <c r="U47" s="170"/>
    </row>
  </sheetData>
  <mergeCells count="1">
    <mergeCell ref="C45:U47"/>
  </mergeCells>
  <pageMargins left="0.7" right="0.7" top="0.75" bottom="0.75" header="0.3" footer="0.3"/>
  <pageSetup scale="65" orientation="portrait" horizontalDpi="0"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9"/>
  <sheetViews>
    <sheetView workbookViewId="0">
      <selection activeCell="C30" sqref="C30"/>
    </sheetView>
  </sheetViews>
  <sheetFormatPr defaultRowHeight="15.75" x14ac:dyDescent="0.25"/>
  <cols>
    <col min="1" max="1" width="4.625" customWidth="1"/>
    <col min="2" max="2" width="1.625" customWidth="1"/>
    <col min="3" max="3" width="31.875" customWidth="1"/>
    <col min="4" max="4" width="3.75" customWidth="1"/>
    <col min="5" max="5" width="8" customWidth="1"/>
    <col min="6" max="6" width="1" customWidth="1"/>
    <col min="7" max="7" width="13.375" customWidth="1"/>
    <col min="8" max="8" width="1.5" customWidth="1"/>
    <col min="9" max="9" width="8" customWidth="1"/>
    <col min="10" max="10" width="1" customWidth="1"/>
    <col min="11" max="11" width="12.375" customWidth="1"/>
    <col min="12" max="12" width="0.875" customWidth="1"/>
    <col min="13" max="13" width="6.875" customWidth="1"/>
    <col min="14" max="14" width="1" customWidth="1"/>
    <col min="15" max="15" width="9.125" customWidth="1"/>
    <col min="16" max="16" width="1" customWidth="1"/>
    <col min="17" max="17" width="12.5" customWidth="1"/>
  </cols>
  <sheetData>
    <row r="1" spans="1:17" x14ac:dyDescent="0.25">
      <c r="A1" s="7" t="s">
        <v>15</v>
      </c>
      <c r="B1" s="7"/>
      <c r="C1" s="7"/>
      <c r="D1" s="7"/>
      <c r="E1" s="7"/>
      <c r="F1" s="7"/>
      <c r="G1" s="7"/>
      <c r="H1" s="7"/>
      <c r="I1" s="7"/>
      <c r="J1" s="7"/>
      <c r="K1" s="7"/>
      <c r="L1" s="7"/>
      <c r="M1" s="7" t="s">
        <v>230</v>
      </c>
      <c r="N1" s="7"/>
      <c r="O1" s="7"/>
      <c r="P1" s="7"/>
      <c r="Q1" s="7"/>
    </row>
    <row r="2" spans="1:17" x14ac:dyDescent="0.25">
      <c r="A2" s="17" t="s">
        <v>13</v>
      </c>
      <c r="B2" s="7"/>
      <c r="C2" s="7"/>
      <c r="D2" s="7"/>
      <c r="E2" s="7"/>
      <c r="F2" s="7"/>
      <c r="G2" s="7"/>
      <c r="H2" s="7"/>
      <c r="I2" s="7"/>
      <c r="J2" s="7"/>
      <c r="K2" s="7"/>
      <c r="L2" s="7"/>
      <c r="M2" t="s">
        <v>335</v>
      </c>
      <c r="N2" s="7"/>
      <c r="O2" s="7"/>
      <c r="P2" s="7"/>
      <c r="Q2" s="7"/>
    </row>
    <row r="3" spans="1:17" x14ac:dyDescent="0.25">
      <c r="A3" s="5" t="s">
        <v>463</v>
      </c>
      <c r="B3" s="7"/>
      <c r="C3" s="7"/>
      <c r="D3" s="7"/>
      <c r="E3" s="7"/>
      <c r="F3" s="7"/>
      <c r="G3" s="7"/>
      <c r="H3" s="7"/>
      <c r="I3" s="7"/>
      <c r="J3" s="7"/>
      <c r="K3" s="7"/>
      <c r="L3" s="7"/>
      <c r="M3" t="s">
        <v>282</v>
      </c>
      <c r="N3" s="7"/>
      <c r="O3" s="7"/>
      <c r="P3" s="7"/>
      <c r="Q3" s="7"/>
    </row>
    <row r="4" spans="1:17" x14ac:dyDescent="0.25">
      <c r="A4" t="s">
        <v>334</v>
      </c>
      <c r="B4" s="7"/>
      <c r="C4" s="7"/>
      <c r="D4" s="7"/>
      <c r="E4" s="7"/>
      <c r="F4" s="7"/>
      <c r="G4" s="7"/>
      <c r="H4" s="7"/>
      <c r="I4" s="7"/>
      <c r="J4" s="7"/>
      <c r="K4" s="7"/>
      <c r="L4" s="7"/>
      <c r="M4" s="5" t="s">
        <v>320</v>
      </c>
      <c r="N4" s="7"/>
      <c r="O4" s="9"/>
      <c r="P4" s="7"/>
      <c r="Q4" s="7"/>
    </row>
    <row r="5" spans="1:17" x14ac:dyDescent="0.25">
      <c r="B5" s="7"/>
      <c r="C5" s="7"/>
      <c r="D5" s="7"/>
      <c r="E5" s="7"/>
      <c r="F5" s="7"/>
      <c r="G5" s="7"/>
      <c r="H5" s="7"/>
      <c r="I5" s="7"/>
      <c r="J5" s="7"/>
      <c r="K5" s="7"/>
      <c r="L5" s="7"/>
      <c r="M5" s="7"/>
      <c r="N5" s="7"/>
      <c r="O5" s="7"/>
      <c r="P5" s="7"/>
      <c r="Q5" s="7"/>
    </row>
    <row r="6" spans="1:17" x14ac:dyDescent="0.25">
      <c r="A6" s="7"/>
      <c r="B6" s="7"/>
      <c r="C6" s="7"/>
      <c r="D6" s="16"/>
      <c r="E6" s="7"/>
      <c r="F6" s="7"/>
      <c r="G6" s="7"/>
      <c r="H6" s="7"/>
      <c r="I6" s="7"/>
      <c r="J6" s="7"/>
      <c r="K6" s="7"/>
      <c r="L6" s="7"/>
      <c r="M6" s="7"/>
      <c r="N6" s="7"/>
      <c r="O6" s="7"/>
      <c r="P6" s="7"/>
      <c r="Q6" s="24"/>
    </row>
    <row r="7" spans="1:17" x14ac:dyDescent="0.25">
      <c r="A7" s="7"/>
      <c r="B7" s="7"/>
      <c r="C7" s="7"/>
      <c r="D7" s="7"/>
      <c r="E7" s="7"/>
      <c r="F7" s="7"/>
      <c r="G7" s="7"/>
      <c r="H7" s="7"/>
      <c r="I7" s="7"/>
      <c r="J7" s="7"/>
      <c r="K7" s="37"/>
      <c r="L7" s="37"/>
      <c r="M7" s="37"/>
      <c r="N7" s="37"/>
      <c r="O7" s="37"/>
      <c r="P7" s="38"/>
      <c r="Q7" s="24"/>
    </row>
    <row r="8" spans="1:17" x14ac:dyDescent="0.25">
      <c r="A8" s="7"/>
      <c r="B8" s="7"/>
      <c r="C8" s="7"/>
      <c r="D8" s="7"/>
      <c r="E8" s="7"/>
      <c r="F8" s="7"/>
      <c r="G8" s="74" t="s">
        <v>397</v>
      </c>
      <c r="H8" s="7"/>
      <c r="I8" s="70" t="s">
        <v>379</v>
      </c>
      <c r="J8" s="7"/>
      <c r="K8" s="114" t="s">
        <v>233</v>
      </c>
      <c r="L8" s="38"/>
      <c r="M8" s="38"/>
      <c r="N8" s="38"/>
      <c r="O8" s="38"/>
      <c r="P8" s="38"/>
      <c r="Q8" s="24"/>
    </row>
    <row r="9" spans="1:17" x14ac:dyDescent="0.25">
      <c r="A9" t="s">
        <v>0</v>
      </c>
      <c r="E9" s="1"/>
      <c r="F9" s="1"/>
      <c r="G9" s="1" t="s">
        <v>398</v>
      </c>
      <c r="H9" s="1"/>
      <c r="I9" s="1" t="s">
        <v>357</v>
      </c>
      <c r="J9" s="1"/>
      <c r="K9" s="1" t="s">
        <v>4</v>
      </c>
      <c r="L9" s="1"/>
      <c r="M9" s="1"/>
      <c r="N9" s="1"/>
      <c r="O9" s="1"/>
      <c r="P9" s="1"/>
      <c r="Q9" s="1" t="s">
        <v>9</v>
      </c>
    </row>
    <row r="10" spans="1:17" x14ac:dyDescent="0.25">
      <c r="A10" s="2" t="s">
        <v>3</v>
      </c>
      <c r="C10" s="2" t="s">
        <v>1</v>
      </c>
      <c r="E10" s="10" t="s">
        <v>66</v>
      </c>
      <c r="F10" s="8"/>
      <c r="G10" s="10" t="s">
        <v>408</v>
      </c>
      <c r="H10" s="8"/>
      <c r="I10" s="10" t="s">
        <v>7</v>
      </c>
      <c r="J10" s="10"/>
      <c r="K10" s="10" t="s">
        <v>6</v>
      </c>
      <c r="L10" s="1"/>
      <c r="M10" s="10" t="s">
        <v>7</v>
      </c>
      <c r="N10" s="1"/>
      <c r="O10" s="11" t="s">
        <v>10</v>
      </c>
      <c r="P10" s="1"/>
      <c r="Q10" s="10" t="s">
        <v>8</v>
      </c>
    </row>
    <row r="11" spans="1:17" x14ac:dyDescent="0.25">
      <c r="A11" s="4"/>
      <c r="C11" s="4"/>
      <c r="E11" s="8"/>
      <c r="F11" s="8"/>
      <c r="G11" s="8"/>
      <c r="H11" s="8"/>
      <c r="I11" s="8"/>
      <c r="J11" s="8"/>
      <c r="K11" s="8"/>
      <c r="L11" s="1"/>
      <c r="M11" s="8"/>
      <c r="N11" s="1"/>
      <c r="O11" s="21"/>
      <c r="P11" s="1"/>
      <c r="Q11" s="8"/>
    </row>
    <row r="12" spans="1:17" x14ac:dyDescent="0.25">
      <c r="A12" s="4"/>
      <c r="C12" s="121" t="s">
        <v>411</v>
      </c>
      <c r="E12" s="8"/>
      <c r="F12" s="8"/>
      <c r="G12" s="8"/>
      <c r="H12" s="8"/>
      <c r="I12" s="8"/>
      <c r="J12" s="8"/>
      <c r="K12" s="8"/>
      <c r="L12" s="1"/>
      <c r="M12" s="8"/>
      <c r="N12" s="1"/>
      <c r="O12" s="21"/>
      <c r="P12" s="1"/>
      <c r="Q12" s="8"/>
    </row>
    <row r="13" spans="1:17" x14ac:dyDescent="0.25">
      <c r="C13" s="3" t="s">
        <v>412</v>
      </c>
    </row>
    <row r="14" spans="1:17" x14ac:dyDescent="0.25">
      <c r="A14">
        <v>1</v>
      </c>
      <c r="C14" t="s">
        <v>399</v>
      </c>
      <c r="E14" s="1">
        <v>904</v>
      </c>
      <c r="G14" s="47">
        <v>3868502</v>
      </c>
      <c r="I14" s="116">
        <v>6.4000000000000003E-3</v>
      </c>
      <c r="K14" s="47">
        <f>G14*-I14</f>
        <v>-24758.412800000002</v>
      </c>
      <c r="M14" s="1" t="s">
        <v>375</v>
      </c>
      <c r="O14" s="115">
        <v>1</v>
      </c>
      <c r="Q14" s="47">
        <f>K14*O14</f>
        <v>-24758.412800000002</v>
      </c>
    </row>
    <row r="15" spans="1:17" x14ac:dyDescent="0.25">
      <c r="A15">
        <v>2</v>
      </c>
      <c r="C15" t="s">
        <v>409</v>
      </c>
      <c r="E15" s="1">
        <v>926</v>
      </c>
      <c r="G15" s="47">
        <v>102224372</v>
      </c>
      <c r="I15" s="116">
        <v>5.5199999999999999E-2</v>
      </c>
      <c r="K15" s="47">
        <f t="shared" ref="K15:K16" si="0">G15*-I15</f>
        <v>-5642785.3344000001</v>
      </c>
      <c r="M15" s="1" t="s">
        <v>231</v>
      </c>
      <c r="O15" s="69">
        <v>0.43695000000000001</v>
      </c>
      <c r="Q15" s="47">
        <f t="shared" ref="Q15:Q16" si="1">K15*O15</f>
        <v>-2465615.0518660801</v>
      </c>
    </row>
    <row r="16" spans="1:17" x14ac:dyDescent="0.25">
      <c r="A16">
        <v>3</v>
      </c>
      <c r="C16" t="s">
        <v>410</v>
      </c>
      <c r="E16" s="1">
        <v>929</v>
      </c>
      <c r="G16" s="47">
        <v>-127351347</v>
      </c>
      <c r="I16" s="116">
        <v>3.5400000000000001E-2</v>
      </c>
      <c r="K16" s="48">
        <f t="shared" si="0"/>
        <v>4508237.6837999998</v>
      </c>
      <c r="M16" s="1" t="s">
        <v>231</v>
      </c>
      <c r="O16" s="69">
        <v>0.43695000000000001</v>
      </c>
      <c r="Q16" s="48">
        <f t="shared" si="1"/>
        <v>1969874.45593641</v>
      </c>
    </row>
    <row r="17" spans="1:17" x14ac:dyDescent="0.25">
      <c r="E17" s="1"/>
    </row>
    <row r="18" spans="1:17" ht="16.5" thickBot="1" x14ac:dyDescent="0.3">
      <c r="A18">
        <v>4</v>
      </c>
      <c r="C18" t="s">
        <v>413</v>
      </c>
      <c r="E18" s="1"/>
      <c r="K18" s="14">
        <f>SUM(K14:K17)</f>
        <v>-1159306.0634000003</v>
      </c>
      <c r="Q18" s="14">
        <f>SUM(Q14:Q17)</f>
        <v>-520499.0087296702</v>
      </c>
    </row>
    <row r="19" spans="1:17" ht="16.5" thickTop="1" x14ac:dyDescent="0.25">
      <c r="E19" s="1"/>
    </row>
    <row r="20" spans="1:17" x14ac:dyDescent="0.25">
      <c r="E20" s="1"/>
    </row>
    <row r="21" spans="1:17" x14ac:dyDescent="0.25">
      <c r="E21" s="1"/>
    </row>
    <row r="23" spans="1:17" x14ac:dyDescent="0.25">
      <c r="C23" s="13"/>
    </row>
    <row r="24" spans="1:17" x14ac:dyDescent="0.25">
      <c r="C24" s="13"/>
    </row>
    <row r="25" spans="1:17" x14ac:dyDescent="0.25">
      <c r="C25" t="s">
        <v>5</v>
      </c>
    </row>
    <row r="26" spans="1:17" ht="4.5" customHeight="1" x14ac:dyDescent="0.25"/>
    <row r="27" spans="1:17" x14ac:dyDescent="0.25">
      <c r="C27" s="162" t="s">
        <v>719</v>
      </c>
      <c r="D27" s="163"/>
      <c r="E27" s="163"/>
      <c r="F27" s="163"/>
      <c r="G27" s="163"/>
      <c r="H27" s="163"/>
      <c r="I27" s="163"/>
      <c r="J27" s="163"/>
      <c r="K27" s="163"/>
      <c r="L27" s="163"/>
      <c r="M27" s="163"/>
      <c r="N27" s="163"/>
      <c r="O27" s="163"/>
      <c r="P27" s="163"/>
      <c r="Q27" s="164"/>
    </row>
    <row r="28" spans="1:17" x14ac:dyDescent="0.25">
      <c r="C28" s="165"/>
      <c r="D28" s="166"/>
      <c r="E28" s="166"/>
      <c r="F28" s="166"/>
      <c r="G28" s="166"/>
      <c r="H28" s="166"/>
      <c r="I28" s="166"/>
      <c r="J28" s="166"/>
      <c r="K28" s="166"/>
      <c r="L28" s="166"/>
      <c r="M28" s="166"/>
      <c r="N28" s="166"/>
      <c r="O28" s="166"/>
      <c r="P28" s="166"/>
      <c r="Q28" s="167"/>
    </row>
    <row r="29" spans="1:17" x14ac:dyDescent="0.25">
      <c r="C29" s="168"/>
      <c r="D29" s="169"/>
      <c r="E29" s="169"/>
      <c r="F29" s="169"/>
      <c r="G29" s="169"/>
      <c r="H29" s="169"/>
      <c r="I29" s="169"/>
      <c r="J29" s="169"/>
      <c r="K29" s="169"/>
      <c r="L29" s="169"/>
      <c r="M29" s="169"/>
      <c r="N29" s="169"/>
      <c r="O29" s="169"/>
      <c r="P29" s="169"/>
      <c r="Q29" s="170"/>
    </row>
  </sheetData>
  <mergeCells count="1">
    <mergeCell ref="C27:Q29"/>
  </mergeCells>
  <pageMargins left="0.7" right="0.7" top="0.75" bottom="0.75" header="0.3" footer="0.3"/>
  <pageSetup scale="71" orientation="portrait" horizontalDpi="0" verticalDpi="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4"/>
  <sheetViews>
    <sheetView workbookViewId="0">
      <selection activeCell="G28" sqref="G28"/>
    </sheetView>
  </sheetViews>
  <sheetFormatPr defaultRowHeight="15.75" x14ac:dyDescent="0.25"/>
  <cols>
    <col min="1" max="1" width="3.875" customWidth="1"/>
    <col min="2" max="2" width="1.625" customWidth="1"/>
    <col min="3" max="3" width="38.875" customWidth="1"/>
    <col min="4" max="4" width="2" customWidth="1"/>
    <col min="5" max="5" width="8" customWidth="1"/>
    <col min="6" max="6" width="1" customWidth="1"/>
    <col min="7" max="7" width="11.125" customWidth="1"/>
    <col min="8" max="8" width="0.875" customWidth="1"/>
    <col min="9" max="9" width="6.875" customWidth="1"/>
    <col min="10" max="10" width="1" customWidth="1"/>
    <col min="11" max="11" width="9.125" customWidth="1"/>
    <col min="12" max="12" width="1" customWidth="1"/>
    <col min="13" max="13" width="9.875" customWidth="1"/>
    <col min="14" max="14" width="1.625" customWidth="1"/>
  </cols>
  <sheetData>
    <row r="1" spans="1:16" x14ac:dyDescent="0.25">
      <c r="A1" s="7" t="s">
        <v>15</v>
      </c>
      <c r="I1" s="7" t="s">
        <v>230</v>
      </c>
    </row>
    <row r="2" spans="1:16" x14ac:dyDescent="0.25">
      <c r="A2" s="17" t="s">
        <v>13</v>
      </c>
      <c r="I2" t="s">
        <v>335</v>
      </c>
    </row>
    <row r="3" spans="1:16" x14ac:dyDescent="0.25">
      <c r="A3" s="5" t="s">
        <v>467</v>
      </c>
      <c r="I3" t="s">
        <v>590</v>
      </c>
    </row>
    <row r="4" spans="1:16" x14ac:dyDescent="0.25">
      <c r="A4" t="s">
        <v>334</v>
      </c>
      <c r="I4" s="5" t="s">
        <v>320</v>
      </c>
    </row>
    <row r="7" spans="1:16" x14ac:dyDescent="0.25">
      <c r="A7" t="s">
        <v>0</v>
      </c>
      <c r="E7" s="1"/>
      <c r="F7" s="1"/>
      <c r="G7" s="1" t="s">
        <v>4</v>
      </c>
      <c r="H7" s="1"/>
      <c r="I7" s="1"/>
      <c r="J7" s="1"/>
      <c r="K7" s="1"/>
      <c r="L7" s="1"/>
      <c r="M7" s="1" t="s">
        <v>9</v>
      </c>
    </row>
    <row r="8" spans="1:16" x14ac:dyDescent="0.25">
      <c r="A8" s="2" t="s">
        <v>3</v>
      </c>
      <c r="C8" s="2" t="s">
        <v>1</v>
      </c>
      <c r="E8" s="10" t="s">
        <v>66</v>
      </c>
      <c r="F8" s="1"/>
      <c r="G8" s="10" t="s">
        <v>6</v>
      </c>
      <c r="H8" s="1"/>
      <c r="I8" s="10" t="s">
        <v>7</v>
      </c>
      <c r="J8" s="1"/>
      <c r="K8" s="11" t="s">
        <v>10</v>
      </c>
      <c r="L8" s="1"/>
      <c r="M8" s="10" t="s">
        <v>8</v>
      </c>
    </row>
    <row r="10" spans="1:16" x14ac:dyDescent="0.25">
      <c r="C10" s="3" t="s">
        <v>310</v>
      </c>
    </row>
    <row r="11" spans="1:16" ht="6" customHeight="1" x14ac:dyDescent="0.25">
      <c r="A11" s="44"/>
      <c r="B11" s="24"/>
      <c r="D11" s="24"/>
      <c r="E11" s="44"/>
      <c r="F11" s="24"/>
      <c r="G11" s="45"/>
      <c r="H11" s="42"/>
      <c r="I11" s="8"/>
      <c r="J11" s="43"/>
      <c r="K11" s="52"/>
      <c r="L11" s="42"/>
      <c r="M11" s="46"/>
    </row>
    <row r="12" spans="1:16" x14ac:dyDescent="0.25">
      <c r="A12" s="8">
        <v>1</v>
      </c>
      <c r="B12" s="4"/>
      <c r="C12" s="4" t="s">
        <v>350</v>
      </c>
      <c r="D12" s="42"/>
      <c r="E12" s="43">
        <v>407</v>
      </c>
      <c r="F12" s="42"/>
      <c r="G12" s="45">
        <f>M12/K12</f>
        <v>-1657201.0476777544</v>
      </c>
      <c r="H12" s="42"/>
      <c r="I12" s="8" t="s">
        <v>14</v>
      </c>
      <c r="J12" s="43"/>
      <c r="K12" s="108">
        <v>0.43997498132271273</v>
      </c>
      <c r="L12" s="42"/>
      <c r="M12" s="45">
        <v>-729127</v>
      </c>
      <c r="N12" s="4"/>
      <c r="O12" s="4"/>
    </row>
    <row r="13" spans="1:16" x14ac:dyDescent="0.25">
      <c r="A13" s="8"/>
      <c r="B13" s="4"/>
      <c r="C13" s="4"/>
      <c r="D13" s="4"/>
      <c r="E13" s="4"/>
      <c r="F13" s="4"/>
      <c r="G13" s="4"/>
      <c r="H13" s="4"/>
      <c r="I13" s="4"/>
      <c r="J13" s="4"/>
      <c r="K13" s="4"/>
      <c r="L13" s="4"/>
      <c r="M13" s="4"/>
      <c r="N13" s="4"/>
      <c r="O13" s="4"/>
    </row>
    <row r="14" spans="1:16" x14ac:dyDescent="0.25">
      <c r="A14" s="8"/>
      <c r="B14" s="4"/>
      <c r="C14" s="110" t="s">
        <v>65</v>
      </c>
      <c r="D14" s="4"/>
      <c r="E14" s="4"/>
      <c r="F14" s="4"/>
      <c r="G14" s="12"/>
      <c r="H14" s="4"/>
      <c r="I14" s="4"/>
      <c r="J14" s="4"/>
      <c r="K14" s="4"/>
      <c r="L14" s="4"/>
      <c r="M14" s="12"/>
      <c r="N14" s="4"/>
      <c r="O14" s="4"/>
      <c r="P14" s="4"/>
    </row>
    <row r="15" spans="1:16" x14ac:dyDescent="0.25">
      <c r="A15" s="8">
        <v>2</v>
      </c>
      <c r="B15" s="4"/>
      <c r="C15" s="20" t="s">
        <v>348</v>
      </c>
      <c r="D15" s="4"/>
      <c r="E15" s="8">
        <v>254</v>
      </c>
      <c r="F15" s="4"/>
      <c r="G15" s="45">
        <f>G12*-0.5</f>
        <v>828600.52383887721</v>
      </c>
      <c r="H15" s="42"/>
      <c r="I15" s="8" t="s">
        <v>14</v>
      </c>
      <c r="J15" s="43"/>
      <c r="K15" s="108">
        <v>0.43997498132271273</v>
      </c>
      <c r="L15" s="42"/>
      <c r="M15" s="45">
        <f>G15*K15</f>
        <v>364563.5</v>
      </c>
      <c r="N15" s="4"/>
      <c r="O15" s="4"/>
    </row>
    <row r="16" spans="1:16" x14ac:dyDescent="0.25">
      <c r="A16" s="1">
        <v>3</v>
      </c>
      <c r="C16" s="20" t="s">
        <v>349</v>
      </c>
      <c r="E16" s="1">
        <v>190</v>
      </c>
      <c r="G16" s="45">
        <f>-G15*0.245866</f>
        <v>-203724.69639416938</v>
      </c>
      <c r="H16" s="42"/>
      <c r="I16" s="8" t="s">
        <v>14</v>
      </c>
      <c r="J16" s="43"/>
      <c r="K16" s="108">
        <v>0.43997498132271273</v>
      </c>
      <c r="L16" s="42"/>
      <c r="M16" s="45">
        <f>G16*K16</f>
        <v>-89633.769490999999</v>
      </c>
    </row>
    <row r="17" spans="1:13" x14ac:dyDescent="0.25">
      <c r="A17" s="1"/>
    </row>
    <row r="18" spans="1:13" x14ac:dyDescent="0.25">
      <c r="A18" s="8"/>
      <c r="B18" s="4"/>
      <c r="C18" s="4"/>
      <c r="D18" s="4"/>
      <c r="E18" s="4"/>
      <c r="F18" s="4"/>
      <c r="G18" s="4"/>
      <c r="H18" s="4"/>
      <c r="I18" s="4"/>
      <c r="J18" s="4"/>
      <c r="K18" s="4"/>
      <c r="L18" s="4"/>
      <c r="M18" s="4"/>
    </row>
    <row r="19" spans="1:13" x14ac:dyDescent="0.25">
      <c r="A19" s="8"/>
      <c r="B19" s="4"/>
      <c r="C19" s="4"/>
      <c r="D19" s="4"/>
      <c r="E19" s="4"/>
      <c r="F19" s="4"/>
      <c r="G19" s="4"/>
      <c r="H19" s="4"/>
      <c r="I19" s="4"/>
      <c r="J19" s="4"/>
      <c r="K19" s="4"/>
      <c r="L19" s="4"/>
      <c r="M19" s="4"/>
    </row>
    <row r="20" spans="1:13" x14ac:dyDescent="0.25">
      <c r="A20" s="8"/>
      <c r="B20" s="4"/>
      <c r="C20" s="39"/>
      <c r="D20" s="4"/>
      <c r="E20" s="4"/>
      <c r="F20" s="4"/>
      <c r="G20" s="4"/>
      <c r="H20" s="4"/>
      <c r="I20" s="4"/>
      <c r="J20" s="4"/>
      <c r="K20" s="4"/>
      <c r="L20" s="4"/>
      <c r="M20" s="4"/>
    </row>
    <row r="21" spans="1:13" x14ac:dyDescent="0.25">
      <c r="A21" s="8"/>
      <c r="B21" s="4"/>
      <c r="C21" s="4"/>
      <c r="D21" s="4"/>
      <c r="E21" s="4"/>
      <c r="F21" s="4"/>
      <c r="G21" s="45"/>
      <c r="H21" s="4"/>
      <c r="I21" s="4"/>
      <c r="J21" s="4"/>
      <c r="K21" s="4"/>
      <c r="L21" s="4"/>
      <c r="M21" s="4"/>
    </row>
    <row r="22" spans="1:13" x14ac:dyDescent="0.25">
      <c r="A22" s="8"/>
      <c r="B22" s="4"/>
      <c r="C22" s="4"/>
      <c r="D22" s="4"/>
      <c r="E22" s="4"/>
      <c r="F22" s="4"/>
      <c r="G22" s="45"/>
      <c r="H22" s="4"/>
      <c r="I22" s="4"/>
      <c r="J22" s="4"/>
      <c r="K22" s="4"/>
      <c r="L22" s="4"/>
      <c r="M22" s="4"/>
    </row>
    <row r="23" spans="1:13" x14ac:dyDescent="0.25">
      <c r="A23" s="8"/>
      <c r="B23" s="4"/>
      <c r="C23" s="4"/>
      <c r="D23" s="4"/>
      <c r="E23" s="4"/>
      <c r="F23" s="4"/>
      <c r="G23" s="12"/>
      <c r="H23" s="4"/>
      <c r="I23" s="4"/>
      <c r="J23" s="4"/>
      <c r="K23" s="4"/>
      <c r="L23" s="4"/>
      <c r="M23" s="4"/>
    </row>
    <row r="29" spans="1:13" x14ac:dyDescent="0.25">
      <c r="C29" t="s">
        <v>5</v>
      </c>
    </row>
    <row r="30" spans="1:13" ht="9" customHeight="1" x14ac:dyDescent="0.25"/>
    <row r="31" spans="1:13" x14ac:dyDescent="0.25">
      <c r="C31" s="162" t="s">
        <v>720</v>
      </c>
      <c r="D31" s="163"/>
      <c r="E31" s="163"/>
      <c r="F31" s="163"/>
      <c r="G31" s="163"/>
      <c r="H31" s="163"/>
      <c r="I31" s="163"/>
      <c r="J31" s="163"/>
      <c r="K31" s="163"/>
      <c r="L31" s="163"/>
      <c r="M31" s="164"/>
    </row>
    <row r="32" spans="1:13" x14ac:dyDescent="0.25">
      <c r="C32" s="165"/>
      <c r="D32" s="166"/>
      <c r="E32" s="166"/>
      <c r="F32" s="166"/>
      <c r="G32" s="166"/>
      <c r="H32" s="166"/>
      <c r="I32" s="166"/>
      <c r="J32" s="166"/>
      <c r="K32" s="166"/>
      <c r="L32" s="166"/>
      <c r="M32" s="167"/>
    </row>
    <row r="33" spans="3:13" x14ac:dyDescent="0.25">
      <c r="C33" s="165"/>
      <c r="D33" s="166"/>
      <c r="E33" s="166"/>
      <c r="F33" s="166"/>
      <c r="G33" s="166"/>
      <c r="H33" s="166"/>
      <c r="I33" s="166"/>
      <c r="J33" s="166"/>
      <c r="K33" s="166"/>
      <c r="L33" s="166"/>
      <c r="M33" s="167"/>
    </row>
    <row r="34" spans="3:13" x14ac:dyDescent="0.25">
      <c r="C34" s="168"/>
      <c r="D34" s="169"/>
      <c r="E34" s="169"/>
      <c r="F34" s="169"/>
      <c r="G34" s="169"/>
      <c r="H34" s="169"/>
      <c r="I34" s="169"/>
      <c r="J34" s="169"/>
      <c r="K34" s="169"/>
      <c r="L34" s="169"/>
      <c r="M34" s="170"/>
    </row>
  </sheetData>
  <mergeCells count="1">
    <mergeCell ref="C31:M34"/>
  </mergeCells>
  <pageMargins left="0.7" right="0.7" top="0.75" bottom="0.75" header="0.3" footer="0.3"/>
  <pageSetup scale="8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7"/>
  <sheetViews>
    <sheetView workbookViewId="0">
      <selection activeCell="C24" sqref="C24"/>
    </sheetView>
  </sheetViews>
  <sheetFormatPr defaultRowHeight="15.75" x14ac:dyDescent="0.25"/>
  <cols>
    <col min="1" max="1" width="3.375" customWidth="1"/>
    <col min="2" max="2" width="1.625" customWidth="1"/>
    <col min="3" max="3" width="42.75" customWidth="1"/>
    <col min="4" max="4" width="1.5" customWidth="1"/>
    <col min="5" max="5" width="6.625" customWidth="1"/>
    <col min="6" max="6" width="1.25" customWidth="1"/>
    <col min="7" max="7" width="12.5" customWidth="1"/>
    <col min="8" max="8" width="1.75" customWidth="1"/>
    <col min="9" max="9" width="7.75" customWidth="1"/>
    <col min="10" max="10" width="1.875" customWidth="1"/>
    <col min="11" max="11" width="8.75" customWidth="1"/>
    <col min="12" max="12" width="1.625" customWidth="1"/>
    <col min="13" max="13" width="13.25" customWidth="1"/>
  </cols>
  <sheetData>
    <row r="1" spans="1:15" x14ac:dyDescent="0.25">
      <c r="A1" s="7" t="s">
        <v>15</v>
      </c>
      <c r="K1" s="7" t="s">
        <v>230</v>
      </c>
      <c r="L1" s="18"/>
      <c r="M1" s="18"/>
    </row>
    <row r="2" spans="1:15" x14ac:dyDescent="0.25">
      <c r="A2" s="17" t="s">
        <v>13</v>
      </c>
      <c r="K2" t="s">
        <v>335</v>
      </c>
      <c r="L2" s="18"/>
      <c r="M2" s="18"/>
    </row>
    <row r="3" spans="1:15" x14ac:dyDescent="0.25">
      <c r="A3" s="5" t="s">
        <v>468</v>
      </c>
      <c r="K3" t="s">
        <v>591</v>
      </c>
      <c r="L3" s="18"/>
      <c r="M3" s="18"/>
    </row>
    <row r="4" spans="1:15" x14ac:dyDescent="0.25">
      <c r="A4" t="s">
        <v>334</v>
      </c>
      <c r="K4" s="5" t="s">
        <v>320</v>
      </c>
      <c r="L4" s="18"/>
      <c r="M4" s="18"/>
    </row>
    <row r="5" spans="1:15" x14ac:dyDescent="0.25">
      <c r="K5" s="18"/>
      <c r="L5" s="18"/>
      <c r="M5" s="18"/>
    </row>
    <row r="6" spans="1:15" x14ac:dyDescent="0.25">
      <c r="A6" s="18"/>
      <c r="B6" s="18"/>
      <c r="C6" s="18"/>
      <c r="D6" s="18"/>
      <c r="E6" s="18"/>
      <c r="F6" s="18"/>
      <c r="G6" s="18"/>
      <c r="H6" s="18"/>
      <c r="I6" s="18"/>
      <c r="J6" s="18"/>
      <c r="K6" s="18"/>
      <c r="L6" s="18"/>
      <c r="M6" s="18"/>
    </row>
    <row r="7" spans="1:15" x14ac:dyDescent="0.25">
      <c r="A7" s="18"/>
      <c r="B7" s="18"/>
      <c r="C7" s="18"/>
      <c r="D7" s="18"/>
      <c r="E7" s="18"/>
      <c r="F7" s="18"/>
      <c r="G7" s="18"/>
      <c r="H7" s="18"/>
      <c r="I7" s="18"/>
      <c r="J7" s="18"/>
      <c r="K7" s="18"/>
      <c r="L7" s="18"/>
      <c r="M7" s="18"/>
    </row>
    <row r="8" spans="1:15" x14ac:dyDescent="0.25">
      <c r="E8" s="1"/>
      <c r="F8" s="1"/>
      <c r="G8" s="1" t="s">
        <v>4</v>
      </c>
      <c r="H8" s="1"/>
      <c r="I8" s="1"/>
      <c r="J8" s="1"/>
      <c r="K8" s="1"/>
      <c r="L8" s="1"/>
      <c r="M8" s="1" t="s">
        <v>9</v>
      </c>
    </row>
    <row r="9" spans="1:15" x14ac:dyDescent="0.25">
      <c r="A9" s="4"/>
      <c r="C9" s="2" t="s">
        <v>1</v>
      </c>
      <c r="D9" s="4"/>
      <c r="E9" s="10" t="s">
        <v>11</v>
      </c>
      <c r="F9" s="1"/>
      <c r="G9" s="10" t="s">
        <v>6</v>
      </c>
      <c r="H9" s="1"/>
      <c r="I9" s="10" t="s">
        <v>7</v>
      </c>
      <c r="J9" s="1"/>
      <c r="K9" s="11" t="s">
        <v>10</v>
      </c>
      <c r="L9" s="1"/>
      <c r="M9" s="10" t="s">
        <v>8</v>
      </c>
    </row>
    <row r="11" spans="1:15" x14ac:dyDescent="0.25">
      <c r="C11" s="3" t="s">
        <v>65</v>
      </c>
    </row>
    <row r="12" spans="1:15" x14ac:dyDescent="0.25">
      <c r="A12">
        <v>1</v>
      </c>
      <c r="C12" t="s">
        <v>469</v>
      </c>
      <c r="E12" s="74">
        <v>101</v>
      </c>
      <c r="F12" s="24"/>
      <c r="G12" s="45">
        <v>-59155430</v>
      </c>
      <c r="H12" s="42"/>
      <c r="I12" s="8" t="s">
        <v>375</v>
      </c>
      <c r="J12" s="43"/>
      <c r="K12" s="65" t="s">
        <v>311</v>
      </c>
      <c r="L12" s="42"/>
      <c r="M12" s="45">
        <f>G12</f>
        <v>-59155430</v>
      </c>
      <c r="N12" s="4"/>
    </row>
    <row r="13" spans="1:15" x14ac:dyDescent="0.25">
      <c r="A13">
        <v>2</v>
      </c>
      <c r="C13" t="s">
        <v>470</v>
      </c>
      <c r="E13" s="1">
        <v>108</v>
      </c>
      <c r="G13" s="12">
        <v>661368</v>
      </c>
      <c r="H13" s="4"/>
      <c r="I13" s="8" t="s">
        <v>375</v>
      </c>
      <c r="J13" s="43"/>
      <c r="K13" s="65" t="s">
        <v>311</v>
      </c>
      <c r="L13" s="42"/>
      <c r="M13" s="45">
        <f>G13</f>
        <v>661368</v>
      </c>
      <c r="N13" s="4"/>
      <c r="O13" s="51"/>
    </row>
    <row r="14" spans="1:15" x14ac:dyDescent="0.25">
      <c r="A14">
        <v>3</v>
      </c>
      <c r="C14" t="s">
        <v>471</v>
      </c>
      <c r="E14" s="1">
        <v>282</v>
      </c>
      <c r="G14" s="12">
        <v>2387635</v>
      </c>
      <c r="H14" s="4"/>
      <c r="I14" s="8" t="s">
        <v>375</v>
      </c>
      <c r="J14" s="43"/>
      <c r="K14" s="65" t="s">
        <v>311</v>
      </c>
      <c r="L14" s="42"/>
      <c r="M14" s="53">
        <f>G14</f>
        <v>2387635</v>
      </c>
      <c r="N14" s="4"/>
      <c r="O14" s="51"/>
    </row>
    <row r="15" spans="1:15" x14ac:dyDescent="0.25">
      <c r="A15">
        <v>4</v>
      </c>
      <c r="C15" t="s">
        <v>472</v>
      </c>
      <c r="E15" s="1"/>
      <c r="G15" s="12"/>
      <c r="H15" s="4"/>
      <c r="I15" s="8"/>
      <c r="J15" s="43"/>
      <c r="K15" s="65"/>
      <c r="L15" s="42"/>
      <c r="M15" s="130">
        <f>SUM(M12:M14)</f>
        <v>-56106427</v>
      </c>
      <c r="N15" s="4"/>
      <c r="O15" s="51"/>
    </row>
    <row r="16" spans="1:15" x14ac:dyDescent="0.25">
      <c r="E16" s="1"/>
      <c r="G16" s="4"/>
      <c r="H16" s="4"/>
      <c r="I16" s="4"/>
      <c r="J16" s="4"/>
      <c r="K16" s="4"/>
      <c r="L16" s="4"/>
      <c r="M16" s="4"/>
      <c r="N16" s="4"/>
    </row>
    <row r="17" spans="1:15" x14ac:dyDescent="0.25">
      <c r="C17" s="3" t="s">
        <v>254</v>
      </c>
      <c r="E17" s="1"/>
      <c r="G17" s="4"/>
      <c r="H17" s="4"/>
      <c r="I17" s="4"/>
      <c r="J17" s="4"/>
      <c r="K17" s="4"/>
      <c r="L17" s="4"/>
      <c r="M17" s="4"/>
      <c r="N17" s="4"/>
      <c r="O17" s="51"/>
    </row>
    <row r="18" spans="1:15" x14ac:dyDescent="0.25">
      <c r="A18">
        <v>3</v>
      </c>
      <c r="C18" t="s">
        <v>309</v>
      </c>
      <c r="E18" s="1">
        <v>408</v>
      </c>
      <c r="G18" s="12">
        <v>-1457107</v>
      </c>
      <c r="H18" s="4"/>
      <c r="I18" s="8" t="s">
        <v>375</v>
      </c>
      <c r="J18" s="43"/>
      <c r="K18" s="65" t="s">
        <v>311</v>
      </c>
      <c r="L18" s="42"/>
      <c r="M18" s="53">
        <f>G18</f>
        <v>-1457107</v>
      </c>
      <c r="N18" s="4"/>
    </row>
    <row r="19" spans="1:15" x14ac:dyDescent="0.25">
      <c r="G19" s="21"/>
      <c r="H19" s="4"/>
      <c r="I19" s="51"/>
      <c r="J19" s="4"/>
      <c r="K19" s="8"/>
      <c r="L19" s="4"/>
      <c r="M19" s="65"/>
      <c r="N19" s="4"/>
    </row>
    <row r="20" spans="1:15" x14ac:dyDescent="0.25">
      <c r="G20" s="4"/>
      <c r="H20" s="4"/>
      <c r="I20" s="4"/>
      <c r="J20" s="4"/>
      <c r="K20" s="4"/>
      <c r="L20" s="4"/>
      <c r="M20" s="4"/>
      <c r="N20" s="4"/>
      <c r="O20" s="4"/>
    </row>
    <row r="21" spans="1:15" x14ac:dyDescent="0.25">
      <c r="E21" s="57"/>
      <c r="G21" s="51"/>
      <c r="H21" s="4"/>
      <c r="I21" s="8"/>
      <c r="J21" s="4"/>
      <c r="K21" s="65"/>
      <c r="L21" s="4"/>
      <c r="M21" s="51"/>
      <c r="N21" s="4"/>
      <c r="O21" s="4"/>
    </row>
    <row r="22" spans="1:15" x14ac:dyDescent="0.25">
      <c r="A22" s="4"/>
      <c r="B22" s="4"/>
      <c r="C22" s="39"/>
      <c r="D22" s="4"/>
      <c r="E22" s="4"/>
      <c r="F22" s="4"/>
      <c r="G22" s="4"/>
      <c r="H22" s="4"/>
      <c r="I22" s="4"/>
      <c r="J22" s="4"/>
      <c r="K22" s="4"/>
      <c r="L22" s="4"/>
      <c r="M22" s="4"/>
      <c r="N22" s="4"/>
      <c r="O22" s="4"/>
    </row>
    <row r="23" spans="1:15" x14ac:dyDescent="0.25">
      <c r="A23" s="4"/>
      <c r="B23" s="4"/>
      <c r="C23" s="4"/>
      <c r="D23" s="4"/>
      <c r="E23" s="4"/>
      <c r="F23" s="4"/>
      <c r="G23" s="12"/>
      <c r="H23" s="4"/>
      <c r="I23" s="4"/>
      <c r="J23" s="4"/>
      <c r="K23" s="4"/>
      <c r="L23" s="4"/>
      <c r="M23" s="12"/>
      <c r="N23" s="4"/>
      <c r="O23" s="4"/>
    </row>
    <row r="24" spans="1:15" x14ac:dyDescent="0.25">
      <c r="A24" s="4"/>
      <c r="B24" s="4"/>
      <c r="C24" s="4"/>
      <c r="D24" s="4"/>
      <c r="E24" s="4"/>
      <c r="F24" s="4"/>
      <c r="G24" s="64"/>
      <c r="H24" s="4"/>
    </row>
    <row r="25" spans="1:15" x14ac:dyDescent="0.25">
      <c r="A25" s="4"/>
      <c r="B25" s="4"/>
      <c r="C25" s="4"/>
      <c r="D25" s="4"/>
      <c r="E25" s="4"/>
      <c r="F25" s="4"/>
      <c r="G25" s="51"/>
      <c r="H25" s="4"/>
    </row>
    <row r="26" spans="1:15" x14ac:dyDescent="0.25">
      <c r="A26" s="4"/>
      <c r="B26" s="4"/>
      <c r="C26" s="4"/>
      <c r="D26" s="4"/>
      <c r="E26" s="4"/>
      <c r="F26" s="4"/>
      <c r="G26" s="127"/>
      <c r="H26" s="4"/>
    </row>
    <row r="27" spans="1:15" x14ac:dyDescent="0.25">
      <c r="A27" s="4"/>
      <c r="B27" s="4"/>
      <c r="C27" s="4"/>
      <c r="D27" s="4"/>
      <c r="E27" s="4"/>
      <c r="F27" s="4"/>
      <c r="G27" s="4"/>
      <c r="H27" s="4"/>
      <c r="K27" s="63"/>
    </row>
    <row r="28" spans="1:15" x14ac:dyDescent="0.25">
      <c r="A28" s="4"/>
      <c r="B28" s="4"/>
      <c r="C28" s="4"/>
      <c r="D28" s="4"/>
      <c r="E28" s="4"/>
      <c r="F28" s="4"/>
      <c r="G28" s="133"/>
      <c r="H28" s="4"/>
      <c r="K28" s="63"/>
    </row>
    <row r="29" spans="1:15" x14ac:dyDescent="0.25">
      <c r="A29" s="4"/>
      <c r="B29" s="4"/>
      <c r="C29" s="4"/>
      <c r="D29" s="4"/>
      <c r="E29" s="4"/>
      <c r="F29" s="4"/>
      <c r="G29" s="51"/>
      <c r="H29" s="4"/>
    </row>
    <row r="30" spans="1:15" x14ac:dyDescent="0.25">
      <c r="C30" t="s">
        <v>5</v>
      </c>
    </row>
    <row r="31" spans="1:15" ht="5.25" customHeight="1" x14ac:dyDescent="0.25"/>
    <row r="32" spans="1:15" x14ac:dyDescent="0.25">
      <c r="C32" s="153" t="s">
        <v>721</v>
      </c>
      <c r="D32" s="154"/>
      <c r="E32" s="154"/>
      <c r="F32" s="154"/>
      <c r="G32" s="154"/>
      <c r="H32" s="154"/>
      <c r="I32" s="154"/>
      <c r="J32" s="154"/>
      <c r="K32" s="154"/>
      <c r="L32" s="154"/>
      <c r="M32" s="155"/>
    </row>
    <row r="33" spans="3:13" x14ac:dyDescent="0.25">
      <c r="C33" s="156"/>
      <c r="D33" s="157"/>
      <c r="E33" s="157"/>
      <c r="F33" s="157"/>
      <c r="G33" s="157"/>
      <c r="H33" s="157"/>
      <c r="I33" s="157"/>
      <c r="J33" s="157"/>
      <c r="K33" s="157"/>
      <c r="L33" s="157"/>
      <c r="M33" s="158"/>
    </row>
    <row r="34" spans="3:13" x14ac:dyDescent="0.25">
      <c r="C34" s="156"/>
      <c r="D34" s="157"/>
      <c r="E34" s="157"/>
      <c r="F34" s="157"/>
      <c r="G34" s="157"/>
      <c r="H34" s="157"/>
      <c r="I34" s="157"/>
      <c r="J34" s="157"/>
      <c r="K34" s="157"/>
      <c r="L34" s="157"/>
      <c r="M34" s="158"/>
    </row>
    <row r="35" spans="3:13" x14ac:dyDescent="0.25">
      <c r="C35" s="156"/>
      <c r="D35" s="157"/>
      <c r="E35" s="157"/>
      <c r="F35" s="157"/>
      <c r="G35" s="157"/>
      <c r="H35" s="157"/>
      <c r="I35" s="157"/>
      <c r="J35" s="157"/>
      <c r="K35" s="157"/>
      <c r="L35" s="157"/>
      <c r="M35" s="158"/>
    </row>
    <row r="36" spans="3:13" x14ac:dyDescent="0.25">
      <c r="C36" s="156"/>
      <c r="D36" s="157"/>
      <c r="E36" s="157"/>
      <c r="F36" s="157"/>
      <c r="G36" s="157"/>
      <c r="H36" s="157"/>
      <c r="I36" s="157"/>
      <c r="J36" s="157"/>
      <c r="K36" s="157"/>
      <c r="L36" s="157"/>
      <c r="M36" s="158"/>
    </row>
    <row r="37" spans="3:13" x14ac:dyDescent="0.25">
      <c r="C37" s="159"/>
      <c r="D37" s="160"/>
      <c r="E37" s="160"/>
      <c r="F37" s="160"/>
      <c r="G37" s="160"/>
      <c r="H37" s="160"/>
      <c r="I37" s="160"/>
      <c r="J37" s="160"/>
      <c r="K37" s="160"/>
      <c r="L37" s="160"/>
      <c r="M37" s="161"/>
    </row>
  </sheetData>
  <mergeCells count="1">
    <mergeCell ref="C32:M37"/>
  </mergeCells>
  <pageMargins left="0.7" right="0.7" top="0.75" bottom="0.75" header="0.3" footer="0.3"/>
  <pageSetup scale="81"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2"/>
  <sheetViews>
    <sheetView workbookViewId="0">
      <selection activeCell="A24" sqref="A24"/>
    </sheetView>
  </sheetViews>
  <sheetFormatPr defaultRowHeight="15.75" x14ac:dyDescent="0.25"/>
  <cols>
    <col min="1" max="1" width="3.5" customWidth="1"/>
    <col min="2" max="2" width="1.625" customWidth="1"/>
    <col min="3" max="3" width="40.625" customWidth="1"/>
    <col min="4" max="4" width="4.125" customWidth="1"/>
    <col min="5" max="5" width="8" customWidth="1"/>
    <col min="6" max="6" width="1" customWidth="1"/>
    <col min="7" max="7" width="12.75" customWidth="1"/>
    <col min="8" max="8" width="0.875" customWidth="1"/>
    <col min="9" max="9" width="6.125" customWidth="1"/>
    <col min="10" max="10" width="1" customWidth="1"/>
    <col min="11" max="11" width="9" customWidth="1"/>
    <col min="12" max="12" width="1" customWidth="1"/>
    <col min="13" max="13" width="13.5" customWidth="1"/>
    <col min="17" max="17" width="13.5" customWidth="1"/>
  </cols>
  <sheetData>
    <row r="1" spans="1:17" x14ac:dyDescent="0.25">
      <c r="A1" s="7" t="s">
        <v>15</v>
      </c>
      <c r="K1" s="7" t="s">
        <v>230</v>
      </c>
    </row>
    <row r="2" spans="1:17" x14ac:dyDescent="0.25">
      <c r="A2" s="17" t="s">
        <v>13</v>
      </c>
      <c r="K2" t="s">
        <v>335</v>
      </c>
    </row>
    <row r="3" spans="1:17" x14ac:dyDescent="0.25">
      <c r="A3" s="5" t="s">
        <v>593</v>
      </c>
      <c r="K3" t="s">
        <v>592</v>
      </c>
    </row>
    <row r="4" spans="1:17" x14ac:dyDescent="0.25">
      <c r="A4" t="s">
        <v>334</v>
      </c>
      <c r="K4" s="5" t="s">
        <v>320</v>
      </c>
    </row>
    <row r="7" spans="1:17" x14ac:dyDescent="0.25">
      <c r="A7" t="s">
        <v>0</v>
      </c>
      <c r="E7" s="1"/>
      <c r="F7" s="1"/>
      <c r="G7" s="1" t="s">
        <v>4</v>
      </c>
      <c r="H7" s="1"/>
      <c r="I7" s="1"/>
      <c r="J7" s="1"/>
      <c r="K7" s="1"/>
      <c r="L7" s="1"/>
      <c r="M7" s="1" t="s">
        <v>9</v>
      </c>
    </row>
    <row r="8" spans="1:17" x14ac:dyDescent="0.25">
      <c r="A8" s="2" t="s">
        <v>3</v>
      </c>
      <c r="C8" s="2" t="s">
        <v>1</v>
      </c>
      <c r="E8" s="10" t="s">
        <v>66</v>
      </c>
      <c r="F8" s="1"/>
      <c r="G8" s="10" t="s">
        <v>6</v>
      </c>
      <c r="H8" s="1"/>
      <c r="I8" s="10" t="s">
        <v>7</v>
      </c>
      <c r="J8" s="1"/>
      <c r="K8" s="11" t="s">
        <v>10</v>
      </c>
      <c r="L8" s="1"/>
      <c r="M8" s="10" t="s">
        <v>8</v>
      </c>
    </row>
    <row r="10" spans="1:17" x14ac:dyDescent="0.25">
      <c r="C10" s="3" t="s">
        <v>362</v>
      </c>
    </row>
    <row r="11" spans="1:17" x14ac:dyDescent="0.25">
      <c r="C11" s="3" t="s">
        <v>363</v>
      </c>
      <c r="G11" s="4"/>
      <c r="H11" s="4"/>
      <c r="I11" s="4"/>
      <c r="J11" s="4"/>
      <c r="K11" s="4"/>
      <c r="L11" s="4"/>
      <c r="M11" s="4"/>
      <c r="N11" s="4"/>
      <c r="O11" s="4"/>
    </row>
    <row r="12" spans="1:17" x14ac:dyDescent="0.25">
      <c r="A12">
        <v>1</v>
      </c>
      <c r="C12" t="s">
        <v>364</v>
      </c>
      <c r="E12" s="74" t="s">
        <v>312</v>
      </c>
      <c r="F12" s="24"/>
      <c r="G12" s="45">
        <v>-357249142</v>
      </c>
      <c r="H12" s="42"/>
      <c r="I12" s="8" t="s">
        <v>231</v>
      </c>
      <c r="J12" s="43"/>
      <c r="K12" s="108">
        <v>0.43694520408491577</v>
      </c>
      <c r="L12" s="42"/>
      <c r="M12" s="45">
        <f>G12*K12</f>
        <v>-156098299.26035106</v>
      </c>
      <c r="N12" s="4"/>
      <c r="O12" s="4"/>
    </row>
    <row r="13" spans="1:17" x14ac:dyDescent="0.25">
      <c r="A13">
        <v>2</v>
      </c>
      <c r="C13" t="s">
        <v>364</v>
      </c>
      <c r="E13" s="1">
        <v>2283</v>
      </c>
      <c r="G13" s="45">
        <v>30692357</v>
      </c>
      <c r="I13" s="8" t="s">
        <v>231</v>
      </c>
      <c r="K13" s="108">
        <v>0.43694520408491577</v>
      </c>
      <c r="L13" s="42"/>
      <c r="M13" s="45">
        <f t="shared" ref="M13:M14" si="0">G13*K13</f>
        <v>13410878.193212094</v>
      </c>
      <c r="N13" s="4"/>
      <c r="O13" s="4"/>
    </row>
    <row r="14" spans="1:17" x14ac:dyDescent="0.25">
      <c r="A14">
        <v>3</v>
      </c>
      <c r="C14" t="s">
        <v>365</v>
      </c>
      <c r="E14" s="1">
        <v>283</v>
      </c>
      <c r="G14" s="53">
        <v>80289248</v>
      </c>
      <c r="I14" s="8" t="s">
        <v>231</v>
      </c>
      <c r="K14" s="108">
        <v>0.43694520408491577</v>
      </c>
      <c r="L14" s="42"/>
      <c r="M14" s="53">
        <f t="shared" si="0"/>
        <v>35082001.853184417</v>
      </c>
      <c r="N14" s="4"/>
      <c r="O14" s="4"/>
      <c r="Q14" s="63"/>
    </row>
    <row r="15" spans="1:17" x14ac:dyDescent="0.25">
      <c r="A15">
        <v>4</v>
      </c>
      <c r="C15" t="s">
        <v>368</v>
      </c>
      <c r="G15" s="112">
        <f>SUM(G12:G14)</f>
        <v>-246267537</v>
      </c>
      <c r="M15" s="112">
        <f>SUM(M12:M14)</f>
        <v>-107605419.21395455</v>
      </c>
      <c r="N15" s="4"/>
      <c r="O15" s="4"/>
      <c r="Q15" s="63"/>
    </row>
    <row r="16" spans="1:17" x14ac:dyDescent="0.25">
      <c r="C16" s="3" t="s">
        <v>366</v>
      </c>
      <c r="G16" s="4"/>
      <c r="H16" s="4"/>
      <c r="I16" s="4"/>
      <c r="J16" s="4"/>
      <c r="K16" s="4"/>
      <c r="L16" s="4"/>
      <c r="M16" s="4"/>
      <c r="N16" s="4"/>
      <c r="O16" s="4"/>
      <c r="Q16" s="63"/>
    </row>
    <row r="17" spans="1:17" x14ac:dyDescent="0.25">
      <c r="A17">
        <v>5</v>
      </c>
      <c r="C17" s="70" t="s">
        <v>364</v>
      </c>
      <c r="E17" s="1">
        <v>128</v>
      </c>
      <c r="G17" s="111">
        <v>-34843256</v>
      </c>
      <c r="H17" s="4"/>
      <c r="I17" s="8" t="s">
        <v>231</v>
      </c>
      <c r="J17" s="43"/>
      <c r="K17" s="108">
        <v>0.43694520408491577</v>
      </c>
      <c r="L17" s="42"/>
      <c r="M17" s="45">
        <f t="shared" ref="M17:M20" si="1">G17*K17</f>
        <v>-15224593.603902966</v>
      </c>
      <c r="N17" s="4"/>
      <c r="O17" s="4"/>
      <c r="Q17" s="63"/>
    </row>
    <row r="18" spans="1:17" x14ac:dyDescent="0.25">
      <c r="A18">
        <v>6</v>
      </c>
      <c r="C18" s="70" t="s">
        <v>364</v>
      </c>
      <c r="E18" s="1" t="s">
        <v>312</v>
      </c>
      <c r="G18" s="111">
        <v>27797083</v>
      </c>
      <c r="I18" s="8" t="s">
        <v>231</v>
      </c>
      <c r="J18" s="43"/>
      <c r="K18" s="108">
        <v>0.43694520408491577</v>
      </c>
      <c r="L18" s="42"/>
      <c r="M18" s="45">
        <f t="shared" si="1"/>
        <v>12145802.104400342</v>
      </c>
      <c r="N18" s="4"/>
      <c r="O18" s="4"/>
      <c r="Q18" s="63"/>
    </row>
    <row r="19" spans="1:17" x14ac:dyDescent="0.25">
      <c r="A19">
        <v>7</v>
      </c>
      <c r="C19" s="70" t="s">
        <v>367</v>
      </c>
      <c r="E19" s="1">
        <v>190</v>
      </c>
      <c r="G19" s="12">
        <v>7812671</v>
      </c>
      <c r="H19" s="4"/>
      <c r="I19" s="8" t="s">
        <v>231</v>
      </c>
      <c r="J19" s="43"/>
      <c r="K19" s="108">
        <v>0.43694520408491577</v>
      </c>
      <c r="L19" s="42"/>
      <c r="M19" s="45">
        <f t="shared" si="1"/>
        <v>3413709.1245433032</v>
      </c>
      <c r="N19" s="4"/>
      <c r="O19" s="4"/>
      <c r="Q19" s="63"/>
    </row>
    <row r="20" spans="1:17" x14ac:dyDescent="0.25">
      <c r="A20">
        <v>8</v>
      </c>
      <c r="C20" s="70" t="s">
        <v>367</v>
      </c>
      <c r="E20" s="1">
        <v>283</v>
      </c>
      <c r="G20" s="41">
        <v>-6834303</v>
      </c>
      <c r="H20" s="4"/>
      <c r="I20" s="8" t="s">
        <v>231</v>
      </c>
      <c r="J20" s="43"/>
      <c r="K20" s="108">
        <v>0.43694520408491577</v>
      </c>
      <c r="L20" s="42"/>
      <c r="M20" s="45">
        <f t="shared" si="1"/>
        <v>-2986215.9191131522</v>
      </c>
      <c r="N20" s="4"/>
      <c r="O20" s="4"/>
      <c r="Q20" s="63"/>
    </row>
    <row r="21" spans="1:17" x14ac:dyDescent="0.25">
      <c r="A21">
        <v>9</v>
      </c>
      <c r="C21" s="70" t="s">
        <v>368</v>
      </c>
      <c r="G21" s="56">
        <f>SUM(G17:G20)</f>
        <v>-6067805</v>
      </c>
      <c r="H21" s="4"/>
      <c r="I21" s="4"/>
      <c r="J21" s="4"/>
      <c r="K21" s="4"/>
      <c r="L21" s="4"/>
      <c r="M21" s="56">
        <f>SUM(M17:M20)</f>
        <v>-2651298.2940724725</v>
      </c>
      <c r="N21" s="4"/>
      <c r="O21" s="4"/>
      <c r="Q21" s="63"/>
    </row>
    <row r="22" spans="1:17" x14ac:dyDescent="0.25">
      <c r="G22" s="51"/>
      <c r="H22" s="4"/>
      <c r="I22" s="4"/>
      <c r="J22" s="4"/>
      <c r="K22" s="4"/>
      <c r="L22" s="4"/>
      <c r="M22" s="4"/>
      <c r="N22" s="4"/>
      <c r="O22" s="4"/>
      <c r="Q22" s="63"/>
    </row>
    <row r="23" spans="1:17" ht="16.5" thickBot="1" x14ac:dyDescent="0.3">
      <c r="A23">
        <v>10</v>
      </c>
      <c r="C23" t="s">
        <v>369</v>
      </c>
      <c r="G23" s="49">
        <f>G15+G21</f>
        <v>-252335342</v>
      </c>
      <c r="H23" s="4"/>
      <c r="I23" s="4"/>
      <c r="J23" s="4"/>
      <c r="K23" s="4"/>
      <c r="L23" s="4"/>
      <c r="M23" s="49">
        <f>M15+M21</f>
        <v>-110256717.50802703</v>
      </c>
      <c r="N23" s="4"/>
      <c r="O23" s="4"/>
      <c r="Q23" s="63"/>
    </row>
    <row r="24" spans="1:17" ht="16.5" thickTop="1" x14ac:dyDescent="0.25">
      <c r="G24" s="51"/>
      <c r="H24" s="4"/>
      <c r="I24" s="4"/>
      <c r="J24" s="4"/>
      <c r="K24" s="4"/>
      <c r="L24" s="4"/>
      <c r="M24" s="4"/>
      <c r="N24" s="4"/>
      <c r="O24" s="4"/>
      <c r="Q24" s="63"/>
    </row>
    <row r="25" spans="1:17" x14ac:dyDescent="0.25">
      <c r="G25" s="4"/>
      <c r="H25" s="4"/>
      <c r="I25" s="4"/>
      <c r="J25" s="4"/>
      <c r="K25" s="4"/>
      <c r="L25" s="4"/>
      <c r="M25" s="4"/>
      <c r="N25" s="4"/>
      <c r="O25" s="4"/>
      <c r="Q25" s="63"/>
    </row>
    <row r="26" spans="1:17" x14ac:dyDescent="0.25">
      <c r="Q26" s="63"/>
    </row>
    <row r="27" spans="1:17" x14ac:dyDescent="0.25">
      <c r="C27" t="s">
        <v>5</v>
      </c>
      <c r="Q27" s="63"/>
    </row>
    <row r="28" spans="1:17" ht="7.5" customHeight="1" x14ac:dyDescent="0.25"/>
    <row r="29" spans="1:17" x14ac:dyDescent="0.25">
      <c r="C29" s="162" t="s">
        <v>466</v>
      </c>
      <c r="D29" s="163"/>
      <c r="E29" s="163"/>
      <c r="F29" s="163"/>
      <c r="G29" s="163"/>
      <c r="H29" s="163"/>
      <c r="I29" s="163"/>
      <c r="J29" s="163"/>
      <c r="K29" s="163"/>
      <c r="L29" s="163"/>
      <c r="M29" s="164"/>
      <c r="Q29" s="63"/>
    </row>
    <row r="30" spans="1:17" x14ac:dyDescent="0.25">
      <c r="C30" s="165"/>
      <c r="D30" s="166"/>
      <c r="E30" s="166"/>
      <c r="F30" s="166"/>
      <c r="G30" s="166"/>
      <c r="H30" s="166"/>
      <c r="I30" s="166"/>
      <c r="J30" s="166"/>
      <c r="K30" s="166"/>
      <c r="L30" s="166"/>
      <c r="M30" s="167"/>
      <c r="Q30" s="63"/>
    </row>
    <row r="31" spans="1:17" x14ac:dyDescent="0.25">
      <c r="C31" s="165"/>
      <c r="D31" s="166"/>
      <c r="E31" s="166"/>
      <c r="F31" s="166"/>
      <c r="G31" s="166"/>
      <c r="H31" s="166"/>
      <c r="I31" s="166"/>
      <c r="J31" s="166"/>
      <c r="K31" s="166"/>
      <c r="L31" s="166"/>
      <c r="M31" s="167"/>
    </row>
    <row r="32" spans="1:17" x14ac:dyDescent="0.25">
      <c r="C32" s="168"/>
      <c r="D32" s="169"/>
      <c r="E32" s="169"/>
      <c r="F32" s="169"/>
      <c r="G32" s="169"/>
      <c r="H32" s="169"/>
      <c r="I32" s="169"/>
      <c r="J32" s="169"/>
      <c r="K32" s="169"/>
      <c r="L32" s="169"/>
      <c r="M32" s="170"/>
    </row>
  </sheetData>
  <mergeCells count="1">
    <mergeCell ref="C29:M32"/>
  </mergeCells>
  <pageMargins left="0.7" right="0.7" top="0.75" bottom="0.75" header="0.3" footer="0.3"/>
  <pageSetup scale="82"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5"/>
  <sheetViews>
    <sheetView topLeftCell="A2" workbookViewId="0">
      <selection activeCell="F26" sqref="F26"/>
    </sheetView>
  </sheetViews>
  <sheetFormatPr defaultRowHeight="15.75" x14ac:dyDescent="0.25"/>
  <cols>
    <col min="1" max="1" width="4.625" customWidth="1"/>
    <col min="2" max="2" width="1.625" customWidth="1"/>
    <col min="3" max="3" width="40.375" customWidth="1"/>
    <col min="4" max="4" width="2.5" customWidth="1"/>
    <col min="5" max="5" width="7" customWidth="1"/>
    <col min="6" max="6" width="1" customWidth="1"/>
    <col min="7" max="7" width="12.375" customWidth="1"/>
    <col min="8" max="8" width="0.875" customWidth="1"/>
    <col min="9" max="9" width="6.375" customWidth="1"/>
    <col min="10" max="10" width="1" customWidth="1"/>
    <col min="11" max="11" width="9.125" customWidth="1"/>
    <col min="12" max="12" width="1" customWidth="1"/>
    <col min="13" max="13" width="12.5" customWidth="1"/>
  </cols>
  <sheetData>
    <row r="1" spans="1:13" x14ac:dyDescent="0.25">
      <c r="A1" s="7" t="s">
        <v>15</v>
      </c>
      <c r="B1" s="7"/>
      <c r="C1" s="7"/>
      <c r="K1" s="7" t="s">
        <v>230</v>
      </c>
    </row>
    <row r="2" spans="1:13" x14ac:dyDescent="0.25">
      <c r="A2" s="17" t="s">
        <v>13</v>
      </c>
      <c r="B2" s="7"/>
      <c r="C2" s="7"/>
      <c r="K2" t="s">
        <v>335</v>
      </c>
    </row>
    <row r="3" spans="1:13" x14ac:dyDescent="0.25">
      <c r="A3" s="5" t="s">
        <v>473</v>
      </c>
      <c r="B3" s="7"/>
      <c r="C3" s="7"/>
      <c r="K3" t="s">
        <v>594</v>
      </c>
    </row>
    <row r="4" spans="1:13" x14ac:dyDescent="0.25">
      <c r="A4" t="s">
        <v>334</v>
      </c>
      <c r="B4" s="7"/>
      <c r="C4" s="7"/>
      <c r="K4" s="5" t="s">
        <v>320</v>
      </c>
    </row>
    <row r="8" spans="1:13" x14ac:dyDescent="0.25">
      <c r="A8" s="7"/>
      <c r="B8" s="7"/>
      <c r="C8" s="7"/>
      <c r="D8" s="7"/>
      <c r="E8" s="7"/>
      <c r="F8" s="7"/>
      <c r="G8" s="38"/>
      <c r="H8" s="38"/>
      <c r="I8" s="38"/>
      <c r="J8" s="38"/>
      <c r="K8" s="38"/>
      <c r="L8" s="38"/>
      <c r="M8" s="24"/>
    </row>
    <row r="9" spans="1:13" x14ac:dyDescent="0.25">
      <c r="A9" t="s">
        <v>0</v>
      </c>
      <c r="E9" s="1"/>
      <c r="F9" s="1"/>
      <c r="G9" s="1" t="s">
        <v>4</v>
      </c>
      <c r="H9" s="1"/>
      <c r="I9" s="1"/>
      <c r="J9" s="1"/>
      <c r="K9" s="1"/>
      <c r="L9" s="1"/>
      <c r="M9" s="1" t="s">
        <v>9</v>
      </c>
    </row>
    <row r="10" spans="1:13" x14ac:dyDescent="0.25">
      <c r="A10" s="2" t="s">
        <v>3</v>
      </c>
      <c r="C10" s="2" t="s">
        <v>1</v>
      </c>
      <c r="E10" s="10"/>
      <c r="F10" s="1"/>
      <c r="G10" s="10" t="s">
        <v>6</v>
      </c>
      <c r="H10" s="1"/>
      <c r="I10" s="10" t="s">
        <v>7</v>
      </c>
      <c r="J10" s="1"/>
      <c r="K10" s="11" t="s">
        <v>10</v>
      </c>
      <c r="L10" s="1"/>
      <c r="M10" s="10" t="s">
        <v>8</v>
      </c>
    </row>
    <row r="12" spans="1:13" x14ac:dyDescent="0.25">
      <c r="A12">
        <v>1</v>
      </c>
      <c r="C12" t="s">
        <v>474</v>
      </c>
      <c r="E12" s="68"/>
      <c r="G12" s="6">
        <v>-418333</v>
      </c>
      <c r="I12" s="1" t="s">
        <v>375</v>
      </c>
      <c r="K12" s="96" t="s">
        <v>311</v>
      </c>
      <c r="M12" s="47">
        <f>G12</f>
        <v>-418333</v>
      </c>
    </row>
    <row r="13" spans="1:13" x14ac:dyDescent="0.25">
      <c r="E13" s="68"/>
      <c r="I13" s="1"/>
      <c r="K13" s="69"/>
    </row>
    <row r="14" spans="1:13" x14ac:dyDescent="0.25">
      <c r="A14">
        <v>2</v>
      </c>
      <c r="C14" t="s">
        <v>475</v>
      </c>
      <c r="E14" s="68"/>
      <c r="G14" s="41">
        <v>-5249190</v>
      </c>
      <c r="I14" s="1" t="s">
        <v>375</v>
      </c>
      <c r="K14" s="96" t="s">
        <v>311</v>
      </c>
      <c r="M14" s="48">
        <f>G14</f>
        <v>-5249190</v>
      </c>
    </row>
    <row r="15" spans="1:13" x14ac:dyDescent="0.25">
      <c r="E15" s="68"/>
      <c r="G15" s="6"/>
      <c r="I15" s="1"/>
      <c r="K15" s="69"/>
    </row>
    <row r="16" spans="1:13" ht="16.5" thickBot="1" x14ac:dyDescent="0.3">
      <c r="A16">
        <v>3</v>
      </c>
      <c r="C16" t="s">
        <v>476</v>
      </c>
      <c r="E16" s="68"/>
      <c r="G16" s="6">
        <f>SUM(G12:G14)</f>
        <v>-5667523</v>
      </c>
      <c r="I16" s="1"/>
      <c r="K16" s="69"/>
      <c r="M16" s="14">
        <f>SUM(M12:M14)</f>
        <v>-5667523</v>
      </c>
    </row>
    <row r="17" spans="1:13" ht="16.5" thickTop="1" x14ac:dyDescent="0.25">
      <c r="E17" s="68"/>
      <c r="G17" s="6"/>
      <c r="I17" s="1"/>
      <c r="K17" s="69"/>
    </row>
    <row r="18" spans="1:13" ht="16.5" thickBot="1" x14ac:dyDescent="0.3">
      <c r="A18">
        <v>4</v>
      </c>
      <c r="C18" t="s">
        <v>477</v>
      </c>
      <c r="E18" s="68"/>
      <c r="K18" s="69"/>
      <c r="M18" s="14">
        <f>-M16</f>
        <v>5667523</v>
      </c>
    </row>
    <row r="19" spans="1:13" ht="16.5" thickTop="1" x14ac:dyDescent="0.25">
      <c r="K19" s="69"/>
    </row>
    <row r="20" spans="1:13" x14ac:dyDescent="0.25">
      <c r="C20" s="3" t="s">
        <v>596</v>
      </c>
      <c r="K20" s="69"/>
    </row>
    <row r="21" spans="1:13" x14ac:dyDescent="0.25">
      <c r="C21" t="s">
        <v>722</v>
      </c>
      <c r="G21" s="40"/>
      <c r="K21" s="69"/>
    </row>
    <row r="22" spans="1:13" x14ac:dyDescent="0.25">
      <c r="C22" t="s">
        <v>723</v>
      </c>
      <c r="K22" s="69"/>
    </row>
    <row r="23" spans="1:13" x14ac:dyDescent="0.25">
      <c r="C23" t="s">
        <v>724</v>
      </c>
    </row>
    <row r="24" spans="1:13" x14ac:dyDescent="0.25">
      <c r="C24" t="s">
        <v>595</v>
      </c>
    </row>
    <row r="27" spans="1:13" x14ac:dyDescent="0.25">
      <c r="C27" t="s">
        <v>5</v>
      </c>
    </row>
    <row r="29" spans="1:13" x14ac:dyDescent="0.25">
      <c r="C29" s="162" t="s">
        <v>725</v>
      </c>
      <c r="D29" s="163"/>
      <c r="E29" s="163"/>
      <c r="F29" s="163"/>
      <c r="G29" s="163"/>
      <c r="H29" s="163"/>
      <c r="I29" s="163"/>
      <c r="J29" s="163"/>
      <c r="K29" s="163"/>
      <c r="L29" s="163"/>
      <c r="M29" s="164"/>
    </row>
    <row r="30" spans="1:13" x14ac:dyDescent="0.25">
      <c r="C30" s="165"/>
      <c r="D30" s="166"/>
      <c r="E30" s="166"/>
      <c r="F30" s="166"/>
      <c r="G30" s="166"/>
      <c r="H30" s="166"/>
      <c r="I30" s="166"/>
      <c r="J30" s="166"/>
      <c r="K30" s="166"/>
      <c r="L30" s="166"/>
      <c r="M30" s="167"/>
    </row>
    <row r="31" spans="1:13" x14ac:dyDescent="0.25">
      <c r="C31" s="165"/>
      <c r="D31" s="166"/>
      <c r="E31" s="166"/>
      <c r="F31" s="166"/>
      <c r="G31" s="166"/>
      <c r="H31" s="166"/>
      <c r="I31" s="166"/>
      <c r="J31" s="166"/>
      <c r="K31" s="166"/>
      <c r="L31" s="166"/>
      <c r="M31" s="167"/>
    </row>
    <row r="32" spans="1:13" x14ac:dyDescent="0.25">
      <c r="C32" s="165"/>
      <c r="D32" s="166"/>
      <c r="E32" s="166"/>
      <c r="F32" s="166"/>
      <c r="G32" s="166"/>
      <c r="H32" s="166"/>
      <c r="I32" s="166"/>
      <c r="J32" s="166"/>
      <c r="K32" s="166"/>
      <c r="L32" s="166"/>
      <c r="M32" s="167"/>
    </row>
    <row r="33" spans="3:13" x14ac:dyDescent="0.25">
      <c r="C33" s="165"/>
      <c r="D33" s="166"/>
      <c r="E33" s="166"/>
      <c r="F33" s="166"/>
      <c r="G33" s="166"/>
      <c r="H33" s="166"/>
      <c r="I33" s="166"/>
      <c r="J33" s="166"/>
      <c r="K33" s="166"/>
      <c r="L33" s="166"/>
      <c r="M33" s="167"/>
    </row>
    <row r="34" spans="3:13" x14ac:dyDescent="0.25">
      <c r="C34" s="165"/>
      <c r="D34" s="166"/>
      <c r="E34" s="166"/>
      <c r="F34" s="166"/>
      <c r="G34" s="166"/>
      <c r="H34" s="166"/>
      <c r="I34" s="166"/>
      <c r="J34" s="166"/>
      <c r="K34" s="166"/>
      <c r="L34" s="166"/>
      <c r="M34" s="167"/>
    </row>
    <row r="35" spans="3:13" x14ac:dyDescent="0.25">
      <c r="C35" s="168"/>
      <c r="D35" s="169"/>
      <c r="E35" s="169"/>
      <c r="F35" s="169"/>
      <c r="G35" s="169"/>
      <c r="H35" s="169"/>
      <c r="I35" s="169"/>
      <c r="J35" s="169"/>
      <c r="K35" s="169"/>
      <c r="L35" s="169"/>
      <c r="M35" s="170"/>
    </row>
  </sheetData>
  <mergeCells count="1">
    <mergeCell ref="C29:M35"/>
  </mergeCells>
  <pageMargins left="0.7" right="0.7" top="0.75" bottom="0.75" header="0.3" footer="0.3"/>
  <pageSetup scale="77"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3"/>
  <sheetViews>
    <sheetView workbookViewId="0">
      <selection activeCell="C23" sqref="C23"/>
    </sheetView>
  </sheetViews>
  <sheetFormatPr defaultRowHeight="15.75" x14ac:dyDescent="0.25"/>
  <cols>
    <col min="1" max="1" width="4.625" customWidth="1"/>
    <col min="2" max="2" width="1.625" customWidth="1"/>
    <col min="3" max="3" width="44.625" customWidth="1"/>
    <col min="4" max="4" width="2.5" customWidth="1"/>
    <col min="5" max="5" width="7" customWidth="1"/>
    <col min="6" max="6" width="1" customWidth="1"/>
    <col min="7" max="7" width="11.75" customWidth="1"/>
    <col min="8" max="8" width="0.875" customWidth="1"/>
    <col min="9" max="9" width="6.375" customWidth="1"/>
    <col min="10" max="10" width="1" customWidth="1"/>
    <col min="11" max="11" width="9.125" customWidth="1"/>
    <col min="12" max="12" width="1" customWidth="1"/>
    <col min="13" max="13" width="12.5" customWidth="1"/>
  </cols>
  <sheetData>
    <row r="1" spans="1:13" x14ac:dyDescent="0.25">
      <c r="A1" s="7" t="s">
        <v>15</v>
      </c>
      <c r="B1" s="7"/>
      <c r="C1" s="7"/>
      <c r="K1" s="7" t="s">
        <v>230</v>
      </c>
    </row>
    <row r="2" spans="1:13" x14ac:dyDescent="0.25">
      <c r="A2" s="17" t="s">
        <v>13</v>
      </c>
      <c r="B2" s="7"/>
      <c r="C2" s="7"/>
      <c r="K2" t="s">
        <v>335</v>
      </c>
    </row>
    <row r="3" spans="1:13" x14ac:dyDescent="0.25">
      <c r="A3" s="5" t="s">
        <v>614</v>
      </c>
      <c r="B3" s="7"/>
      <c r="C3" s="7"/>
      <c r="K3" t="s">
        <v>319</v>
      </c>
    </row>
    <row r="4" spans="1:13" x14ac:dyDescent="0.25">
      <c r="A4" t="s">
        <v>334</v>
      </c>
      <c r="B4" s="7"/>
      <c r="C4" s="7"/>
      <c r="K4" s="5" t="s">
        <v>320</v>
      </c>
    </row>
    <row r="8" spans="1:13" x14ac:dyDescent="0.25">
      <c r="A8" s="7"/>
      <c r="B8" s="7"/>
      <c r="C8" s="7"/>
      <c r="D8" s="7"/>
      <c r="E8" s="7"/>
      <c r="F8" s="7"/>
      <c r="G8" s="38"/>
      <c r="H8" s="38"/>
      <c r="I8" s="38"/>
      <c r="J8" s="38"/>
      <c r="K8" s="38"/>
      <c r="L8" s="38"/>
      <c r="M8" s="24"/>
    </row>
    <row r="9" spans="1:13" x14ac:dyDescent="0.25">
      <c r="A9" t="s">
        <v>0</v>
      </c>
      <c r="E9" s="1"/>
      <c r="F9" s="1"/>
      <c r="G9" s="1" t="s">
        <v>4</v>
      </c>
      <c r="H9" s="1"/>
      <c r="I9" s="1"/>
      <c r="J9" s="1"/>
      <c r="K9" s="1"/>
      <c r="L9" s="1"/>
      <c r="M9" s="1" t="s">
        <v>9</v>
      </c>
    </row>
    <row r="10" spans="1:13" x14ac:dyDescent="0.25">
      <c r="A10" s="2" t="s">
        <v>3</v>
      </c>
      <c r="C10" s="2" t="s">
        <v>1</v>
      </c>
      <c r="E10" s="10" t="s">
        <v>66</v>
      </c>
      <c r="F10" s="1"/>
      <c r="G10" s="10" t="s">
        <v>6</v>
      </c>
      <c r="H10" s="1"/>
      <c r="I10" s="10" t="s">
        <v>7</v>
      </c>
      <c r="J10" s="1"/>
      <c r="K10" s="11" t="s">
        <v>10</v>
      </c>
      <c r="L10" s="1"/>
      <c r="M10" s="10" t="s">
        <v>8</v>
      </c>
    </row>
    <row r="11" spans="1:13" x14ac:dyDescent="0.25">
      <c r="A11" s="4"/>
      <c r="C11" s="4"/>
      <c r="E11" s="8"/>
      <c r="F11" s="1"/>
      <c r="G11" s="8"/>
      <c r="H11" s="1"/>
      <c r="I11" s="8"/>
      <c r="J11" s="1"/>
      <c r="K11" s="21"/>
      <c r="L11" s="1"/>
      <c r="M11" s="8"/>
    </row>
    <row r="12" spans="1:13" x14ac:dyDescent="0.25">
      <c r="A12">
        <v>1</v>
      </c>
      <c r="C12" t="s">
        <v>494</v>
      </c>
    </row>
    <row r="13" spans="1:13" x14ac:dyDescent="0.25">
      <c r="C13" t="s">
        <v>495</v>
      </c>
      <c r="E13" s="68">
        <v>254</v>
      </c>
      <c r="G13" s="6">
        <f>G22</f>
        <v>3568513</v>
      </c>
      <c r="I13" s="1" t="s">
        <v>375</v>
      </c>
      <c r="K13" s="96" t="s">
        <v>311</v>
      </c>
      <c r="M13" s="47">
        <f>G13</f>
        <v>3568513</v>
      </c>
    </row>
    <row r="19" spans="1:13" x14ac:dyDescent="0.25">
      <c r="C19" s="3" t="s">
        <v>491</v>
      </c>
    </row>
    <row r="20" spans="1:13" x14ac:dyDescent="0.25">
      <c r="A20" t="s">
        <v>237</v>
      </c>
      <c r="C20" t="s">
        <v>492</v>
      </c>
      <c r="G20" s="6">
        <v>-3619919</v>
      </c>
      <c r="I20" t="s">
        <v>597</v>
      </c>
    </row>
    <row r="21" spans="1:13" x14ac:dyDescent="0.25">
      <c r="A21" t="s">
        <v>238</v>
      </c>
      <c r="C21" t="s">
        <v>493</v>
      </c>
      <c r="G21" s="41">
        <v>-7188432</v>
      </c>
      <c r="I21" t="s">
        <v>598</v>
      </c>
    </row>
    <row r="22" spans="1:13" x14ac:dyDescent="0.25">
      <c r="A22" t="s">
        <v>239</v>
      </c>
      <c r="C22" t="s">
        <v>727</v>
      </c>
      <c r="G22" s="112">
        <f>G20-G21</f>
        <v>3568513</v>
      </c>
    </row>
    <row r="23" spans="1:13" x14ac:dyDescent="0.25">
      <c r="G23" s="6"/>
    </row>
    <row r="24" spans="1:13" x14ac:dyDescent="0.25">
      <c r="G24" s="6"/>
    </row>
    <row r="25" spans="1:13" x14ac:dyDescent="0.25">
      <c r="G25" s="6"/>
    </row>
    <row r="26" spans="1:13" x14ac:dyDescent="0.25">
      <c r="G26" s="6"/>
    </row>
    <row r="27" spans="1:13" x14ac:dyDescent="0.25">
      <c r="C27" t="s">
        <v>5</v>
      </c>
      <c r="G27" s="6"/>
    </row>
    <row r="28" spans="1:13" x14ac:dyDescent="0.25">
      <c r="G28" s="6"/>
    </row>
    <row r="29" spans="1:13" x14ac:dyDescent="0.25">
      <c r="C29" s="162" t="s">
        <v>726</v>
      </c>
      <c r="D29" s="163"/>
      <c r="E29" s="163"/>
      <c r="F29" s="163"/>
      <c r="G29" s="163"/>
      <c r="H29" s="163"/>
      <c r="I29" s="163"/>
      <c r="J29" s="163"/>
      <c r="K29" s="163"/>
      <c r="L29" s="163"/>
      <c r="M29" s="164"/>
    </row>
    <row r="30" spans="1:13" x14ac:dyDescent="0.25">
      <c r="C30" s="165"/>
      <c r="D30" s="166"/>
      <c r="E30" s="166"/>
      <c r="F30" s="166"/>
      <c r="G30" s="166"/>
      <c r="H30" s="166"/>
      <c r="I30" s="166"/>
      <c r="J30" s="166"/>
      <c r="K30" s="166"/>
      <c r="L30" s="166"/>
      <c r="M30" s="167"/>
    </row>
    <row r="31" spans="1:13" x14ac:dyDescent="0.25">
      <c r="C31" s="165"/>
      <c r="D31" s="166"/>
      <c r="E31" s="166"/>
      <c r="F31" s="166"/>
      <c r="G31" s="166"/>
      <c r="H31" s="166"/>
      <c r="I31" s="166"/>
      <c r="J31" s="166"/>
      <c r="K31" s="166"/>
      <c r="L31" s="166"/>
      <c r="M31" s="167"/>
    </row>
    <row r="32" spans="1:13" x14ac:dyDescent="0.25">
      <c r="C32" s="165"/>
      <c r="D32" s="166"/>
      <c r="E32" s="166"/>
      <c r="F32" s="166"/>
      <c r="G32" s="166"/>
      <c r="H32" s="166"/>
      <c r="I32" s="166"/>
      <c r="J32" s="166"/>
      <c r="K32" s="166"/>
      <c r="L32" s="166"/>
      <c r="M32" s="167"/>
    </row>
    <row r="33" spans="3:13" x14ac:dyDescent="0.25">
      <c r="C33" s="168"/>
      <c r="D33" s="169"/>
      <c r="E33" s="169"/>
      <c r="F33" s="169"/>
      <c r="G33" s="169"/>
      <c r="H33" s="169"/>
      <c r="I33" s="169"/>
      <c r="J33" s="169"/>
      <c r="K33" s="169"/>
      <c r="L33" s="169"/>
      <c r="M33" s="170"/>
    </row>
  </sheetData>
  <mergeCells count="1">
    <mergeCell ref="C29:M33"/>
  </mergeCells>
  <pageMargins left="0.7" right="0.7" top="0.75" bottom="0.75" header="0.3" footer="0.3"/>
  <pageSetup scale="75" orientation="portrait" horizontalDpi="0" verticalDpi="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5"/>
  <sheetViews>
    <sheetView workbookViewId="0">
      <selection activeCell="C36" sqref="C36"/>
    </sheetView>
  </sheetViews>
  <sheetFormatPr defaultRowHeight="15.75" x14ac:dyDescent="0.25"/>
  <cols>
    <col min="1" max="1" width="4.625" customWidth="1"/>
    <col min="2" max="2" width="1.625" customWidth="1"/>
    <col min="3" max="3" width="41.125" customWidth="1"/>
    <col min="4" max="4" width="2.5" customWidth="1"/>
    <col min="5" max="5" width="7" customWidth="1"/>
    <col min="6" max="6" width="1" customWidth="1"/>
    <col min="7" max="7" width="13.5" customWidth="1"/>
    <col min="8" max="8" width="0.875" customWidth="1"/>
    <col min="9" max="9" width="6.375" customWidth="1"/>
    <col min="10" max="10" width="1" customWidth="1"/>
    <col min="11" max="11" width="9.125" customWidth="1"/>
    <col min="12" max="12" width="1" customWidth="1"/>
    <col min="13" max="13" width="13.5" customWidth="1"/>
  </cols>
  <sheetData>
    <row r="1" spans="1:13" x14ac:dyDescent="0.25">
      <c r="A1" s="7" t="s">
        <v>15</v>
      </c>
      <c r="B1" s="7"/>
      <c r="C1" s="7"/>
      <c r="K1" s="7" t="s">
        <v>230</v>
      </c>
    </row>
    <row r="2" spans="1:13" x14ac:dyDescent="0.25">
      <c r="A2" s="17" t="s">
        <v>13</v>
      </c>
      <c r="B2" s="7"/>
      <c r="C2" s="7"/>
      <c r="K2" t="s">
        <v>335</v>
      </c>
    </row>
    <row r="3" spans="1:13" x14ac:dyDescent="0.25">
      <c r="A3" s="5" t="s">
        <v>600</v>
      </c>
      <c r="B3" s="7"/>
      <c r="C3" s="7"/>
      <c r="K3" t="s">
        <v>599</v>
      </c>
    </row>
    <row r="4" spans="1:13" x14ac:dyDescent="0.25">
      <c r="A4" t="s">
        <v>334</v>
      </c>
      <c r="B4" s="7"/>
      <c r="C4" s="7"/>
      <c r="K4" s="5" t="s">
        <v>320</v>
      </c>
    </row>
    <row r="8" spans="1:13" x14ac:dyDescent="0.25">
      <c r="A8" s="7"/>
      <c r="B8" s="7"/>
      <c r="C8" s="7"/>
      <c r="D8" s="7"/>
      <c r="E8" s="7"/>
      <c r="F8" s="7"/>
      <c r="G8" s="38"/>
      <c r="H8" s="38"/>
      <c r="I8" s="38"/>
      <c r="J8" s="38"/>
      <c r="K8" s="38"/>
      <c r="L8" s="38"/>
      <c r="M8" s="24"/>
    </row>
    <row r="9" spans="1:13" x14ac:dyDescent="0.25">
      <c r="A9" t="s">
        <v>0</v>
      </c>
      <c r="E9" s="1"/>
      <c r="F9" s="1"/>
      <c r="G9" s="1" t="s">
        <v>4</v>
      </c>
      <c r="H9" s="1"/>
      <c r="I9" s="1"/>
      <c r="J9" s="1"/>
      <c r="K9" s="1"/>
      <c r="L9" s="1"/>
      <c r="M9" s="1" t="s">
        <v>9</v>
      </c>
    </row>
    <row r="10" spans="1:13" x14ac:dyDescent="0.25">
      <c r="A10" s="2" t="s">
        <v>3</v>
      </c>
      <c r="C10" s="2" t="s">
        <v>1</v>
      </c>
      <c r="E10" s="10" t="s">
        <v>66</v>
      </c>
      <c r="F10" s="1"/>
      <c r="G10" s="10" t="s">
        <v>6</v>
      </c>
      <c r="H10" s="1"/>
      <c r="I10" s="10" t="s">
        <v>7</v>
      </c>
      <c r="J10" s="1"/>
      <c r="K10" s="11" t="s">
        <v>10</v>
      </c>
      <c r="L10" s="1"/>
      <c r="M10" s="10" t="s">
        <v>8</v>
      </c>
    </row>
    <row r="11" spans="1:13" x14ac:dyDescent="0.25">
      <c r="A11" s="4"/>
      <c r="C11" s="4"/>
      <c r="E11" s="8"/>
      <c r="F11" s="1"/>
      <c r="G11" s="8"/>
      <c r="H11" s="1"/>
      <c r="I11" s="8"/>
      <c r="J11" s="1"/>
      <c r="K11" s="21"/>
      <c r="L11" s="1"/>
      <c r="M11" s="8"/>
    </row>
    <row r="12" spans="1:13" x14ac:dyDescent="0.25">
      <c r="C12" s="3" t="s">
        <v>65</v>
      </c>
      <c r="M12" s="6"/>
    </row>
    <row r="13" spans="1:13" x14ac:dyDescent="0.25">
      <c r="A13">
        <v>1</v>
      </c>
      <c r="C13" t="s">
        <v>506</v>
      </c>
      <c r="E13" s="1">
        <v>114</v>
      </c>
      <c r="G13" s="6">
        <f>-'3.19.1'!K24</f>
        <v>-141186242</v>
      </c>
      <c r="I13" s="1" t="s">
        <v>14</v>
      </c>
      <c r="K13" s="108">
        <v>0.43997498132271273</v>
      </c>
      <c r="M13" s="6">
        <f>G13*K13</f>
        <v>-62118414.186973996</v>
      </c>
    </row>
    <row r="14" spans="1:13" x14ac:dyDescent="0.25">
      <c r="A14">
        <v>2</v>
      </c>
      <c r="C14" t="s">
        <v>507</v>
      </c>
      <c r="E14" s="1">
        <v>115</v>
      </c>
      <c r="G14" s="41">
        <f>-'3.19.1'!M24</f>
        <v>137303921</v>
      </c>
      <c r="I14" s="1" t="s">
        <v>14</v>
      </c>
      <c r="K14" s="108">
        <v>0.43997498132271273</v>
      </c>
      <c r="M14" s="41">
        <f>G14*K14</f>
        <v>60410290.077510223</v>
      </c>
    </row>
    <row r="15" spans="1:13" x14ac:dyDescent="0.25">
      <c r="A15">
        <v>3</v>
      </c>
      <c r="C15" t="s">
        <v>508</v>
      </c>
      <c r="E15" s="1"/>
      <c r="G15" s="6">
        <f>SUM(G13:G14)</f>
        <v>-3882321</v>
      </c>
      <c r="I15" s="1"/>
      <c r="M15" s="112">
        <f>SUM(M13:M14)</f>
        <v>-1708124.1094637737</v>
      </c>
    </row>
    <row r="16" spans="1:13" x14ac:dyDescent="0.25">
      <c r="E16" s="1"/>
    </row>
    <row r="17" spans="1:13" x14ac:dyDescent="0.25">
      <c r="C17" s="3" t="s">
        <v>12</v>
      </c>
      <c r="E17" s="68"/>
      <c r="G17" s="6"/>
      <c r="I17" s="1"/>
      <c r="K17" s="96"/>
      <c r="M17" s="47"/>
    </row>
    <row r="18" spans="1:13" x14ac:dyDescent="0.25">
      <c r="A18">
        <v>4</v>
      </c>
      <c r="C18" t="s">
        <v>509</v>
      </c>
      <c r="E18" s="1">
        <v>406</v>
      </c>
      <c r="G18" s="6">
        <f>-'3.19.1'!G30</f>
        <v>-4706208</v>
      </c>
      <c r="I18" s="1" t="s">
        <v>14</v>
      </c>
      <c r="K18" s="108">
        <v>0.43997498132271273</v>
      </c>
      <c r="M18" s="41">
        <f>G18*K18</f>
        <v>-2070613.7769008013</v>
      </c>
    </row>
    <row r="19" spans="1:13" x14ac:dyDescent="0.25">
      <c r="A19" s="4"/>
      <c r="B19" s="4"/>
      <c r="C19" s="39"/>
      <c r="D19" s="4"/>
      <c r="E19" s="4"/>
      <c r="F19" s="4"/>
      <c r="G19" s="4"/>
      <c r="H19" s="4"/>
    </row>
    <row r="20" spans="1:13" x14ac:dyDescent="0.25">
      <c r="A20" s="4"/>
      <c r="B20" s="4"/>
      <c r="C20" s="4"/>
      <c r="D20" s="4"/>
      <c r="E20" s="4"/>
      <c r="F20" s="4"/>
      <c r="G20" s="12"/>
      <c r="H20" s="4"/>
    </row>
    <row r="21" spans="1:13" x14ac:dyDescent="0.25">
      <c r="A21" s="4"/>
      <c r="B21" s="4"/>
      <c r="C21" s="39" t="s">
        <v>510</v>
      </c>
      <c r="D21" s="4"/>
      <c r="E21" s="4"/>
      <c r="F21" s="4"/>
      <c r="G21" s="12"/>
      <c r="H21" s="4"/>
    </row>
    <row r="22" spans="1:13" x14ac:dyDescent="0.25">
      <c r="A22" s="4" t="s">
        <v>237</v>
      </c>
      <c r="B22" s="4"/>
      <c r="C22" s="4" t="s">
        <v>512</v>
      </c>
      <c r="D22" s="4"/>
      <c r="E22" s="4"/>
      <c r="F22" s="4"/>
      <c r="G22" s="12">
        <f>'3.19.1'!E12</f>
        <v>141186242</v>
      </c>
      <c r="H22" s="4"/>
    </row>
    <row r="23" spans="1:13" x14ac:dyDescent="0.25">
      <c r="A23" s="4" t="s">
        <v>238</v>
      </c>
      <c r="B23" s="4"/>
      <c r="C23" s="20" t="s">
        <v>511</v>
      </c>
      <c r="D23" s="4"/>
      <c r="E23" s="4"/>
      <c r="F23" s="4"/>
      <c r="G23" s="41">
        <f>'3.19.1'!I12</f>
        <v>-134950817</v>
      </c>
      <c r="H23" s="4"/>
    </row>
    <row r="24" spans="1:13" x14ac:dyDescent="0.25">
      <c r="A24" t="s">
        <v>239</v>
      </c>
      <c r="C24" s="20" t="s">
        <v>513</v>
      </c>
      <c r="G24" s="6">
        <f>SUM(G22:G23)</f>
        <v>6235425</v>
      </c>
    </row>
    <row r="25" spans="1:13" x14ac:dyDescent="0.25">
      <c r="A25" t="s">
        <v>240</v>
      </c>
      <c r="C25" s="20" t="s">
        <v>514</v>
      </c>
      <c r="E25" s="1" t="s">
        <v>14</v>
      </c>
      <c r="G25" s="138">
        <f>K13</f>
        <v>0.43997498132271273</v>
      </c>
    </row>
    <row r="26" spans="1:13" x14ac:dyDescent="0.25">
      <c r="A26" t="s">
        <v>241</v>
      </c>
      <c r="C26" s="20" t="s">
        <v>515</v>
      </c>
      <c r="E26" s="1"/>
      <c r="G26" s="112">
        <f>ROUND(G24*G25,0)</f>
        <v>2743431</v>
      </c>
    </row>
    <row r="27" spans="1:13" x14ac:dyDescent="0.25">
      <c r="A27" t="s">
        <v>306</v>
      </c>
      <c r="C27" s="20" t="s">
        <v>604</v>
      </c>
      <c r="E27" s="1"/>
      <c r="G27" s="112">
        <f>G26</f>
        <v>2743431</v>
      </c>
      <c r="I27" t="s">
        <v>605</v>
      </c>
    </row>
    <row r="28" spans="1:13" x14ac:dyDescent="0.25">
      <c r="G28" s="6"/>
    </row>
    <row r="29" spans="1:13" x14ac:dyDescent="0.25">
      <c r="C29" t="s">
        <v>5</v>
      </c>
      <c r="G29" s="6"/>
    </row>
    <row r="30" spans="1:13" ht="10.5" customHeight="1" x14ac:dyDescent="0.25">
      <c r="G30" s="6"/>
    </row>
    <row r="31" spans="1:13" x14ac:dyDescent="0.25">
      <c r="C31" s="162" t="s">
        <v>728</v>
      </c>
      <c r="D31" s="163"/>
      <c r="E31" s="163"/>
      <c r="F31" s="163"/>
      <c r="G31" s="163"/>
      <c r="H31" s="163"/>
      <c r="I31" s="163"/>
      <c r="J31" s="163"/>
      <c r="K31" s="163"/>
      <c r="L31" s="163"/>
      <c r="M31" s="164"/>
    </row>
    <row r="32" spans="1:13" x14ac:dyDescent="0.25">
      <c r="C32" s="165"/>
      <c r="D32" s="166"/>
      <c r="E32" s="166"/>
      <c r="F32" s="166"/>
      <c r="G32" s="166"/>
      <c r="H32" s="166"/>
      <c r="I32" s="166"/>
      <c r="J32" s="166"/>
      <c r="K32" s="166"/>
      <c r="L32" s="166"/>
      <c r="M32" s="167"/>
    </row>
    <row r="33" spans="3:13" x14ac:dyDescent="0.25">
      <c r="C33" s="165"/>
      <c r="D33" s="166"/>
      <c r="E33" s="166"/>
      <c r="F33" s="166"/>
      <c r="G33" s="166"/>
      <c r="H33" s="166"/>
      <c r="I33" s="166"/>
      <c r="J33" s="166"/>
      <c r="K33" s="166"/>
      <c r="L33" s="166"/>
      <c r="M33" s="167"/>
    </row>
    <row r="34" spans="3:13" x14ac:dyDescent="0.25">
      <c r="C34" s="165"/>
      <c r="D34" s="166"/>
      <c r="E34" s="166"/>
      <c r="F34" s="166"/>
      <c r="G34" s="166"/>
      <c r="H34" s="166"/>
      <c r="I34" s="166"/>
      <c r="J34" s="166"/>
      <c r="K34" s="166"/>
      <c r="L34" s="166"/>
      <c r="M34" s="167"/>
    </row>
    <row r="35" spans="3:13" x14ac:dyDescent="0.25">
      <c r="C35" s="168"/>
      <c r="D35" s="169"/>
      <c r="E35" s="169"/>
      <c r="F35" s="169"/>
      <c r="G35" s="169"/>
      <c r="H35" s="169"/>
      <c r="I35" s="169"/>
      <c r="J35" s="169"/>
      <c r="K35" s="169"/>
      <c r="L35" s="169"/>
      <c r="M35" s="170"/>
    </row>
  </sheetData>
  <mergeCells count="1">
    <mergeCell ref="C31:M35"/>
  </mergeCells>
  <pageMargins left="0.7" right="0.7" top="0.75" bottom="0.75" header="0.3" footer="0.3"/>
  <pageSetup scale="82" orientation="portrait" horizontalDpi="0" verticalDpi="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4"/>
  <sheetViews>
    <sheetView workbookViewId="0">
      <selection activeCell="I34" sqref="I34"/>
    </sheetView>
  </sheetViews>
  <sheetFormatPr defaultRowHeight="15.75" x14ac:dyDescent="0.25"/>
  <cols>
    <col min="1" max="1" width="3" customWidth="1"/>
    <col min="2" max="2" width="1.625" customWidth="1"/>
    <col min="3" max="3" width="10.875" customWidth="1"/>
    <col min="4" max="4" width="2.5" customWidth="1"/>
    <col min="5" max="5" width="15.75" customWidth="1"/>
    <col min="6" max="6" width="1" customWidth="1"/>
    <col min="7" max="7" width="12.375" customWidth="1"/>
    <col min="8" max="8" width="0.875" customWidth="1"/>
    <col min="9" max="9" width="14.375" customWidth="1"/>
    <col min="10" max="10" width="1" customWidth="1"/>
    <col min="11" max="11" width="13.875" customWidth="1"/>
    <col min="12" max="12" width="1" customWidth="1"/>
    <col min="13" max="13" width="15.375" customWidth="1"/>
  </cols>
  <sheetData>
    <row r="1" spans="1:13" x14ac:dyDescent="0.25">
      <c r="A1" s="7" t="s">
        <v>15</v>
      </c>
      <c r="B1" s="7"/>
      <c r="C1" s="7"/>
      <c r="K1" s="7" t="s">
        <v>230</v>
      </c>
    </row>
    <row r="2" spans="1:13" x14ac:dyDescent="0.25">
      <c r="A2" s="17" t="s">
        <v>13</v>
      </c>
      <c r="B2" s="7"/>
      <c r="C2" s="7"/>
      <c r="K2" t="s">
        <v>335</v>
      </c>
    </row>
    <row r="3" spans="1:13" x14ac:dyDescent="0.25">
      <c r="A3" s="5" t="s">
        <v>496</v>
      </c>
      <c r="B3" s="7"/>
      <c r="C3" s="7"/>
      <c r="K3" t="str">
        <f>'3.19'!K3</f>
        <v>Exhibit OCS 3.19D</v>
      </c>
    </row>
    <row r="4" spans="1:13" x14ac:dyDescent="0.25">
      <c r="A4" t="s">
        <v>334</v>
      </c>
      <c r="B4" s="7"/>
      <c r="C4" s="7"/>
      <c r="K4" s="5" t="s">
        <v>610</v>
      </c>
    </row>
    <row r="6" spans="1:13" x14ac:dyDescent="0.25">
      <c r="A6" t="s">
        <v>497</v>
      </c>
    </row>
    <row r="9" spans="1:13" x14ac:dyDescent="0.25">
      <c r="E9" s="1"/>
      <c r="F9" s="1"/>
      <c r="G9" s="1"/>
      <c r="H9" s="1"/>
      <c r="I9" s="1" t="s">
        <v>500</v>
      </c>
      <c r="K9" s="136" t="s">
        <v>501</v>
      </c>
      <c r="L9" s="137"/>
      <c r="M9" s="137"/>
    </row>
    <row r="10" spans="1:13" x14ac:dyDescent="0.25">
      <c r="E10" s="10" t="s">
        <v>498</v>
      </c>
      <c r="F10" s="1"/>
      <c r="G10" s="10" t="s">
        <v>499</v>
      </c>
      <c r="H10" s="1"/>
      <c r="I10" s="10" t="s">
        <v>499</v>
      </c>
      <c r="K10" s="10" t="s">
        <v>502</v>
      </c>
      <c r="L10" s="1"/>
      <c r="M10" s="10" t="s">
        <v>503</v>
      </c>
    </row>
    <row r="12" spans="1:13" x14ac:dyDescent="0.25">
      <c r="C12" s="99">
        <v>44166</v>
      </c>
      <c r="E12" s="47">
        <v>141186242</v>
      </c>
      <c r="F12" s="47"/>
      <c r="G12" s="47">
        <v>-392184</v>
      </c>
      <c r="H12" s="47"/>
      <c r="I12" s="47">
        <v>-134950817</v>
      </c>
    </row>
    <row r="13" spans="1:13" x14ac:dyDescent="0.25">
      <c r="C13" s="99">
        <v>44197</v>
      </c>
      <c r="E13" s="47">
        <v>141186242</v>
      </c>
      <c r="F13" s="47"/>
      <c r="G13" s="47">
        <v>-392184</v>
      </c>
      <c r="H13" s="47"/>
      <c r="I13" s="47">
        <f>I12+G13</f>
        <v>-135343001</v>
      </c>
    </row>
    <row r="14" spans="1:13" x14ac:dyDescent="0.25">
      <c r="C14" s="135">
        <v>44228</v>
      </c>
      <c r="E14" s="47">
        <v>141186242</v>
      </c>
      <c r="F14" s="47"/>
      <c r="G14" s="47">
        <v>-392184</v>
      </c>
      <c r="H14" s="47"/>
      <c r="I14" s="47">
        <f t="shared" ref="I14:I24" si="0">I13+G14</f>
        <v>-135735185</v>
      </c>
    </row>
    <row r="15" spans="1:13" x14ac:dyDescent="0.25">
      <c r="C15" s="99">
        <v>44256</v>
      </c>
      <c r="E15" s="47">
        <v>141186242</v>
      </c>
      <c r="F15" s="47"/>
      <c r="G15" s="47">
        <v>-392184</v>
      </c>
      <c r="H15" s="47"/>
      <c r="I15" s="47">
        <f t="shared" si="0"/>
        <v>-136127369</v>
      </c>
    </row>
    <row r="16" spans="1:13" x14ac:dyDescent="0.25">
      <c r="C16" s="99">
        <v>44287</v>
      </c>
      <c r="E16" s="47">
        <v>141186242</v>
      </c>
      <c r="F16" s="47"/>
      <c r="G16" s="47">
        <v>-392184</v>
      </c>
      <c r="H16" s="47"/>
      <c r="I16" s="47">
        <f t="shared" si="0"/>
        <v>-136519553</v>
      </c>
    </row>
    <row r="17" spans="3:13" x14ac:dyDescent="0.25">
      <c r="C17" s="135">
        <v>44317</v>
      </c>
      <c r="E17" s="47">
        <v>141186242</v>
      </c>
      <c r="F17" s="47"/>
      <c r="G17" s="47">
        <v>-392184</v>
      </c>
      <c r="H17" s="47"/>
      <c r="I17" s="47">
        <f t="shared" si="0"/>
        <v>-136911737</v>
      </c>
    </row>
    <row r="18" spans="3:13" x14ac:dyDescent="0.25">
      <c r="C18" s="99">
        <v>44348</v>
      </c>
      <c r="E18" s="47">
        <v>141186242</v>
      </c>
      <c r="F18" s="47"/>
      <c r="G18" s="47">
        <v>-392184</v>
      </c>
      <c r="H18" s="47"/>
      <c r="I18" s="47">
        <f t="shared" si="0"/>
        <v>-137303921</v>
      </c>
    </row>
    <row r="19" spans="3:13" x14ac:dyDescent="0.25">
      <c r="C19" s="99">
        <v>44378</v>
      </c>
      <c r="E19" s="47">
        <v>141186242</v>
      </c>
      <c r="F19" s="47"/>
      <c r="G19" s="47">
        <v>-392184</v>
      </c>
      <c r="H19" s="47"/>
      <c r="I19" s="47">
        <f t="shared" si="0"/>
        <v>-137696105</v>
      </c>
    </row>
    <row r="20" spans="3:13" x14ac:dyDescent="0.25">
      <c r="C20" s="135">
        <v>44409</v>
      </c>
      <c r="E20" s="47">
        <v>141186242</v>
      </c>
      <c r="F20" s="47"/>
      <c r="G20" s="47">
        <v>-392184</v>
      </c>
      <c r="H20" s="47"/>
      <c r="I20" s="47">
        <f t="shared" si="0"/>
        <v>-138088289</v>
      </c>
    </row>
    <row r="21" spans="3:13" x14ac:dyDescent="0.25">
      <c r="C21" s="99">
        <v>44440</v>
      </c>
      <c r="E21" s="47">
        <v>141186242</v>
      </c>
      <c r="F21" s="47"/>
      <c r="G21" s="47">
        <v>-392184</v>
      </c>
      <c r="H21" s="47"/>
      <c r="I21" s="47">
        <f t="shared" si="0"/>
        <v>-138480473</v>
      </c>
    </row>
    <row r="22" spans="3:13" x14ac:dyDescent="0.25">
      <c r="C22" s="99">
        <v>44470</v>
      </c>
      <c r="E22" s="47">
        <v>141186242</v>
      </c>
      <c r="F22" s="47"/>
      <c r="G22" s="47">
        <v>-392184</v>
      </c>
      <c r="H22" s="47"/>
      <c r="I22" s="47">
        <f t="shared" si="0"/>
        <v>-138872657</v>
      </c>
    </row>
    <row r="23" spans="3:13" x14ac:dyDescent="0.25">
      <c r="C23" s="135">
        <v>44501</v>
      </c>
      <c r="E23" s="47">
        <v>141186242</v>
      </c>
      <c r="F23" s="47"/>
      <c r="G23" s="47">
        <v>-392184</v>
      </c>
      <c r="H23" s="47"/>
      <c r="I23" s="47">
        <f t="shared" si="0"/>
        <v>-139264841</v>
      </c>
    </row>
    <row r="24" spans="3:13" x14ac:dyDescent="0.25">
      <c r="C24" s="99">
        <v>44531</v>
      </c>
      <c r="E24" s="47">
        <v>141186242</v>
      </c>
      <c r="F24" s="47"/>
      <c r="G24" s="47">
        <v>-392184</v>
      </c>
      <c r="H24" s="47"/>
      <c r="I24" s="47">
        <f t="shared" si="0"/>
        <v>-139657025</v>
      </c>
      <c r="K24" s="143">
        <f>AVERAGE(E12:E24)</f>
        <v>141186242</v>
      </c>
      <c r="M24" s="143">
        <f>AVERAGE(I12:I24)</f>
        <v>-137303921</v>
      </c>
    </row>
    <row r="25" spans="3:13" x14ac:dyDescent="0.25">
      <c r="C25" s="99">
        <v>44562</v>
      </c>
      <c r="E25" s="47">
        <v>141186242</v>
      </c>
      <c r="F25" s="47"/>
      <c r="G25" s="47">
        <v>-392184</v>
      </c>
      <c r="H25" s="47"/>
      <c r="I25" s="47">
        <f t="shared" ref="I25:I28" si="1">I24+G25</f>
        <v>-140049209</v>
      </c>
    </row>
    <row r="26" spans="3:13" x14ac:dyDescent="0.25">
      <c r="C26" s="99">
        <v>44593</v>
      </c>
      <c r="E26" s="47">
        <v>141186242</v>
      </c>
      <c r="F26" s="47"/>
      <c r="G26" s="47">
        <v>-392184</v>
      </c>
      <c r="H26" s="47"/>
      <c r="I26" s="47">
        <f t="shared" si="1"/>
        <v>-140441393</v>
      </c>
    </row>
    <row r="27" spans="3:13" x14ac:dyDescent="0.25">
      <c r="C27" s="135">
        <v>44621</v>
      </c>
      <c r="E27" s="47">
        <v>141186242</v>
      </c>
      <c r="F27" s="47"/>
      <c r="G27" s="47">
        <v>-392184</v>
      </c>
      <c r="H27" s="47"/>
      <c r="I27" s="47">
        <f t="shared" si="1"/>
        <v>-140833577</v>
      </c>
    </row>
    <row r="28" spans="3:13" x14ac:dyDescent="0.25">
      <c r="C28" s="99">
        <v>44652</v>
      </c>
      <c r="E28" s="47">
        <v>141186242</v>
      </c>
      <c r="F28" s="47"/>
      <c r="G28" s="47">
        <v>-392184</v>
      </c>
      <c r="H28" s="47"/>
      <c r="I28" s="47">
        <f t="shared" si="1"/>
        <v>-141225761</v>
      </c>
    </row>
    <row r="29" spans="3:13" x14ac:dyDescent="0.25">
      <c r="E29" s="47"/>
      <c r="F29" s="47"/>
      <c r="G29" s="47"/>
      <c r="H29" s="47"/>
      <c r="I29" s="47"/>
    </row>
    <row r="30" spans="3:13" x14ac:dyDescent="0.25">
      <c r="C30" t="s">
        <v>504</v>
      </c>
      <c r="E30" s="47"/>
      <c r="F30" s="47"/>
      <c r="G30" s="144">
        <f>-SUM(G13:G24)</f>
        <v>4706208</v>
      </c>
      <c r="H30" s="47"/>
      <c r="I30" s="47"/>
    </row>
    <row r="33" spans="3:3" x14ac:dyDescent="0.25">
      <c r="C33" s="3" t="s">
        <v>431</v>
      </c>
    </row>
    <row r="34" spans="3:3" x14ac:dyDescent="0.25">
      <c r="C34" t="s">
        <v>505</v>
      </c>
    </row>
  </sheetData>
  <pageMargins left="0.7" right="0.7" top="0.75" bottom="0.75" header="0.3" footer="0.3"/>
  <pageSetup scale="90"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8"/>
  <sheetViews>
    <sheetView topLeftCell="A37" workbookViewId="0">
      <selection activeCell="A47" sqref="A47"/>
    </sheetView>
  </sheetViews>
  <sheetFormatPr defaultRowHeight="15.75" x14ac:dyDescent="0.25"/>
  <cols>
    <col min="2" max="2" width="4" customWidth="1"/>
    <col min="3" max="3" width="26.125" customWidth="1"/>
    <col min="4" max="4" width="13.75" customWidth="1"/>
    <col min="5" max="5" width="16.875" customWidth="1"/>
  </cols>
  <sheetData>
    <row r="1" spans="1:5" x14ac:dyDescent="0.25">
      <c r="A1" s="7" t="s">
        <v>15</v>
      </c>
      <c r="E1" s="7" t="s">
        <v>230</v>
      </c>
    </row>
    <row r="2" spans="1:5" x14ac:dyDescent="0.25">
      <c r="A2" s="17" t="s">
        <v>13</v>
      </c>
      <c r="E2" t="s">
        <v>335</v>
      </c>
    </row>
    <row r="3" spans="1:5" x14ac:dyDescent="0.25">
      <c r="A3" s="5" t="s">
        <v>616</v>
      </c>
      <c r="E3" t="s">
        <v>615</v>
      </c>
    </row>
    <row r="4" spans="1:5" x14ac:dyDescent="0.25">
      <c r="A4" t="s">
        <v>334</v>
      </c>
      <c r="E4" s="5" t="s">
        <v>320</v>
      </c>
    </row>
    <row r="5" spans="1:5" x14ac:dyDescent="0.25">
      <c r="E5" t="s">
        <v>619</v>
      </c>
    </row>
    <row r="8" spans="1:5" x14ac:dyDescent="0.25">
      <c r="C8" t="s">
        <v>685</v>
      </c>
      <c r="E8" s="150">
        <v>7352266511.6931839</v>
      </c>
    </row>
    <row r="9" spans="1:5" x14ac:dyDescent="0.25">
      <c r="C9" t="s">
        <v>705</v>
      </c>
      <c r="E9" s="66">
        <v>6.9051939999999992E-2</v>
      </c>
    </row>
    <row r="11" spans="1:5" x14ac:dyDescent="0.25">
      <c r="C11" t="s">
        <v>706</v>
      </c>
      <c r="E11" s="145">
        <v>507688266.02944696</v>
      </c>
    </row>
    <row r="12" spans="1:5" x14ac:dyDescent="0.25">
      <c r="C12" t="s">
        <v>686</v>
      </c>
      <c r="E12" s="146">
        <v>-552176701.51247239</v>
      </c>
    </row>
    <row r="14" spans="1:5" x14ac:dyDescent="0.25">
      <c r="C14" t="s">
        <v>687</v>
      </c>
      <c r="E14" s="145">
        <v>-44488435.483025432</v>
      </c>
    </row>
    <row r="15" spans="1:5" x14ac:dyDescent="0.25">
      <c r="C15" t="s">
        <v>688</v>
      </c>
      <c r="E15" s="66">
        <v>1.3326143899634217</v>
      </c>
    </row>
    <row r="17" spans="3:5" ht="16.5" thickBot="1" x14ac:dyDescent="0.3">
      <c r="C17" t="s">
        <v>707</v>
      </c>
      <c r="E17" s="126">
        <v>-59285929.311638981</v>
      </c>
    </row>
    <row r="18" spans="3:5" ht="16.5" thickTop="1" x14ac:dyDescent="0.25"/>
    <row r="20" spans="3:5" x14ac:dyDescent="0.25">
      <c r="C20" t="s">
        <v>708</v>
      </c>
      <c r="E20" s="150">
        <v>-59285929.311638981</v>
      </c>
    </row>
    <row r="21" spans="3:5" x14ac:dyDescent="0.25">
      <c r="C21" t="s">
        <v>689</v>
      </c>
      <c r="E21" s="138">
        <v>1.9452433893900702E-3</v>
      </c>
    </row>
    <row r="22" spans="3:5" x14ac:dyDescent="0.25">
      <c r="C22" t="s">
        <v>690</v>
      </c>
      <c r="E22" s="151">
        <v>-115325.56207731273</v>
      </c>
    </row>
    <row r="25" spans="3:5" x14ac:dyDescent="0.25">
      <c r="C25" t="s">
        <v>708</v>
      </c>
      <c r="E25" s="150">
        <v>-59285929.311638981</v>
      </c>
    </row>
    <row r="26" spans="3:5" x14ac:dyDescent="0.25">
      <c r="C26" t="s">
        <v>691</v>
      </c>
      <c r="E26" s="148">
        <v>0</v>
      </c>
    </row>
    <row r="27" spans="3:5" x14ac:dyDescent="0.25">
      <c r="C27" t="s">
        <v>692</v>
      </c>
      <c r="E27" s="148">
        <v>0</v>
      </c>
    </row>
    <row r="28" spans="3:5" x14ac:dyDescent="0.25">
      <c r="C28" t="s">
        <v>693</v>
      </c>
      <c r="E28" s="148">
        <v>0</v>
      </c>
    </row>
    <row r="29" spans="3:5" x14ac:dyDescent="0.25">
      <c r="C29" t="s">
        <v>694</v>
      </c>
      <c r="E29" s="138">
        <v>3.0000000000000001E-3</v>
      </c>
    </row>
    <row r="30" spans="3:5" x14ac:dyDescent="0.25">
      <c r="C30" t="s">
        <v>695</v>
      </c>
      <c r="E30" s="151">
        <v>-177857.78793491694</v>
      </c>
    </row>
    <row r="33" spans="3:5" x14ac:dyDescent="0.25">
      <c r="C33" t="s">
        <v>708</v>
      </c>
      <c r="E33" s="150">
        <v>-59285929.311638981</v>
      </c>
    </row>
    <row r="34" spans="3:5" x14ac:dyDescent="0.25">
      <c r="C34" t="s">
        <v>696</v>
      </c>
      <c r="E34" s="145">
        <v>115325.56207731273</v>
      </c>
    </row>
    <row r="35" spans="3:5" x14ac:dyDescent="0.25">
      <c r="C35" t="s">
        <v>650</v>
      </c>
      <c r="E35" s="146">
        <v>177857.78793491694</v>
      </c>
    </row>
    <row r="36" spans="3:5" x14ac:dyDescent="0.25">
      <c r="C36" t="s">
        <v>697</v>
      </c>
      <c r="E36" s="151">
        <v>-58992745.961626753</v>
      </c>
    </row>
    <row r="37" spans="3:5" x14ac:dyDescent="0.25">
      <c r="E37" s="150"/>
    </row>
    <row r="38" spans="3:5" x14ac:dyDescent="0.25">
      <c r="C38" t="s">
        <v>698</v>
      </c>
      <c r="E38" s="66">
        <v>4.5400000000000003E-2</v>
      </c>
    </row>
    <row r="39" spans="3:5" x14ac:dyDescent="0.25">
      <c r="C39" t="s">
        <v>683</v>
      </c>
      <c r="E39" s="151">
        <v>-2678270.6666578548</v>
      </c>
    </row>
    <row r="41" spans="3:5" x14ac:dyDescent="0.25">
      <c r="C41" t="s">
        <v>684</v>
      </c>
      <c r="E41" s="150">
        <v>-56314475.294968896</v>
      </c>
    </row>
    <row r="42" spans="3:5" x14ac:dyDescent="0.25">
      <c r="C42" t="s">
        <v>699</v>
      </c>
      <c r="E42" s="66">
        <v>0.21</v>
      </c>
    </row>
    <row r="43" spans="3:5" x14ac:dyDescent="0.25">
      <c r="C43" t="s">
        <v>700</v>
      </c>
      <c r="E43" s="151">
        <v>-11826039.811943468</v>
      </c>
    </row>
    <row r="46" spans="3:5" x14ac:dyDescent="0.25">
      <c r="C46" t="s">
        <v>701</v>
      </c>
      <c r="E46" s="148">
        <v>1</v>
      </c>
    </row>
    <row r="47" spans="3:5" x14ac:dyDescent="0.25">
      <c r="C47" t="s">
        <v>702</v>
      </c>
      <c r="E47" s="138">
        <v>0.75040462382178574</v>
      </c>
    </row>
    <row r="48" spans="3:5" x14ac:dyDescent="0.25">
      <c r="C48" t="s">
        <v>703</v>
      </c>
      <c r="E48" s="152">
        <v>1.3326143899634217</v>
      </c>
    </row>
  </sheetData>
  <pageMargins left="0.7" right="0.7" top="0.75" bottom="0.75" header="0.3" footer="0.3"/>
  <pageSetup scale="94" orientation="portrait" horizontalDpi="0" verticalDpi="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1"/>
  <sheetViews>
    <sheetView topLeftCell="A6" workbookViewId="0">
      <selection activeCell="E31" sqref="E31"/>
    </sheetView>
  </sheetViews>
  <sheetFormatPr defaultRowHeight="15.75" x14ac:dyDescent="0.25"/>
  <cols>
    <col min="1" max="1" width="4.625" customWidth="1"/>
    <col min="2" max="2" width="1.625" customWidth="1"/>
    <col min="3" max="3" width="52.75" customWidth="1"/>
    <col min="4" max="4" width="2.5" customWidth="1"/>
    <col min="5" max="5" width="7" customWidth="1"/>
    <col min="6" max="6" width="1" customWidth="1"/>
    <col min="7" max="7" width="11.75" customWidth="1"/>
    <col min="8" max="8" width="0.875" customWidth="1"/>
    <col min="9" max="9" width="6.375" customWidth="1"/>
    <col min="10" max="10" width="1" customWidth="1"/>
    <col min="11" max="11" width="9.125" customWidth="1"/>
    <col min="12" max="12" width="1" customWidth="1"/>
    <col min="13" max="13" width="12.5" customWidth="1"/>
  </cols>
  <sheetData>
    <row r="1" spans="1:13" x14ac:dyDescent="0.25">
      <c r="A1" s="7" t="s">
        <v>15</v>
      </c>
      <c r="B1" s="7"/>
      <c r="C1" s="7"/>
      <c r="K1" s="7" t="s">
        <v>230</v>
      </c>
    </row>
    <row r="2" spans="1:13" x14ac:dyDescent="0.25">
      <c r="A2" s="17" t="s">
        <v>13</v>
      </c>
      <c r="B2" s="7"/>
      <c r="C2" s="7"/>
      <c r="K2" t="s">
        <v>335</v>
      </c>
    </row>
    <row r="3" spans="1:13" x14ac:dyDescent="0.25">
      <c r="A3" s="5" t="s">
        <v>538</v>
      </c>
      <c r="B3" s="7"/>
      <c r="C3" s="7"/>
      <c r="K3" t="s">
        <v>601</v>
      </c>
    </row>
    <row r="4" spans="1:13" x14ac:dyDescent="0.25">
      <c r="A4" t="s">
        <v>334</v>
      </c>
      <c r="B4" s="7"/>
      <c r="C4" s="7"/>
      <c r="K4" s="5" t="s">
        <v>320</v>
      </c>
    </row>
    <row r="8" spans="1:13" x14ac:dyDescent="0.25">
      <c r="A8" s="7"/>
      <c r="B8" s="7"/>
      <c r="C8" s="7"/>
      <c r="D8" s="7"/>
      <c r="E8" s="7"/>
      <c r="F8" s="7"/>
      <c r="G8" s="38"/>
      <c r="H8" s="38"/>
      <c r="I8" s="38"/>
      <c r="J8" s="38"/>
      <c r="K8" s="38"/>
      <c r="L8" s="38"/>
      <c r="M8" s="24"/>
    </row>
    <row r="9" spans="1:13" x14ac:dyDescent="0.25">
      <c r="A9" t="s">
        <v>0</v>
      </c>
      <c r="E9" s="1"/>
      <c r="F9" s="1"/>
      <c r="G9" s="1" t="s">
        <v>4</v>
      </c>
      <c r="H9" s="1"/>
      <c r="I9" s="1"/>
      <c r="J9" s="1"/>
      <c r="K9" s="1"/>
      <c r="L9" s="1"/>
      <c r="M9" s="1" t="s">
        <v>9</v>
      </c>
    </row>
    <row r="10" spans="1:13" x14ac:dyDescent="0.25">
      <c r="A10" s="2" t="s">
        <v>3</v>
      </c>
      <c r="C10" s="2" t="s">
        <v>1</v>
      </c>
      <c r="E10" s="10" t="s">
        <v>66</v>
      </c>
      <c r="F10" s="1"/>
      <c r="G10" s="10" t="s">
        <v>6</v>
      </c>
      <c r="H10" s="1"/>
      <c r="I10" s="10" t="s">
        <v>7</v>
      </c>
      <c r="J10" s="1"/>
      <c r="K10" s="11" t="s">
        <v>10</v>
      </c>
      <c r="L10" s="1"/>
      <c r="M10" s="10" t="s">
        <v>8</v>
      </c>
    </row>
    <row r="12" spans="1:13" x14ac:dyDescent="0.25">
      <c r="C12" s="3" t="s">
        <v>65</v>
      </c>
    </row>
    <row r="13" spans="1:13" x14ac:dyDescent="0.25">
      <c r="A13">
        <v>1</v>
      </c>
      <c r="C13" t="s">
        <v>541</v>
      </c>
      <c r="E13">
        <v>254</v>
      </c>
      <c r="G13" s="6">
        <f>G28</f>
        <v>-65958795.5</v>
      </c>
      <c r="I13" s="1" t="s">
        <v>375</v>
      </c>
      <c r="J13" s="1"/>
      <c r="K13" s="1" t="s">
        <v>311</v>
      </c>
      <c r="M13" s="6">
        <f>G13</f>
        <v>-65958795.5</v>
      </c>
    </row>
    <row r="14" spans="1:13" x14ac:dyDescent="0.25">
      <c r="I14" s="1"/>
      <c r="J14" s="1"/>
      <c r="K14" s="1"/>
    </row>
    <row r="15" spans="1:13" x14ac:dyDescent="0.25">
      <c r="C15" s="3" t="s">
        <v>537</v>
      </c>
      <c r="I15" s="1"/>
      <c r="J15" s="1"/>
      <c r="K15" s="1"/>
    </row>
    <row r="16" spans="1:13" x14ac:dyDescent="0.25">
      <c r="A16">
        <v>2</v>
      </c>
      <c r="C16" t="s">
        <v>546</v>
      </c>
      <c r="E16">
        <v>407</v>
      </c>
      <c r="G16" s="6">
        <f>G26</f>
        <v>-6943031</v>
      </c>
      <c r="I16" s="1" t="s">
        <v>375</v>
      </c>
      <c r="J16" s="1"/>
      <c r="K16" s="1" t="s">
        <v>311</v>
      </c>
      <c r="M16" s="6">
        <f>G16</f>
        <v>-6943031</v>
      </c>
    </row>
    <row r="20" spans="1:9" x14ac:dyDescent="0.25">
      <c r="C20" s="3" t="s">
        <v>246</v>
      </c>
      <c r="G20" s="36" t="s">
        <v>2</v>
      </c>
    </row>
    <row r="21" spans="1:9" x14ac:dyDescent="0.25">
      <c r="A21" t="s">
        <v>237</v>
      </c>
      <c r="C21" t="s">
        <v>544</v>
      </c>
    </row>
    <row r="22" spans="1:9" x14ac:dyDescent="0.25">
      <c r="C22" t="s">
        <v>545</v>
      </c>
      <c r="G22" s="6">
        <f>'3.20.1'!G32</f>
        <v>-69430311</v>
      </c>
      <c r="I22" t="str">
        <f>'3.20.1'!G3</f>
        <v>Exhibit OCS 3.20D</v>
      </c>
    </row>
    <row r="23" spans="1:9" ht="3" customHeight="1" x14ac:dyDescent="0.25"/>
    <row r="24" spans="1:9" x14ac:dyDescent="0.25">
      <c r="A24" t="s">
        <v>238</v>
      </c>
      <c r="C24" t="s">
        <v>534</v>
      </c>
      <c r="G24" s="2">
        <v>10</v>
      </c>
      <c r="I24" t="s">
        <v>339</v>
      </c>
    </row>
    <row r="25" spans="1:9" ht="5.25" customHeight="1" x14ac:dyDescent="0.25"/>
    <row r="26" spans="1:9" ht="16.5" thickBot="1" x14ac:dyDescent="0.3">
      <c r="A26" t="s">
        <v>239</v>
      </c>
      <c r="C26" t="s">
        <v>546</v>
      </c>
      <c r="G26" s="14">
        <f>ROUND(G22/G24,0)</f>
        <v>-6943031</v>
      </c>
    </row>
    <row r="27" spans="1:9" ht="16.5" thickTop="1" x14ac:dyDescent="0.25"/>
    <row r="28" spans="1:9" ht="16.5" thickBot="1" x14ac:dyDescent="0.3">
      <c r="A28" t="s">
        <v>240</v>
      </c>
      <c r="C28" t="s">
        <v>535</v>
      </c>
      <c r="G28" s="14">
        <f>G22-(G26*0.5)</f>
        <v>-65958795.5</v>
      </c>
      <c r="I28" t="s">
        <v>536</v>
      </c>
    </row>
    <row r="29" spans="1:9" ht="16.5" thickTop="1" x14ac:dyDescent="0.25"/>
    <row r="32" spans="1:9" x14ac:dyDescent="0.25">
      <c r="C32" t="s">
        <v>5</v>
      </c>
    </row>
    <row r="33" spans="3:13" ht="6" customHeight="1" x14ac:dyDescent="0.25"/>
    <row r="34" spans="3:13" x14ac:dyDescent="0.25">
      <c r="C34" s="162" t="s">
        <v>729</v>
      </c>
      <c r="D34" s="163"/>
      <c r="E34" s="163"/>
      <c r="F34" s="163"/>
      <c r="G34" s="163"/>
      <c r="H34" s="163"/>
      <c r="I34" s="163"/>
      <c r="J34" s="163"/>
      <c r="K34" s="163"/>
      <c r="L34" s="163"/>
      <c r="M34" s="164"/>
    </row>
    <row r="35" spans="3:13" x14ac:dyDescent="0.25">
      <c r="C35" s="165"/>
      <c r="D35" s="166"/>
      <c r="E35" s="166"/>
      <c r="F35" s="166"/>
      <c r="G35" s="166"/>
      <c r="H35" s="166"/>
      <c r="I35" s="166"/>
      <c r="J35" s="166"/>
      <c r="K35" s="166"/>
      <c r="L35" s="166"/>
      <c r="M35" s="167"/>
    </row>
    <row r="36" spans="3:13" x14ac:dyDescent="0.25">
      <c r="C36" s="165"/>
      <c r="D36" s="166"/>
      <c r="E36" s="166"/>
      <c r="F36" s="166"/>
      <c r="G36" s="166"/>
      <c r="H36" s="166"/>
      <c r="I36" s="166"/>
      <c r="J36" s="166"/>
      <c r="K36" s="166"/>
      <c r="L36" s="166"/>
      <c r="M36" s="167"/>
    </row>
    <row r="37" spans="3:13" x14ac:dyDescent="0.25">
      <c r="C37" s="165"/>
      <c r="D37" s="166"/>
      <c r="E37" s="166"/>
      <c r="F37" s="166"/>
      <c r="G37" s="166"/>
      <c r="H37" s="166"/>
      <c r="I37" s="166"/>
      <c r="J37" s="166"/>
      <c r="K37" s="166"/>
      <c r="L37" s="166"/>
      <c r="M37" s="167"/>
    </row>
    <row r="38" spans="3:13" x14ac:dyDescent="0.25">
      <c r="C38" s="165"/>
      <c r="D38" s="166"/>
      <c r="E38" s="166"/>
      <c r="F38" s="166"/>
      <c r="G38" s="166"/>
      <c r="H38" s="166"/>
      <c r="I38" s="166"/>
      <c r="J38" s="166"/>
      <c r="K38" s="166"/>
      <c r="L38" s="166"/>
      <c r="M38" s="167"/>
    </row>
    <row r="39" spans="3:13" x14ac:dyDescent="0.25">
      <c r="C39" s="165"/>
      <c r="D39" s="166"/>
      <c r="E39" s="166"/>
      <c r="F39" s="166"/>
      <c r="G39" s="166"/>
      <c r="H39" s="166"/>
      <c r="I39" s="166"/>
      <c r="J39" s="166"/>
      <c r="K39" s="166"/>
      <c r="L39" s="166"/>
      <c r="M39" s="167"/>
    </row>
    <row r="40" spans="3:13" x14ac:dyDescent="0.25">
      <c r="C40" s="165"/>
      <c r="D40" s="166"/>
      <c r="E40" s="166"/>
      <c r="F40" s="166"/>
      <c r="G40" s="166"/>
      <c r="H40" s="166"/>
      <c r="I40" s="166"/>
      <c r="J40" s="166"/>
      <c r="K40" s="166"/>
      <c r="L40" s="166"/>
      <c r="M40" s="167"/>
    </row>
    <row r="41" spans="3:13" x14ac:dyDescent="0.25">
      <c r="C41" s="168"/>
      <c r="D41" s="169"/>
      <c r="E41" s="169"/>
      <c r="F41" s="169"/>
      <c r="G41" s="169"/>
      <c r="H41" s="169"/>
      <c r="I41" s="169"/>
      <c r="J41" s="169"/>
      <c r="K41" s="169"/>
      <c r="L41" s="169"/>
      <c r="M41" s="170"/>
    </row>
  </sheetData>
  <mergeCells count="1">
    <mergeCell ref="C34:M41"/>
  </mergeCells>
  <pageMargins left="0.7" right="0.7" top="0.75" bottom="0.75" header="0.3" footer="0.3"/>
  <pageSetup scale="70" orientation="portrait" horizontalDpi="0" verticalDpi="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7"/>
  <sheetViews>
    <sheetView topLeftCell="A4" workbookViewId="0">
      <selection activeCell="C38" sqref="C38"/>
    </sheetView>
  </sheetViews>
  <sheetFormatPr defaultRowHeight="15.75" x14ac:dyDescent="0.25"/>
  <cols>
    <col min="1" max="1" width="5.625" customWidth="1"/>
    <col min="2" max="2" width="0.875" customWidth="1"/>
    <col min="3" max="3" width="46.75" customWidth="1"/>
    <col min="4" max="4" width="0.875" customWidth="1"/>
    <col min="5" max="5" width="16.5" customWidth="1"/>
    <col min="6" max="6" width="0.5" customWidth="1"/>
    <col min="7" max="7" width="13.875" customWidth="1"/>
    <col min="8" max="8" width="1" customWidth="1"/>
  </cols>
  <sheetData>
    <row r="1" spans="1:9" x14ac:dyDescent="0.25">
      <c r="A1" s="7" t="s">
        <v>15</v>
      </c>
      <c r="B1" s="7"/>
      <c r="C1" s="7"/>
      <c r="D1" s="7"/>
      <c r="E1" s="7"/>
      <c r="G1" s="7" t="s">
        <v>230</v>
      </c>
    </row>
    <row r="2" spans="1:9" x14ac:dyDescent="0.25">
      <c r="A2" s="17" t="s">
        <v>13</v>
      </c>
      <c r="B2" s="7"/>
      <c r="C2" s="7"/>
      <c r="D2" s="7"/>
      <c r="E2" s="7"/>
      <c r="G2" t="s">
        <v>335</v>
      </c>
    </row>
    <row r="3" spans="1:9" x14ac:dyDescent="0.25">
      <c r="A3" s="5" t="s">
        <v>538</v>
      </c>
      <c r="B3" s="7"/>
      <c r="C3" s="7"/>
      <c r="D3" s="7"/>
      <c r="E3" s="7"/>
      <c r="G3" t="str">
        <f>'3.20'!K3</f>
        <v>Exhibit OCS 3.20D</v>
      </c>
    </row>
    <row r="4" spans="1:9" x14ac:dyDescent="0.25">
      <c r="A4" t="s">
        <v>334</v>
      </c>
      <c r="B4" s="7"/>
      <c r="C4" s="7"/>
      <c r="D4" s="7"/>
      <c r="E4" s="7"/>
      <c r="G4" s="5" t="s">
        <v>320</v>
      </c>
    </row>
    <row r="5" spans="1:9" x14ac:dyDescent="0.25">
      <c r="G5" t="s">
        <v>609</v>
      </c>
    </row>
    <row r="6" spans="1:9" x14ac:dyDescent="0.25">
      <c r="A6" s="13" t="s">
        <v>539</v>
      </c>
    </row>
    <row r="8" spans="1:9" x14ac:dyDescent="0.25">
      <c r="G8" s="1" t="s">
        <v>524</v>
      </c>
    </row>
    <row r="9" spans="1:9" x14ac:dyDescent="0.25">
      <c r="G9" s="1" t="s">
        <v>517</v>
      </c>
    </row>
    <row r="10" spans="1:9" x14ac:dyDescent="0.25">
      <c r="A10" t="s">
        <v>0</v>
      </c>
      <c r="C10" s="2" t="s">
        <v>1</v>
      </c>
      <c r="D10" s="4"/>
      <c r="G10" s="10" t="s">
        <v>2</v>
      </c>
      <c r="I10" s="3" t="s">
        <v>518</v>
      </c>
    </row>
    <row r="12" spans="1:9" x14ac:dyDescent="0.25">
      <c r="A12">
        <v>1</v>
      </c>
      <c r="C12" t="s">
        <v>541</v>
      </c>
      <c r="E12" s="47"/>
    </row>
    <row r="13" spans="1:9" x14ac:dyDescent="0.25">
      <c r="C13" t="s">
        <v>542</v>
      </c>
      <c r="E13" s="47"/>
      <c r="G13" s="47">
        <v>-118697133</v>
      </c>
      <c r="I13" t="s">
        <v>519</v>
      </c>
    </row>
    <row r="14" spans="1:9" x14ac:dyDescent="0.25">
      <c r="E14" s="1" t="s">
        <v>525</v>
      </c>
      <c r="G14" s="47"/>
    </row>
    <row r="15" spans="1:9" x14ac:dyDescent="0.25">
      <c r="E15" s="1" t="s">
        <v>527</v>
      </c>
      <c r="G15" s="47"/>
    </row>
    <row r="16" spans="1:9" x14ac:dyDescent="0.25">
      <c r="C16" s="3" t="s">
        <v>543</v>
      </c>
      <c r="D16" s="3"/>
      <c r="E16" s="10" t="s">
        <v>526</v>
      </c>
      <c r="G16" s="47"/>
    </row>
    <row r="17" spans="1:9" x14ac:dyDescent="0.25">
      <c r="A17">
        <v>2</v>
      </c>
      <c r="C17" t="s">
        <v>532</v>
      </c>
      <c r="E17" s="47">
        <v>11743341</v>
      </c>
      <c r="G17" s="47">
        <f>E17</f>
        <v>11743341</v>
      </c>
      <c r="I17" t="s">
        <v>519</v>
      </c>
    </row>
    <row r="18" spans="1:9" x14ac:dyDescent="0.25">
      <c r="E18" s="47"/>
      <c r="G18" s="47"/>
    </row>
    <row r="19" spans="1:9" x14ac:dyDescent="0.25">
      <c r="A19">
        <v>3</v>
      </c>
      <c r="C19" t="s">
        <v>520</v>
      </c>
      <c r="E19" s="47">
        <v>9573636</v>
      </c>
      <c r="G19" s="47">
        <f>E19</f>
        <v>9573636</v>
      </c>
      <c r="I19" t="s">
        <v>519</v>
      </c>
    </row>
    <row r="20" spans="1:9" x14ac:dyDescent="0.25">
      <c r="E20" s="47"/>
      <c r="G20" s="47"/>
    </row>
    <row r="21" spans="1:9" x14ac:dyDescent="0.25">
      <c r="A21">
        <v>4</v>
      </c>
      <c r="C21" t="s">
        <v>521</v>
      </c>
      <c r="E21" s="47">
        <v>10292396</v>
      </c>
      <c r="G21" s="47">
        <f>E21</f>
        <v>10292396</v>
      </c>
      <c r="I21" t="s">
        <v>519</v>
      </c>
    </row>
    <row r="22" spans="1:9" x14ac:dyDescent="0.25">
      <c r="E22" s="47"/>
      <c r="G22" s="47"/>
    </row>
    <row r="23" spans="1:9" x14ac:dyDescent="0.25">
      <c r="A23">
        <v>5</v>
      </c>
      <c r="C23" t="s">
        <v>522</v>
      </c>
      <c r="E23" s="47">
        <v>20581541</v>
      </c>
      <c r="I23" t="s">
        <v>519</v>
      </c>
    </row>
    <row r="24" spans="1:9" x14ac:dyDescent="0.25">
      <c r="A24">
        <v>6</v>
      </c>
      <c r="C24" t="s">
        <v>523</v>
      </c>
      <c r="E24" s="47">
        <f>'3.17'!M12</f>
        <v>-418333</v>
      </c>
      <c r="G24" s="47"/>
      <c r="I24" t="str">
        <f>'3.17'!K3</f>
        <v>Exhibit OCS 3.17D</v>
      </c>
    </row>
    <row r="25" spans="1:9" x14ac:dyDescent="0.25">
      <c r="A25">
        <v>7</v>
      </c>
      <c r="C25" t="s">
        <v>528</v>
      </c>
      <c r="E25" s="48">
        <f>'3.17'!M14</f>
        <v>-5249190</v>
      </c>
      <c r="G25" s="47"/>
      <c r="I25" t="str">
        <f>I24</f>
        <v>Exhibit OCS 3.17D</v>
      </c>
    </row>
    <row r="26" spans="1:9" x14ac:dyDescent="0.25">
      <c r="A26">
        <v>8</v>
      </c>
      <c r="C26" t="s">
        <v>529</v>
      </c>
      <c r="E26" s="47">
        <f>SUM(E23:E25)</f>
        <v>14914018</v>
      </c>
      <c r="G26" s="47">
        <f>E26</f>
        <v>14914018</v>
      </c>
    </row>
    <row r="27" spans="1:9" x14ac:dyDescent="0.25">
      <c r="E27" s="47"/>
      <c r="G27" s="47"/>
    </row>
    <row r="28" spans="1:9" x14ac:dyDescent="0.25">
      <c r="A28">
        <v>9</v>
      </c>
      <c r="C28" t="s">
        <v>530</v>
      </c>
      <c r="E28" s="47"/>
      <c r="G28" s="47"/>
    </row>
    <row r="29" spans="1:9" x14ac:dyDescent="0.25">
      <c r="C29" t="s">
        <v>531</v>
      </c>
      <c r="E29" s="47">
        <f>'3.19'!G27</f>
        <v>2743431</v>
      </c>
      <c r="G29" s="48">
        <f>E29</f>
        <v>2743431</v>
      </c>
      <c r="I29" t="str">
        <f>'3.19'!K3</f>
        <v>Exhibit OCS 3.19D</v>
      </c>
    </row>
    <row r="30" spans="1:9" ht="9.75" customHeight="1" x14ac:dyDescent="0.25">
      <c r="E30" s="47"/>
      <c r="G30" s="47"/>
    </row>
    <row r="31" spans="1:9" x14ac:dyDescent="0.25">
      <c r="A31">
        <v>10</v>
      </c>
      <c r="C31" t="s">
        <v>533</v>
      </c>
      <c r="E31" s="47"/>
    </row>
    <row r="32" spans="1:9" ht="16.5" thickBot="1" x14ac:dyDescent="0.3">
      <c r="C32" t="s">
        <v>540</v>
      </c>
      <c r="G32" s="14">
        <f>SUM(G13:G29)</f>
        <v>-69430311</v>
      </c>
    </row>
    <row r="33" spans="3:3" ht="16.5" thickTop="1" x14ac:dyDescent="0.25"/>
    <row r="35" spans="3:3" x14ac:dyDescent="0.25">
      <c r="C35" s="13" t="s">
        <v>731</v>
      </c>
    </row>
    <row r="36" spans="3:3" x14ac:dyDescent="0.25">
      <c r="C36" t="s">
        <v>732</v>
      </c>
    </row>
    <row r="37" spans="3:3" x14ac:dyDescent="0.25">
      <c r="C37" t="s">
        <v>733</v>
      </c>
    </row>
  </sheetData>
  <pageMargins left="0.7" right="0.7" top="0.75" bottom="0.75" header="0.3" footer="0.3"/>
  <pageSetup scale="75" orientation="portrait" horizontalDpi="0" verticalDpi="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5"/>
  <sheetViews>
    <sheetView workbookViewId="0">
      <selection activeCell="A4" sqref="A4"/>
    </sheetView>
  </sheetViews>
  <sheetFormatPr defaultRowHeight="15.75" x14ac:dyDescent="0.25"/>
  <cols>
    <col min="1" max="1" width="3.5" customWidth="1"/>
    <col min="2" max="2" width="1.625" customWidth="1"/>
    <col min="3" max="3" width="41.375" customWidth="1"/>
    <col min="4" max="4" width="1.25" customWidth="1"/>
    <col min="5" max="5" width="7.75" customWidth="1"/>
    <col min="6" max="6" width="1.25" customWidth="1"/>
    <col min="7" max="7" width="14.875" customWidth="1"/>
  </cols>
  <sheetData>
    <row r="1" spans="1:8" x14ac:dyDescent="0.25">
      <c r="A1" s="7" t="s">
        <v>15</v>
      </c>
      <c r="G1" s="7" t="s">
        <v>230</v>
      </c>
    </row>
    <row r="2" spans="1:8" x14ac:dyDescent="0.25">
      <c r="A2" s="17" t="s">
        <v>13</v>
      </c>
      <c r="G2" t="s">
        <v>335</v>
      </c>
    </row>
    <row r="3" spans="1:8" x14ac:dyDescent="0.25">
      <c r="A3" s="5" t="s">
        <v>616</v>
      </c>
      <c r="G3" t="s">
        <v>704</v>
      </c>
    </row>
    <row r="4" spans="1:8" x14ac:dyDescent="0.25">
      <c r="A4" t="s">
        <v>709</v>
      </c>
      <c r="G4" s="5" t="s">
        <v>320</v>
      </c>
    </row>
    <row r="5" spans="1:8" x14ac:dyDescent="0.25">
      <c r="A5" t="s">
        <v>334</v>
      </c>
      <c r="G5" t="s">
        <v>617</v>
      </c>
    </row>
    <row r="10" spans="1:8" x14ac:dyDescent="0.25">
      <c r="A10" t="s">
        <v>620</v>
      </c>
      <c r="B10" t="s">
        <v>621</v>
      </c>
      <c r="G10" s="145">
        <v>1948585611.053534</v>
      </c>
      <c r="H10" t="s">
        <v>618</v>
      </c>
    </row>
    <row r="12" spans="1:8" x14ac:dyDescent="0.25">
      <c r="A12" t="s">
        <v>622</v>
      </c>
      <c r="B12" t="s">
        <v>623</v>
      </c>
      <c r="G12" s="146">
        <v>2001695945.4085445</v>
      </c>
      <c r="H12" t="s">
        <v>618</v>
      </c>
    </row>
    <row r="14" spans="1:8" ht="16.5" thickBot="1" x14ac:dyDescent="0.3">
      <c r="A14" t="s">
        <v>624</v>
      </c>
      <c r="B14" t="s">
        <v>625</v>
      </c>
      <c r="G14" s="147">
        <v>-53110334.355010584</v>
      </c>
      <c r="H14" t="s">
        <v>618</v>
      </c>
    </row>
    <row r="15" spans="1:8" ht="16.5" thickTop="1" x14ac:dyDescent="0.25">
      <c r="E15" s="145"/>
    </row>
  </sheetData>
  <pageMargins left="0.7" right="0.7" top="0.75" bottom="0.75" header="0.3" footer="0.3"/>
  <pageSetup scale="94" orientation="portrait" horizontalDpi="0" verticalDpi="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6"/>
  <sheetViews>
    <sheetView workbookViewId="0">
      <selection activeCell="A4" sqref="A4"/>
    </sheetView>
  </sheetViews>
  <sheetFormatPr defaultRowHeight="15.75" x14ac:dyDescent="0.25"/>
  <cols>
    <col min="1" max="1" width="4" customWidth="1"/>
    <col min="2" max="2" width="26.125" customWidth="1"/>
    <col min="3" max="3" width="6.25" customWidth="1"/>
    <col min="4" max="4" width="15.875" customWidth="1"/>
    <col min="5" max="5" width="14.125" customWidth="1"/>
    <col min="6" max="6" width="16.625" customWidth="1"/>
  </cols>
  <sheetData>
    <row r="1" spans="1:6" x14ac:dyDescent="0.25">
      <c r="A1" s="7" t="s">
        <v>15</v>
      </c>
      <c r="F1" s="7" t="s">
        <v>230</v>
      </c>
    </row>
    <row r="2" spans="1:6" x14ac:dyDescent="0.25">
      <c r="A2" s="17" t="s">
        <v>13</v>
      </c>
      <c r="F2" t="s">
        <v>335</v>
      </c>
    </row>
    <row r="3" spans="1:6" x14ac:dyDescent="0.25">
      <c r="A3" s="5" t="s">
        <v>616</v>
      </c>
      <c r="F3" t="s">
        <v>704</v>
      </c>
    </row>
    <row r="4" spans="1:6" x14ac:dyDescent="0.25">
      <c r="A4" t="s">
        <v>709</v>
      </c>
      <c r="F4" s="5" t="s">
        <v>320</v>
      </c>
    </row>
    <row r="5" spans="1:6" x14ac:dyDescent="0.25">
      <c r="A5" t="s">
        <v>334</v>
      </c>
      <c r="F5" t="s">
        <v>618</v>
      </c>
    </row>
    <row r="8" spans="1:6" x14ac:dyDescent="0.25">
      <c r="D8" s="1" t="s">
        <v>620</v>
      </c>
      <c r="E8" s="1" t="s">
        <v>622</v>
      </c>
      <c r="F8" s="1" t="s">
        <v>624</v>
      </c>
    </row>
    <row r="9" spans="1:6" x14ac:dyDescent="0.25">
      <c r="D9" s="1" t="s">
        <v>626</v>
      </c>
      <c r="E9" s="1"/>
      <c r="F9" s="1" t="s">
        <v>627</v>
      </c>
    </row>
    <row r="10" spans="1:6" x14ac:dyDescent="0.25">
      <c r="D10" s="10" t="s">
        <v>628</v>
      </c>
      <c r="E10" s="10" t="s">
        <v>629</v>
      </c>
      <c r="F10" s="10" t="s">
        <v>629</v>
      </c>
    </row>
    <row r="11" spans="1:6" x14ac:dyDescent="0.25">
      <c r="A11">
        <v>1</v>
      </c>
      <c r="B11" t="s">
        <v>630</v>
      </c>
    </row>
    <row r="12" spans="1:6" x14ac:dyDescent="0.25">
      <c r="A12">
        <v>2</v>
      </c>
      <c r="B12" t="s">
        <v>631</v>
      </c>
      <c r="D12" s="145">
        <v>2001695945.4085445</v>
      </c>
      <c r="E12" s="145">
        <v>-53110334.355010584</v>
      </c>
      <c r="F12" s="145">
        <v>1948585611.053534</v>
      </c>
    </row>
    <row r="13" spans="1:6" x14ac:dyDescent="0.25">
      <c r="A13">
        <v>3</v>
      </c>
      <c r="B13" t="s">
        <v>632</v>
      </c>
      <c r="D13" s="145">
        <v>0</v>
      </c>
      <c r="E13" s="145"/>
      <c r="F13" s="145"/>
    </row>
    <row r="14" spans="1:6" x14ac:dyDescent="0.25">
      <c r="A14">
        <v>4</v>
      </c>
      <c r="B14" t="s">
        <v>633</v>
      </c>
      <c r="D14" s="145">
        <v>112290110.70110954</v>
      </c>
      <c r="E14" s="145"/>
      <c r="F14" s="145"/>
    </row>
    <row r="15" spans="1:6" x14ac:dyDescent="0.25">
      <c r="A15">
        <v>5</v>
      </c>
      <c r="B15" t="s">
        <v>634</v>
      </c>
      <c r="D15" s="145">
        <v>77112564.341061324</v>
      </c>
      <c r="E15" s="145"/>
      <c r="F15" s="145"/>
    </row>
    <row r="16" spans="1:6" x14ac:dyDescent="0.25">
      <c r="A16">
        <v>6</v>
      </c>
      <c r="B16" t="s">
        <v>635</v>
      </c>
      <c r="D16" s="149">
        <v>2191098620.4507155</v>
      </c>
      <c r="E16" s="149"/>
      <c r="F16" s="149"/>
    </row>
    <row r="17" spans="1:6" x14ac:dyDescent="0.25">
      <c r="A17">
        <v>7</v>
      </c>
      <c r="D17" s="145"/>
      <c r="E17" s="145"/>
      <c r="F17" s="145"/>
    </row>
    <row r="18" spans="1:6" x14ac:dyDescent="0.25">
      <c r="A18">
        <v>8</v>
      </c>
      <c r="B18" t="s">
        <v>636</v>
      </c>
      <c r="D18" s="145"/>
      <c r="E18" s="145"/>
      <c r="F18" s="145"/>
    </row>
    <row r="19" spans="1:6" x14ac:dyDescent="0.25">
      <c r="A19">
        <v>9</v>
      </c>
      <c r="B19" t="s">
        <v>637</v>
      </c>
      <c r="D19" s="145">
        <v>392229250.20436764</v>
      </c>
      <c r="E19" s="145"/>
      <c r="F19" s="145"/>
    </row>
    <row r="20" spans="1:6" x14ac:dyDescent="0.25">
      <c r="A20">
        <v>10</v>
      </c>
      <c r="B20" t="s">
        <v>638</v>
      </c>
      <c r="D20" s="145">
        <v>0</v>
      </c>
      <c r="E20" s="145"/>
      <c r="F20" s="145"/>
    </row>
    <row r="21" spans="1:6" x14ac:dyDescent="0.25">
      <c r="A21">
        <v>11</v>
      </c>
      <c r="B21" t="s">
        <v>639</v>
      </c>
      <c r="D21" s="145">
        <v>20041185.820641056</v>
      </c>
      <c r="E21" s="145"/>
      <c r="F21" s="145"/>
    </row>
    <row r="22" spans="1:6" x14ac:dyDescent="0.25">
      <c r="A22">
        <v>12</v>
      </c>
      <c r="B22" t="s">
        <v>640</v>
      </c>
      <c r="D22" s="145">
        <v>435608123.77133322</v>
      </c>
      <c r="E22" s="145"/>
      <c r="F22" s="145"/>
    </row>
    <row r="23" spans="1:6" x14ac:dyDescent="0.25">
      <c r="A23">
        <v>13</v>
      </c>
      <c r="B23" t="s">
        <v>641</v>
      </c>
      <c r="D23" s="145">
        <v>96284491.281754717</v>
      </c>
      <c r="E23" s="145"/>
      <c r="F23" s="145"/>
    </row>
    <row r="24" spans="1:6" x14ac:dyDescent="0.25">
      <c r="A24">
        <v>14</v>
      </c>
      <c r="B24" t="s">
        <v>642</v>
      </c>
      <c r="D24" s="145">
        <v>89943873.954390451</v>
      </c>
      <c r="E24" s="145"/>
      <c r="F24" s="145"/>
    </row>
    <row r="25" spans="1:6" x14ac:dyDescent="0.25">
      <c r="A25">
        <v>15</v>
      </c>
      <c r="B25" t="s">
        <v>643</v>
      </c>
      <c r="D25" s="145">
        <v>34556330.057466619</v>
      </c>
      <c r="E25" s="145">
        <v>-103312.52681238067</v>
      </c>
      <c r="F25" s="145">
        <v>34453017.530654237</v>
      </c>
    </row>
    <row r="26" spans="1:6" x14ac:dyDescent="0.25">
      <c r="A26">
        <v>16</v>
      </c>
      <c r="B26" t="s">
        <v>644</v>
      </c>
      <c r="D26" s="145">
        <v>6854056.5309636649</v>
      </c>
      <c r="E26" s="145"/>
      <c r="F26" s="145"/>
    </row>
    <row r="27" spans="1:6" x14ac:dyDescent="0.25">
      <c r="A27">
        <v>17</v>
      </c>
      <c r="B27" t="s">
        <v>645</v>
      </c>
      <c r="D27" s="145">
        <v>0</v>
      </c>
      <c r="E27" s="145"/>
      <c r="F27" s="145"/>
    </row>
    <row r="28" spans="1:6" x14ac:dyDescent="0.25">
      <c r="A28">
        <v>18</v>
      </c>
      <c r="B28" t="s">
        <v>646</v>
      </c>
      <c r="D28" s="146">
        <v>54143961.814618684</v>
      </c>
      <c r="E28" s="146"/>
      <c r="F28" s="146"/>
    </row>
    <row r="29" spans="1:6" x14ac:dyDescent="0.25">
      <c r="A29">
        <v>19</v>
      </c>
      <c r="D29" s="145"/>
      <c r="E29" s="145"/>
      <c r="F29" s="145"/>
    </row>
    <row r="30" spans="1:6" x14ac:dyDescent="0.25">
      <c r="A30">
        <v>20</v>
      </c>
      <c r="B30" t="s">
        <v>647</v>
      </c>
      <c r="D30" s="145">
        <v>1129661273.4355359</v>
      </c>
      <c r="E30" s="145"/>
      <c r="F30" s="145"/>
    </row>
    <row r="31" spans="1:6" x14ac:dyDescent="0.25">
      <c r="A31">
        <v>21</v>
      </c>
      <c r="D31" s="145"/>
      <c r="E31" s="145"/>
      <c r="F31" s="145"/>
    </row>
    <row r="32" spans="1:6" x14ac:dyDescent="0.25">
      <c r="A32">
        <v>22</v>
      </c>
      <c r="B32" t="s">
        <v>648</v>
      </c>
      <c r="D32" s="145">
        <v>421979334.87531936</v>
      </c>
      <c r="E32" s="145"/>
      <c r="F32" s="145"/>
    </row>
    <row r="33" spans="1:6" x14ac:dyDescent="0.25">
      <c r="A33">
        <v>23</v>
      </c>
      <c r="B33" t="s">
        <v>649</v>
      </c>
      <c r="D33" s="145">
        <v>-2425096.3186958879</v>
      </c>
      <c r="E33" s="145"/>
      <c r="F33" s="145"/>
    </row>
    <row r="34" spans="1:6" x14ac:dyDescent="0.25">
      <c r="A34">
        <v>24</v>
      </c>
      <c r="B34" t="s">
        <v>650</v>
      </c>
      <c r="D34" s="145">
        <v>84812481.236791328</v>
      </c>
      <c r="E34" s="145">
        <v>-159331.00306503175</v>
      </c>
      <c r="F34" s="145">
        <v>84653150.233726293</v>
      </c>
    </row>
    <row r="35" spans="1:6" x14ac:dyDescent="0.25">
      <c r="A35">
        <v>25</v>
      </c>
      <c r="B35" t="s">
        <v>651</v>
      </c>
      <c r="D35" s="145">
        <v>-49062157.955973737</v>
      </c>
      <c r="E35" s="145">
        <v>-10594165.188951146</v>
      </c>
      <c r="F35" s="145">
        <v>-59656323.144924879</v>
      </c>
    </row>
    <row r="36" spans="1:6" x14ac:dyDescent="0.25">
      <c r="A36">
        <v>26</v>
      </c>
      <c r="B36" t="s">
        <v>652</v>
      </c>
      <c r="D36" s="145">
        <v>5701423.971690706</v>
      </c>
      <c r="E36" s="145">
        <v>-2399285.1634610458</v>
      </c>
      <c r="F36" s="145">
        <v>3302138.8082296601</v>
      </c>
    </row>
    <row r="37" spans="1:6" x14ac:dyDescent="0.25">
      <c r="A37">
        <v>27</v>
      </c>
      <c r="B37" t="s">
        <v>653</v>
      </c>
      <c r="D37" s="145">
        <v>52350763.976785481</v>
      </c>
      <c r="E37" s="145"/>
      <c r="F37" s="145"/>
    </row>
    <row r="38" spans="1:6" x14ac:dyDescent="0.25">
      <c r="A38">
        <v>28</v>
      </c>
      <c r="B38" t="s">
        <v>654</v>
      </c>
      <c r="D38" s="145">
        <v>-1117293.7135367221</v>
      </c>
      <c r="E38" s="145"/>
      <c r="F38" s="145"/>
    </row>
    <row r="39" spans="1:6" x14ac:dyDescent="0.25">
      <c r="A39">
        <v>29</v>
      </c>
      <c r="B39" t="s">
        <v>655</v>
      </c>
      <c r="D39" s="146">
        <v>212024.38876717049</v>
      </c>
      <c r="E39" s="146"/>
      <c r="F39" s="146"/>
    </row>
    <row r="40" spans="1:6" x14ac:dyDescent="0.25">
      <c r="A40">
        <v>30</v>
      </c>
      <c r="D40" s="145"/>
      <c r="E40" s="145"/>
      <c r="F40" s="145"/>
    </row>
    <row r="41" spans="1:6" x14ac:dyDescent="0.25">
      <c r="A41">
        <v>31</v>
      </c>
      <c r="B41" t="s">
        <v>656</v>
      </c>
      <c r="D41" s="145">
        <v>1642112753.8966839</v>
      </c>
      <c r="E41" s="145">
        <v>-13256093.882289605</v>
      </c>
      <c r="F41" s="145">
        <v>1628856660.0143943</v>
      </c>
    </row>
    <row r="42" spans="1:6" x14ac:dyDescent="0.25">
      <c r="A42">
        <v>32</v>
      </c>
      <c r="D42" s="145"/>
      <c r="E42" s="145"/>
      <c r="F42" s="145"/>
    </row>
    <row r="43" spans="1:6" ht="16.5" thickBot="1" x14ac:dyDescent="0.3">
      <c r="A43">
        <v>33</v>
      </c>
      <c r="B43" t="s">
        <v>657</v>
      </c>
      <c r="D43" s="147">
        <v>548985866.55403161</v>
      </c>
      <c r="E43" s="147">
        <v>-39854240.472720981</v>
      </c>
      <c r="F43" s="147">
        <v>509131626.08131063</v>
      </c>
    </row>
    <row r="44" spans="1:6" ht="16.5" thickTop="1" x14ac:dyDescent="0.25">
      <c r="A44">
        <v>34</v>
      </c>
      <c r="D44" s="145"/>
      <c r="E44" s="145"/>
      <c r="F44" s="145"/>
    </row>
    <row r="45" spans="1:6" x14ac:dyDescent="0.25">
      <c r="A45">
        <v>35</v>
      </c>
      <c r="B45" t="s">
        <v>658</v>
      </c>
      <c r="D45" s="145"/>
      <c r="E45" s="145"/>
      <c r="F45" s="145"/>
    </row>
    <row r="46" spans="1:6" x14ac:dyDescent="0.25">
      <c r="A46">
        <v>36</v>
      </c>
      <c r="B46" t="s">
        <v>659</v>
      </c>
      <c r="D46" s="145">
        <v>13473835846.845215</v>
      </c>
      <c r="E46" s="145"/>
      <c r="F46" s="145"/>
    </row>
    <row r="47" spans="1:6" x14ac:dyDescent="0.25">
      <c r="A47">
        <v>37</v>
      </c>
      <c r="B47" t="s">
        <v>660</v>
      </c>
      <c r="D47" s="145">
        <v>6357563.9663493512</v>
      </c>
      <c r="E47" s="145"/>
      <c r="F47" s="145"/>
    </row>
    <row r="48" spans="1:6" x14ac:dyDescent="0.25">
      <c r="A48">
        <v>38</v>
      </c>
      <c r="B48" t="s">
        <v>661</v>
      </c>
      <c r="D48" s="145">
        <v>115358942.3197307</v>
      </c>
      <c r="E48" s="145"/>
      <c r="F48" s="145"/>
    </row>
    <row r="49" spans="1:6" x14ac:dyDescent="0.25">
      <c r="A49">
        <v>39</v>
      </c>
      <c r="B49" t="s">
        <v>662</v>
      </c>
      <c r="D49" s="145">
        <v>11116607.63013659</v>
      </c>
      <c r="E49" s="145"/>
      <c r="F49" s="145"/>
    </row>
    <row r="50" spans="1:6" x14ac:dyDescent="0.25">
      <c r="A50">
        <v>40</v>
      </c>
      <c r="B50" t="s">
        <v>663</v>
      </c>
      <c r="D50" s="145">
        <v>-0.13269740922805717</v>
      </c>
      <c r="E50" s="145"/>
      <c r="F50" s="145"/>
    </row>
    <row r="51" spans="1:6" x14ac:dyDescent="0.25">
      <c r="A51">
        <v>41</v>
      </c>
      <c r="B51" t="s">
        <v>664</v>
      </c>
      <c r="D51" s="145">
        <v>16435236.82395386</v>
      </c>
      <c r="E51" s="145"/>
      <c r="F51" s="145"/>
    </row>
    <row r="52" spans="1:6" x14ac:dyDescent="0.25">
      <c r="A52">
        <v>42</v>
      </c>
      <c r="B52" t="s">
        <v>665</v>
      </c>
      <c r="D52" s="145">
        <v>74344484.222343668</v>
      </c>
      <c r="E52" s="145"/>
      <c r="F52" s="145"/>
    </row>
    <row r="53" spans="1:6" x14ac:dyDescent="0.25">
      <c r="A53">
        <v>43</v>
      </c>
      <c r="B53" t="s">
        <v>666</v>
      </c>
      <c r="D53" s="145">
        <v>101321811.27382673</v>
      </c>
      <c r="E53" s="145"/>
      <c r="F53" s="145"/>
    </row>
    <row r="54" spans="1:6" x14ac:dyDescent="0.25">
      <c r="A54">
        <v>44</v>
      </c>
      <c r="B54" t="s">
        <v>667</v>
      </c>
      <c r="D54" s="145">
        <v>13339149.36990298</v>
      </c>
      <c r="E54" s="145"/>
      <c r="F54" s="145"/>
    </row>
    <row r="55" spans="1:6" x14ac:dyDescent="0.25">
      <c r="A55">
        <v>45</v>
      </c>
      <c r="B55" t="s">
        <v>668</v>
      </c>
      <c r="D55" s="145">
        <v>-0.52730411673260824</v>
      </c>
      <c r="E55" s="145"/>
      <c r="F55" s="145"/>
    </row>
    <row r="56" spans="1:6" x14ac:dyDescent="0.25">
      <c r="A56">
        <v>46</v>
      </c>
      <c r="B56" t="s">
        <v>669</v>
      </c>
      <c r="D56" s="146">
        <v>0</v>
      </c>
      <c r="E56" s="146"/>
      <c r="F56" s="146"/>
    </row>
    <row r="57" spans="1:6" x14ac:dyDescent="0.25">
      <c r="A57">
        <v>47</v>
      </c>
      <c r="D57" s="145"/>
      <c r="E57" s="145"/>
      <c r="F57" s="145"/>
    </row>
    <row r="58" spans="1:6" x14ac:dyDescent="0.25">
      <c r="A58">
        <v>48</v>
      </c>
      <c r="B58" t="s">
        <v>670</v>
      </c>
      <c r="D58" s="145">
        <v>13812109641.791456</v>
      </c>
      <c r="E58" s="145">
        <v>0</v>
      </c>
      <c r="F58" s="145">
        <v>13812109641.791456</v>
      </c>
    </row>
    <row r="59" spans="1:6" x14ac:dyDescent="0.25">
      <c r="A59">
        <v>49</v>
      </c>
      <c r="D59" s="145"/>
      <c r="E59" s="145"/>
      <c r="F59" s="145"/>
    </row>
    <row r="60" spans="1:6" x14ac:dyDescent="0.25">
      <c r="A60">
        <v>50</v>
      </c>
      <c r="B60" t="s">
        <v>671</v>
      </c>
      <c r="D60" s="145"/>
      <c r="E60" s="145"/>
      <c r="F60" s="145"/>
    </row>
    <row r="61" spans="1:6" x14ac:dyDescent="0.25">
      <c r="A61">
        <v>51</v>
      </c>
      <c r="B61" t="s">
        <v>672</v>
      </c>
      <c r="D61" s="145">
        <v>-4175894502.9293528</v>
      </c>
      <c r="E61" s="145"/>
      <c r="F61" s="145"/>
    </row>
    <row r="62" spans="1:6" x14ac:dyDescent="0.25">
      <c r="A62">
        <v>52</v>
      </c>
      <c r="B62" t="s">
        <v>673</v>
      </c>
      <c r="D62" s="145">
        <v>-276131816.21720016</v>
      </c>
      <c r="E62" s="145"/>
      <c r="F62" s="145"/>
    </row>
    <row r="63" spans="1:6" x14ac:dyDescent="0.25">
      <c r="A63">
        <v>53</v>
      </c>
      <c r="B63" t="s">
        <v>674</v>
      </c>
      <c r="D63" s="145">
        <v>-1125025209.8189902</v>
      </c>
      <c r="E63" s="145"/>
      <c r="F63" s="145"/>
    </row>
    <row r="64" spans="1:6" x14ac:dyDescent="0.25">
      <c r="A64">
        <v>54</v>
      </c>
      <c r="B64" t="s">
        <v>675</v>
      </c>
      <c r="D64" s="145">
        <v>-84977.084561841402</v>
      </c>
      <c r="E64" s="145"/>
      <c r="F64" s="145"/>
    </row>
    <row r="65" spans="1:6" x14ac:dyDescent="0.25">
      <c r="A65">
        <v>55</v>
      </c>
      <c r="B65" t="s">
        <v>676</v>
      </c>
      <c r="D65" s="145">
        <v>-38042159.690947056</v>
      </c>
      <c r="E65" s="145"/>
      <c r="F65" s="145"/>
    </row>
    <row r="66" spans="1:6" x14ac:dyDescent="0.25">
      <c r="A66">
        <v>56</v>
      </c>
      <c r="B66" t="s">
        <v>677</v>
      </c>
      <c r="D66" s="145">
        <v>-16275584.48076923</v>
      </c>
      <c r="E66" s="145"/>
      <c r="F66" s="145"/>
    </row>
    <row r="67" spans="1:6" x14ac:dyDescent="0.25">
      <c r="A67">
        <v>57</v>
      </c>
      <c r="B67" t="s">
        <v>678</v>
      </c>
      <c r="D67" s="146">
        <v>-828353314.02982247</v>
      </c>
      <c r="E67" s="146"/>
      <c r="F67" s="146"/>
    </row>
    <row r="68" spans="1:6" x14ac:dyDescent="0.25">
      <c r="A68">
        <v>58</v>
      </c>
      <c r="D68" s="145"/>
      <c r="E68" s="145"/>
      <c r="F68" s="145"/>
    </row>
    <row r="69" spans="1:6" x14ac:dyDescent="0.25">
      <c r="A69">
        <v>59</v>
      </c>
      <c r="B69" t="s">
        <v>679</v>
      </c>
      <c r="D69" s="145">
        <v>-6459807564.2516441</v>
      </c>
      <c r="E69" s="145">
        <v>0</v>
      </c>
      <c r="F69" s="145">
        <v>-6459807564.2516441</v>
      </c>
    </row>
    <row r="70" spans="1:6" x14ac:dyDescent="0.25">
      <c r="A70">
        <v>60</v>
      </c>
      <c r="D70" s="145"/>
      <c r="E70" s="145"/>
      <c r="F70" s="145"/>
    </row>
    <row r="71" spans="1:6" ht="16.5" thickBot="1" x14ac:dyDescent="0.3">
      <c r="A71">
        <v>61</v>
      </c>
      <c r="B71" t="s">
        <v>680</v>
      </c>
      <c r="D71" s="147">
        <v>7352302077.5398121</v>
      </c>
      <c r="E71" s="147">
        <v>0</v>
      </c>
      <c r="F71" s="147">
        <v>7352302077.5398121</v>
      </c>
    </row>
    <row r="72" spans="1:6" ht="16.5" thickTop="1" x14ac:dyDescent="0.25">
      <c r="A72">
        <v>62</v>
      </c>
    </row>
    <row r="73" spans="1:6" x14ac:dyDescent="0.25">
      <c r="A73">
        <v>63</v>
      </c>
      <c r="B73" t="s">
        <v>681</v>
      </c>
      <c r="D73" s="148">
        <v>7.4668567853203652E-2</v>
      </c>
      <c r="E73" s="148"/>
      <c r="F73" s="148">
        <v>6.9247919999999991E-2</v>
      </c>
    </row>
    <row r="74" spans="1:6" x14ac:dyDescent="0.25">
      <c r="A74">
        <v>64</v>
      </c>
      <c r="D74" s="148"/>
      <c r="E74" s="148"/>
      <c r="F74" s="148"/>
    </row>
    <row r="75" spans="1:6" x14ac:dyDescent="0.25">
      <c r="A75">
        <v>65</v>
      </c>
      <c r="B75" t="s">
        <v>682</v>
      </c>
      <c r="D75" s="148">
        <v>9.7599958735240661E-2</v>
      </c>
      <c r="E75" s="148"/>
      <c r="F75" s="148">
        <v>8.7499999999999994E-2</v>
      </c>
    </row>
    <row r="76" spans="1:6" x14ac:dyDescent="0.25">
      <c r="A76">
        <v>66</v>
      </c>
    </row>
  </sheetData>
  <pageMargins left="0.7" right="0.7" top="0.75" bottom="0.75" header="0.3" footer="0.3"/>
  <pageSetup scale="59" orientation="portrait" horizontalDpi="0" verticalDpi="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9"/>
  <sheetViews>
    <sheetView workbookViewId="0">
      <selection activeCell="C6" sqref="C6"/>
    </sheetView>
  </sheetViews>
  <sheetFormatPr defaultRowHeight="15.75" x14ac:dyDescent="0.25"/>
  <cols>
    <col min="2" max="2" width="4" customWidth="1"/>
    <col min="3" max="3" width="26.125" customWidth="1"/>
    <col min="4" max="4" width="13.75" customWidth="1"/>
    <col min="5" max="5" width="16.875" customWidth="1"/>
  </cols>
  <sheetData>
    <row r="1" spans="1:5" x14ac:dyDescent="0.25">
      <c r="A1" s="7" t="s">
        <v>15</v>
      </c>
      <c r="E1" s="7" t="s">
        <v>230</v>
      </c>
    </row>
    <row r="2" spans="1:5" x14ac:dyDescent="0.25">
      <c r="A2" s="17" t="s">
        <v>13</v>
      </c>
      <c r="E2" t="s">
        <v>335</v>
      </c>
    </row>
    <row r="3" spans="1:5" x14ac:dyDescent="0.25">
      <c r="A3" s="5" t="s">
        <v>616</v>
      </c>
      <c r="E3" t="s">
        <v>704</v>
      </c>
    </row>
    <row r="4" spans="1:5" x14ac:dyDescent="0.25">
      <c r="A4" t="s">
        <v>709</v>
      </c>
      <c r="E4" s="5" t="s">
        <v>320</v>
      </c>
    </row>
    <row r="5" spans="1:5" x14ac:dyDescent="0.25">
      <c r="A5" t="s">
        <v>334</v>
      </c>
      <c r="E5" t="s">
        <v>619</v>
      </c>
    </row>
    <row r="9" spans="1:5" x14ac:dyDescent="0.25">
      <c r="C9" t="s">
        <v>685</v>
      </c>
      <c r="E9" s="150">
        <v>7352302077.5398121</v>
      </c>
    </row>
    <row r="10" spans="1:5" x14ac:dyDescent="0.25">
      <c r="C10" t="s">
        <v>705</v>
      </c>
      <c r="E10" s="66">
        <v>6.9247919999999991E-2</v>
      </c>
    </row>
    <row r="12" spans="1:5" x14ac:dyDescent="0.25">
      <c r="C12" t="s">
        <v>706</v>
      </c>
      <c r="E12" s="145">
        <v>509131626.08131063</v>
      </c>
    </row>
    <row r="13" spans="1:5" x14ac:dyDescent="0.25">
      <c r="C13" t="s">
        <v>686</v>
      </c>
      <c r="E13" s="146">
        <v>-548985866.55403161</v>
      </c>
    </row>
    <row r="15" spans="1:5" x14ac:dyDescent="0.25">
      <c r="C15" t="s">
        <v>687</v>
      </c>
      <c r="E15" s="145">
        <v>-39854240.472720981</v>
      </c>
    </row>
    <row r="16" spans="1:5" x14ac:dyDescent="0.25">
      <c r="C16" t="s">
        <v>688</v>
      </c>
      <c r="E16" s="66">
        <v>1.3326143899634217</v>
      </c>
    </row>
    <row r="18" spans="3:5" ht="16.5" thickBot="1" x14ac:dyDescent="0.3">
      <c r="C18" t="s">
        <v>707</v>
      </c>
      <c r="E18" s="126">
        <v>-53110334.355010584</v>
      </c>
    </row>
    <row r="19" spans="3:5" ht="16.5" thickTop="1" x14ac:dyDescent="0.25"/>
    <row r="21" spans="3:5" x14ac:dyDescent="0.25">
      <c r="C21" t="s">
        <v>708</v>
      </c>
      <c r="E21" s="150">
        <v>-53110334.355010584</v>
      </c>
    </row>
    <row r="22" spans="3:5" x14ac:dyDescent="0.25">
      <c r="C22" t="s">
        <v>689</v>
      </c>
      <c r="E22" s="138">
        <v>1.9452433893900702E-3</v>
      </c>
    </row>
    <row r="23" spans="3:5" x14ac:dyDescent="0.25">
      <c r="C23" t="s">
        <v>690</v>
      </c>
      <c r="E23" s="151">
        <v>-103312.52681238067</v>
      </c>
    </row>
    <row r="26" spans="3:5" x14ac:dyDescent="0.25">
      <c r="C26" t="s">
        <v>708</v>
      </c>
      <c r="E26" s="150">
        <v>-53110334.355010584</v>
      </c>
    </row>
    <row r="27" spans="3:5" x14ac:dyDescent="0.25">
      <c r="C27" t="s">
        <v>691</v>
      </c>
      <c r="E27" s="148">
        <v>0</v>
      </c>
    </row>
    <row r="28" spans="3:5" x14ac:dyDescent="0.25">
      <c r="C28" t="s">
        <v>692</v>
      </c>
      <c r="E28" s="148">
        <v>0</v>
      </c>
    </row>
    <row r="29" spans="3:5" x14ac:dyDescent="0.25">
      <c r="C29" t="s">
        <v>693</v>
      </c>
      <c r="E29" s="148">
        <v>0</v>
      </c>
    </row>
    <row r="30" spans="3:5" x14ac:dyDescent="0.25">
      <c r="C30" t="s">
        <v>694</v>
      </c>
      <c r="E30" s="138">
        <v>3.0000000000000001E-3</v>
      </c>
    </row>
    <row r="31" spans="3:5" x14ac:dyDescent="0.25">
      <c r="C31" t="s">
        <v>695</v>
      </c>
      <c r="E31" s="151">
        <v>-159331.00306503175</v>
      </c>
    </row>
    <row r="34" spans="3:5" x14ac:dyDescent="0.25">
      <c r="C34" t="s">
        <v>708</v>
      </c>
      <c r="E34" s="150">
        <v>-53110334.355010584</v>
      </c>
    </row>
    <row r="35" spans="3:5" x14ac:dyDescent="0.25">
      <c r="C35" t="s">
        <v>696</v>
      </c>
      <c r="E35" s="145">
        <v>103312.52681238067</v>
      </c>
    </row>
    <row r="36" spans="3:5" x14ac:dyDescent="0.25">
      <c r="C36" t="s">
        <v>650</v>
      </c>
      <c r="E36" s="146">
        <v>159331.00306503175</v>
      </c>
    </row>
    <row r="37" spans="3:5" x14ac:dyDescent="0.25">
      <c r="C37" t="s">
        <v>697</v>
      </c>
      <c r="E37" s="151">
        <v>-52847690.825133167</v>
      </c>
    </row>
    <row r="38" spans="3:5" x14ac:dyDescent="0.25">
      <c r="E38" s="150"/>
    </row>
    <row r="39" spans="3:5" x14ac:dyDescent="0.25">
      <c r="C39" t="s">
        <v>698</v>
      </c>
      <c r="E39" s="66">
        <v>4.5400000000000003E-2</v>
      </c>
    </row>
    <row r="40" spans="3:5" x14ac:dyDescent="0.25">
      <c r="C40" t="s">
        <v>683</v>
      </c>
      <c r="E40" s="151">
        <v>-2399285.1634610458</v>
      </c>
    </row>
    <row r="42" spans="3:5" x14ac:dyDescent="0.25">
      <c r="C42" t="s">
        <v>684</v>
      </c>
      <c r="E42" s="150">
        <v>-50448405.661672123</v>
      </c>
    </row>
    <row r="43" spans="3:5" x14ac:dyDescent="0.25">
      <c r="C43" t="s">
        <v>699</v>
      </c>
      <c r="E43" s="66">
        <v>0.21</v>
      </c>
    </row>
    <row r="44" spans="3:5" x14ac:dyDescent="0.25">
      <c r="C44" t="s">
        <v>700</v>
      </c>
      <c r="E44" s="151">
        <v>-10594165.188951146</v>
      </c>
    </row>
    <row r="47" spans="3:5" x14ac:dyDescent="0.25">
      <c r="C47" t="s">
        <v>701</v>
      </c>
      <c r="E47" s="148">
        <v>1</v>
      </c>
    </row>
    <row r="48" spans="3:5" x14ac:dyDescent="0.25">
      <c r="C48" t="s">
        <v>702</v>
      </c>
      <c r="E48" s="138">
        <v>0.75040462382178574</v>
      </c>
    </row>
    <row r="49" spans="3:5" x14ac:dyDescent="0.25">
      <c r="C49" t="s">
        <v>703</v>
      </c>
      <c r="E49" s="152">
        <v>1.3326143899634217</v>
      </c>
    </row>
  </sheetData>
  <pageMargins left="0.7" right="0.7" top="0.75" bottom="0.75" header="0.3" footer="0.3"/>
  <pageSetup scale="91"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76"/>
  <sheetViews>
    <sheetView zoomScaleNormal="100" workbookViewId="0">
      <pane xSplit="5" ySplit="7" topLeftCell="Q8" activePane="bottomRight" state="frozen"/>
      <selection pane="topRight" activeCell="F1" sqref="F1"/>
      <selection pane="bottomLeft" activeCell="A10" sqref="A10"/>
      <selection pane="bottomRight"/>
    </sheetView>
  </sheetViews>
  <sheetFormatPr defaultRowHeight="15.75" x14ac:dyDescent="0.25"/>
  <cols>
    <col min="1" max="1" width="5.125" customWidth="1"/>
    <col min="2" max="2" width="1.375" customWidth="1"/>
    <col min="3" max="3" width="24.125" customWidth="1"/>
    <col min="4" max="4" width="7" customWidth="1"/>
    <col min="5" max="5" width="14.875" customWidth="1"/>
    <col min="6" max="6" width="1.125" customWidth="1"/>
    <col min="7" max="10" width="13.25" customWidth="1"/>
    <col min="11" max="11" width="12" customWidth="1"/>
    <col min="12" max="12" width="11.75" customWidth="1"/>
    <col min="13" max="13" width="13.25" customWidth="1"/>
    <col min="14" max="14" width="12.125" customWidth="1"/>
    <col min="15" max="15" width="12.5" customWidth="1"/>
    <col min="16" max="16" width="11.75" customWidth="1"/>
    <col min="17" max="17" width="11.125" customWidth="1"/>
    <col min="18" max="18" width="15.75" customWidth="1"/>
    <col min="19" max="19" width="14.875" customWidth="1"/>
    <col min="20" max="20" width="15.875" customWidth="1"/>
    <col min="21" max="22" width="15.125" customWidth="1"/>
    <col min="23" max="23" width="15.5" customWidth="1"/>
    <col min="24" max="24" width="12.875" customWidth="1"/>
    <col min="27" max="27" width="10.125" bestFit="1" customWidth="1"/>
  </cols>
  <sheetData>
    <row r="1" spans="1:24" x14ac:dyDescent="0.25">
      <c r="A1" s="7"/>
      <c r="B1" s="7"/>
      <c r="C1" s="7"/>
      <c r="D1" s="7"/>
      <c r="E1" s="7"/>
      <c r="F1" s="7"/>
      <c r="G1" s="140">
        <v>4.5400000000000003E-2</v>
      </c>
      <c r="H1" s="141"/>
      <c r="M1" s="26"/>
      <c r="N1" s="26"/>
      <c r="O1" s="26"/>
      <c r="P1" s="26"/>
      <c r="Q1" s="26"/>
      <c r="R1" s="26"/>
      <c r="U1" s="19"/>
      <c r="V1" s="19"/>
      <c r="W1" s="19"/>
      <c r="X1" s="19"/>
    </row>
    <row r="2" spans="1:24" x14ac:dyDescent="0.25">
      <c r="B2" s="7"/>
      <c r="C2" s="7"/>
      <c r="D2" s="7"/>
      <c r="E2" s="7"/>
      <c r="F2" s="7"/>
      <c r="G2" s="140">
        <v>0.21</v>
      </c>
      <c r="H2" s="142">
        <f>G1+((1-G1)*G2)</f>
        <v>0.245866</v>
      </c>
      <c r="I2" s="109"/>
      <c r="J2" s="109"/>
      <c r="K2" s="25"/>
      <c r="L2" s="25"/>
      <c r="M2" s="25"/>
      <c r="N2" s="25"/>
      <c r="O2" s="25"/>
      <c r="P2" s="25"/>
      <c r="Q2" s="25"/>
      <c r="R2" s="25"/>
      <c r="S2" s="25"/>
      <c r="T2" s="25"/>
      <c r="U2" s="25"/>
      <c r="V2" s="25"/>
      <c r="W2" s="25"/>
      <c r="X2" s="25"/>
    </row>
    <row r="3" spans="1:24" x14ac:dyDescent="0.25">
      <c r="B3" s="7"/>
      <c r="C3" s="7"/>
      <c r="D3" s="7"/>
      <c r="E3" s="31" t="s">
        <v>244</v>
      </c>
      <c r="F3" s="7"/>
      <c r="G3" s="28"/>
      <c r="H3" s="28"/>
      <c r="I3" s="28"/>
      <c r="J3" s="28"/>
      <c r="K3" s="28"/>
      <c r="L3" s="28"/>
      <c r="M3" s="28"/>
      <c r="N3" s="28"/>
      <c r="O3" s="28"/>
      <c r="P3" s="28"/>
      <c r="Q3" s="28"/>
      <c r="R3" s="28"/>
      <c r="S3" s="28"/>
      <c r="T3" s="28"/>
      <c r="U3" s="27"/>
      <c r="V3" s="27"/>
      <c r="W3" s="27"/>
      <c r="X3" s="27"/>
    </row>
    <row r="4" spans="1:24" x14ac:dyDescent="0.25">
      <c r="A4" s="25"/>
      <c r="B4" s="25"/>
      <c r="C4" s="25"/>
      <c r="D4" s="25"/>
      <c r="E4" s="29" t="s">
        <v>321</v>
      </c>
      <c r="F4" s="30"/>
      <c r="G4" s="31" t="s">
        <v>351</v>
      </c>
      <c r="H4" s="31" t="s">
        <v>316</v>
      </c>
      <c r="I4" s="31" t="s">
        <v>353</v>
      </c>
      <c r="J4" s="31" t="s">
        <v>575</v>
      </c>
      <c r="K4" s="31" t="s">
        <v>342</v>
      </c>
      <c r="L4" s="31" t="s">
        <v>308</v>
      </c>
      <c r="M4" s="31" t="s">
        <v>354</v>
      </c>
      <c r="N4" s="29" t="s">
        <v>455</v>
      </c>
      <c r="O4" s="29" t="s">
        <v>228</v>
      </c>
      <c r="P4" s="29" t="s">
        <v>357</v>
      </c>
      <c r="Q4" s="29" t="s">
        <v>371</v>
      </c>
      <c r="R4" s="29" t="s">
        <v>358</v>
      </c>
      <c r="S4" s="31" t="s">
        <v>360</v>
      </c>
      <c r="T4" s="113" t="s">
        <v>464</v>
      </c>
      <c r="U4" s="113" t="s">
        <v>489</v>
      </c>
      <c r="V4" s="113" t="s">
        <v>516</v>
      </c>
      <c r="W4" s="113" t="s">
        <v>547</v>
      </c>
      <c r="X4" s="29" t="s">
        <v>16</v>
      </c>
    </row>
    <row r="5" spans="1:24" x14ac:dyDescent="0.25">
      <c r="A5" s="103"/>
      <c r="B5" s="100"/>
      <c r="C5" s="100"/>
      <c r="D5" s="25"/>
      <c r="E5" s="29" t="s">
        <v>17</v>
      </c>
      <c r="F5" s="30"/>
      <c r="G5" s="31" t="s">
        <v>317</v>
      </c>
      <c r="H5" s="31" t="s">
        <v>317</v>
      </c>
      <c r="I5" s="31" t="s">
        <v>352</v>
      </c>
      <c r="J5" s="31" t="s">
        <v>574</v>
      </c>
      <c r="K5" s="31" t="s">
        <v>556</v>
      </c>
      <c r="L5" s="31" t="s">
        <v>269</v>
      </c>
      <c r="M5" s="31" t="s">
        <v>355</v>
      </c>
      <c r="N5" s="29" t="s">
        <v>356</v>
      </c>
      <c r="O5" s="29" t="s">
        <v>229</v>
      </c>
      <c r="P5" s="29" t="s">
        <v>283</v>
      </c>
      <c r="Q5" s="29" t="s">
        <v>372</v>
      </c>
      <c r="R5" s="29" t="s">
        <v>359</v>
      </c>
      <c r="S5" s="31" t="s">
        <v>361</v>
      </c>
      <c r="T5" s="58" t="s">
        <v>465</v>
      </c>
      <c r="U5" s="58" t="s">
        <v>490</v>
      </c>
      <c r="V5" s="58" t="s">
        <v>517</v>
      </c>
      <c r="W5" s="58" t="s">
        <v>548</v>
      </c>
      <c r="X5" s="29" t="s">
        <v>18</v>
      </c>
    </row>
    <row r="6" spans="1:24" x14ac:dyDescent="0.25">
      <c r="A6" s="25"/>
      <c r="B6" s="25"/>
      <c r="C6" s="32"/>
      <c r="D6" s="104" t="s">
        <v>322</v>
      </c>
      <c r="E6" s="27"/>
      <c r="F6" s="25"/>
      <c r="G6" s="29" t="s">
        <v>550</v>
      </c>
      <c r="H6" s="29" t="s">
        <v>551</v>
      </c>
      <c r="I6" s="29" t="s">
        <v>552</v>
      </c>
      <c r="J6" s="29" t="s">
        <v>553</v>
      </c>
      <c r="K6" s="29" t="s">
        <v>554</v>
      </c>
      <c r="L6" s="29" t="s">
        <v>555</v>
      </c>
      <c r="M6" s="29" t="s">
        <v>557</v>
      </c>
      <c r="N6" s="29" t="s">
        <v>558</v>
      </c>
      <c r="O6" s="29" t="s">
        <v>559</v>
      </c>
      <c r="P6" s="29" t="s">
        <v>560</v>
      </c>
      <c r="Q6" s="29" t="s">
        <v>561</v>
      </c>
      <c r="R6" s="29" t="s">
        <v>562</v>
      </c>
      <c r="S6" s="29" t="s">
        <v>563</v>
      </c>
      <c r="T6" s="29" t="s">
        <v>564</v>
      </c>
      <c r="U6" s="29" t="s">
        <v>565</v>
      </c>
      <c r="V6" s="29" t="s">
        <v>566</v>
      </c>
      <c r="W6" s="29" t="s">
        <v>567</v>
      </c>
      <c r="X6" s="29" t="s">
        <v>19</v>
      </c>
    </row>
    <row r="7" spans="1:24" x14ac:dyDescent="0.25">
      <c r="A7" s="25"/>
      <c r="B7" s="25"/>
      <c r="C7" s="25"/>
      <c r="D7" s="33" t="s">
        <v>20</v>
      </c>
      <c r="E7" s="27"/>
      <c r="F7" s="25"/>
      <c r="G7" s="29" t="s">
        <v>64</v>
      </c>
      <c r="H7" s="29" t="s">
        <v>64</v>
      </c>
      <c r="I7" s="29" t="s">
        <v>64</v>
      </c>
      <c r="J7" s="29" t="s">
        <v>64</v>
      </c>
      <c r="K7" s="29" t="s">
        <v>64</v>
      </c>
      <c r="L7" s="29" t="s">
        <v>64</v>
      </c>
      <c r="M7" s="29" t="s">
        <v>64</v>
      </c>
      <c r="N7" s="29" t="s">
        <v>64</v>
      </c>
      <c r="O7" s="29" t="s">
        <v>64</v>
      </c>
      <c r="P7" s="29" t="s">
        <v>64</v>
      </c>
      <c r="Q7" s="29" t="s">
        <v>64</v>
      </c>
      <c r="R7" s="29" t="s">
        <v>64</v>
      </c>
      <c r="S7" s="29" t="s">
        <v>64</v>
      </c>
      <c r="T7" s="58" t="s">
        <v>64</v>
      </c>
      <c r="U7" s="29" t="s">
        <v>64</v>
      </c>
      <c r="V7" s="29" t="s">
        <v>64</v>
      </c>
      <c r="W7" s="58" t="s">
        <v>64</v>
      </c>
      <c r="X7" s="29" t="s">
        <v>307</v>
      </c>
    </row>
    <row r="8" spans="1:24" x14ac:dyDescent="0.25">
      <c r="A8" s="25">
        <v>1</v>
      </c>
      <c r="B8" s="25"/>
      <c r="C8" s="54" t="s">
        <v>21</v>
      </c>
      <c r="D8" s="25"/>
      <c r="E8" s="25"/>
      <c r="F8" s="25"/>
      <c r="G8" s="25"/>
      <c r="H8" s="25"/>
      <c r="I8" s="25"/>
      <c r="J8" s="25"/>
      <c r="K8" s="25"/>
      <c r="L8" s="25"/>
      <c r="M8" s="25"/>
      <c r="N8" s="25"/>
      <c r="O8" s="25"/>
      <c r="P8" s="25"/>
      <c r="Q8" s="25"/>
      <c r="R8" s="25"/>
      <c r="S8" s="25"/>
      <c r="T8" s="29"/>
      <c r="U8" s="25"/>
      <c r="V8" s="25"/>
      <c r="W8" s="29"/>
      <c r="X8" s="29"/>
    </row>
    <row r="9" spans="1:24" x14ac:dyDescent="0.25">
      <c r="A9" s="25">
        <v>2</v>
      </c>
      <c r="B9" s="25"/>
      <c r="C9" s="25" t="s">
        <v>22</v>
      </c>
      <c r="D9" s="25"/>
      <c r="E9" s="25">
        <f>SUM(G9:X9)</f>
        <v>0</v>
      </c>
      <c r="F9" s="25"/>
      <c r="G9" s="25"/>
      <c r="H9" s="25"/>
      <c r="I9" s="25"/>
      <c r="J9" s="25"/>
      <c r="K9" s="25"/>
      <c r="L9" s="25"/>
      <c r="M9" s="25"/>
      <c r="N9" s="25"/>
      <c r="O9" s="25"/>
      <c r="P9" s="25"/>
      <c r="Q9" s="25"/>
      <c r="R9" s="25"/>
      <c r="S9" s="25"/>
      <c r="T9" s="25"/>
      <c r="U9" s="25"/>
      <c r="V9" s="25"/>
      <c r="W9" s="25"/>
      <c r="X9" s="25"/>
    </row>
    <row r="10" spans="1:24" x14ac:dyDescent="0.25">
      <c r="A10" s="25">
        <v>3</v>
      </c>
      <c r="B10" s="25"/>
      <c r="C10" s="25" t="s">
        <v>23</v>
      </c>
      <c r="D10" s="25"/>
      <c r="E10" s="25">
        <f>SUM(G10:X10)</f>
        <v>0</v>
      </c>
      <c r="F10" s="25"/>
      <c r="G10" s="25"/>
      <c r="H10" s="25"/>
      <c r="I10" s="25"/>
      <c r="J10" s="25"/>
      <c r="K10" s="25"/>
      <c r="L10" s="25"/>
      <c r="M10" s="25"/>
      <c r="N10" s="25"/>
      <c r="O10" s="25"/>
      <c r="P10" s="25"/>
      <c r="Q10" s="25"/>
      <c r="R10" s="25"/>
      <c r="S10" s="25"/>
      <c r="T10" s="25"/>
      <c r="U10" s="25"/>
      <c r="V10" s="25"/>
      <c r="W10" s="25"/>
      <c r="X10" s="25"/>
    </row>
    <row r="11" spans="1:24" x14ac:dyDescent="0.25">
      <c r="A11" s="25">
        <v>4</v>
      </c>
      <c r="B11" s="25"/>
      <c r="C11" s="25" t="s">
        <v>24</v>
      </c>
      <c r="D11" s="25"/>
      <c r="E11" s="25">
        <f>SUM(G11:X11)</f>
        <v>77250</v>
      </c>
      <c r="F11" s="25"/>
      <c r="G11" s="25"/>
      <c r="H11" s="25"/>
      <c r="I11" s="25">
        <f>'3.5'!M14</f>
        <v>77250</v>
      </c>
      <c r="J11" s="25"/>
      <c r="K11" s="25"/>
      <c r="L11" s="25"/>
      <c r="M11" s="25"/>
      <c r="N11" s="25"/>
      <c r="O11" s="25"/>
      <c r="P11" s="25"/>
      <c r="Q11" s="25"/>
      <c r="R11" s="25"/>
      <c r="S11" s="25"/>
      <c r="T11" s="25"/>
      <c r="U11" s="25"/>
      <c r="V11" s="25"/>
      <c r="W11" s="25"/>
      <c r="X11" s="25"/>
    </row>
    <row r="12" spans="1:24" x14ac:dyDescent="0.25">
      <c r="A12" s="25">
        <v>5</v>
      </c>
      <c r="B12" s="25"/>
      <c r="C12" s="25" t="s">
        <v>25</v>
      </c>
      <c r="D12" s="25"/>
      <c r="E12" s="34">
        <f>SUM(G12:X12)</f>
        <v>3590831.1979446723</v>
      </c>
      <c r="F12" s="34"/>
      <c r="G12" s="34">
        <f>'3.3'!M13</f>
        <v>746073</v>
      </c>
      <c r="H12" s="34">
        <f>'3.4'!M14</f>
        <v>24012</v>
      </c>
      <c r="I12" s="34"/>
      <c r="J12" s="34">
        <f>'3.6'!M19</f>
        <v>2820746.1979446723</v>
      </c>
      <c r="K12" s="34"/>
      <c r="L12" s="34"/>
      <c r="M12" s="34"/>
      <c r="N12" s="34"/>
      <c r="O12" s="34"/>
      <c r="P12" s="34"/>
      <c r="Q12" s="34"/>
      <c r="R12" s="34"/>
      <c r="S12" s="34"/>
      <c r="T12" s="34"/>
      <c r="U12" s="34"/>
      <c r="V12" s="34"/>
      <c r="W12" s="34"/>
      <c r="X12" s="34"/>
    </row>
    <row r="13" spans="1:24" x14ac:dyDescent="0.25">
      <c r="A13" s="25">
        <v>6</v>
      </c>
      <c r="B13" s="25"/>
      <c r="C13" s="25" t="s">
        <v>26</v>
      </c>
      <c r="D13" s="25"/>
      <c r="E13" s="34">
        <f>SUM(E9:E12)</f>
        <v>3668081.1979446723</v>
      </c>
      <c r="F13" s="34"/>
      <c r="G13" s="34">
        <f t="shared" ref="G13:X13" si="0">SUM(G9:G12)</f>
        <v>746073</v>
      </c>
      <c r="H13" s="34">
        <f t="shared" ref="H13:L13" si="1">SUM(H9:H12)</f>
        <v>24012</v>
      </c>
      <c r="I13" s="34">
        <f>SUM(I9:I12)</f>
        <v>77250</v>
      </c>
      <c r="J13" s="34">
        <f>SUM(J9:J12)</f>
        <v>2820746.1979446723</v>
      </c>
      <c r="K13" s="34">
        <f t="shared" si="1"/>
        <v>0</v>
      </c>
      <c r="L13" s="34">
        <f t="shared" si="1"/>
        <v>0</v>
      </c>
      <c r="M13" s="34">
        <f>SUM(M9:M12)</f>
        <v>0</v>
      </c>
      <c r="N13" s="34">
        <f>SUM(N9:N12)</f>
        <v>0</v>
      </c>
      <c r="O13" s="34">
        <f>SUM(O9:O12)</f>
        <v>0</v>
      </c>
      <c r="P13" s="34">
        <f>SUM(P9:P12)</f>
        <v>0</v>
      </c>
      <c r="Q13" s="34">
        <f>SUM(Q9:Q12)</f>
        <v>0</v>
      </c>
      <c r="R13" s="34">
        <f t="shared" ref="R13" si="2">SUM(R9:R12)</f>
        <v>0</v>
      </c>
      <c r="S13" s="34">
        <f t="shared" si="0"/>
        <v>0</v>
      </c>
      <c r="T13" s="34">
        <f>SUM(T9:T12)</f>
        <v>0</v>
      </c>
      <c r="U13" s="34">
        <f t="shared" ref="U13:V13" si="3">SUM(U9:U12)</f>
        <v>0</v>
      </c>
      <c r="V13" s="34">
        <f t="shared" si="3"/>
        <v>0</v>
      </c>
      <c r="W13" s="34">
        <f t="shared" si="0"/>
        <v>0</v>
      </c>
      <c r="X13" s="34">
        <f t="shared" si="0"/>
        <v>0</v>
      </c>
    </row>
    <row r="14" spans="1:24" x14ac:dyDescent="0.25">
      <c r="A14" s="25">
        <v>7</v>
      </c>
      <c r="B14" s="25"/>
      <c r="C14" s="54" t="s">
        <v>27</v>
      </c>
      <c r="D14" s="25"/>
      <c r="E14" s="25"/>
      <c r="F14" s="25"/>
      <c r="G14" s="25"/>
      <c r="H14" s="25"/>
      <c r="I14" s="25"/>
      <c r="J14" s="25"/>
      <c r="K14" s="25"/>
      <c r="L14" s="25"/>
      <c r="M14" s="25"/>
      <c r="N14" s="25"/>
      <c r="O14" s="25"/>
      <c r="P14" s="25"/>
      <c r="Q14" s="25"/>
      <c r="R14" s="25"/>
      <c r="S14" s="25"/>
      <c r="T14" s="25"/>
      <c r="U14" s="25"/>
      <c r="V14" s="25"/>
      <c r="W14" s="25"/>
      <c r="X14" s="25"/>
    </row>
    <row r="15" spans="1:24" x14ac:dyDescent="0.25">
      <c r="A15" s="25">
        <v>8</v>
      </c>
      <c r="B15" s="25"/>
      <c r="C15" s="25" t="s">
        <v>28</v>
      </c>
      <c r="D15" s="25"/>
      <c r="E15" s="25">
        <f t="shared" ref="E15:E24" si="4">SUM(G15:X15)</f>
        <v>-3901026.6230658214</v>
      </c>
      <c r="F15" s="25"/>
      <c r="G15" s="25"/>
      <c r="H15" s="25"/>
      <c r="I15" s="25"/>
      <c r="J15" s="25"/>
      <c r="K15" s="25">
        <f>'3.7'!$O$13*(5308778/21185569)</f>
        <v>-175396.44913900885</v>
      </c>
      <c r="L15" s="25">
        <f>'3.8'!$O$13*(5308778/21185569)</f>
        <v>-835018.39619429968</v>
      </c>
      <c r="M15" s="25"/>
      <c r="N15" s="25"/>
      <c r="O15" s="25">
        <f>'3.11'!M13</f>
        <v>-547400.55469000002</v>
      </c>
      <c r="P15" s="25">
        <f>SUM('3.12'!U13:U25)</f>
        <v>-2343211.2230425128</v>
      </c>
      <c r="Q15" s="25"/>
      <c r="R15" s="25"/>
      <c r="S15" s="25"/>
      <c r="T15" s="25"/>
      <c r="U15" s="25"/>
      <c r="V15" s="25"/>
      <c r="W15" s="25"/>
      <c r="X15" s="25"/>
    </row>
    <row r="16" spans="1:24" x14ac:dyDescent="0.25">
      <c r="A16" s="25">
        <v>9</v>
      </c>
      <c r="B16" s="25"/>
      <c r="C16" s="25" t="s">
        <v>29</v>
      </c>
      <c r="D16" s="25"/>
      <c r="E16" s="25">
        <f t="shared" si="4"/>
        <v>0</v>
      </c>
      <c r="F16" s="25"/>
      <c r="G16" s="25"/>
      <c r="H16" s="25"/>
      <c r="I16" s="25"/>
      <c r="J16" s="25"/>
      <c r="K16" s="25"/>
      <c r="L16" s="25"/>
      <c r="M16" s="25"/>
      <c r="N16" s="25"/>
      <c r="O16" s="25"/>
      <c r="P16" s="25"/>
      <c r="Q16" s="25"/>
      <c r="R16" s="25"/>
      <c r="S16" s="25"/>
      <c r="T16" s="25"/>
      <c r="U16" s="25"/>
      <c r="V16" s="25"/>
      <c r="W16" s="25"/>
      <c r="X16" s="25"/>
    </row>
    <row r="17" spans="1:27" x14ac:dyDescent="0.25">
      <c r="A17" s="25">
        <v>10</v>
      </c>
      <c r="B17" s="25"/>
      <c r="C17" s="25" t="s">
        <v>30</v>
      </c>
      <c r="D17" s="25"/>
      <c r="E17" s="25">
        <f t="shared" si="4"/>
        <v>-576096.02843931294</v>
      </c>
      <c r="F17" s="25"/>
      <c r="G17" s="25"/>
      <c r="H17" s="25"/>
      <c r="I17" s="25"/>
      <c r="J17" s="25"/>
      <c r="K17" s="25">
        <f>'3.7'!$O$13*(1110111/21185569)</f>
        <v>-36676.901454563413</v>
      </c>
      <c r="L17" s="25">
        <f>'3.8'!$O$13*(1110111/21185569)</f>
        <v>-174609.50652252746</v>
      </c>
      <c r="M17" s="25"/>
      <c r="N17" s="25"/>
      <c r="O17" s="25"/>
      <c r="P17" s="25">
        <f>SUM('3.12'!U26:U35)</f>
        <v>-364809.62046222202</v>
      </c>
      <c r="Q17" s="25"/>
      <c r="R17" s="25"/>
      <c r="S17" s="25"/>
      <c r="T17" s="25"/>
      <c r="U17" s="25"/>
      <c r="V17" s="25"/>
      <c r="W17" s="25"/>
      <c r="X17" s="25"/>
    </row>
    <row r="18" spans="1:27" x14ac:dyDescent="0.25">
      <c r="A18" s="25">
        <v>11</v>
      </c>
      <c r="B18" s="25"/>
      <c r="C18" s="25" t="s">
        <v>31</v>
      </c>
      <c r="D18" s="25"/>
      <c r="E18" s="25">
        <f t="shared" si="4"/>
        <v>-12643858.475373348</v>
      </c>
      <c r="F18" s="25"/>
      <c r="G18" s="25"/>
      <c r="H18" s="25"/>
      <c r="I18" s="25"/>
      <c r="J18" s="25"/>
      <c r="K18" s="25">
        <f>'3.7'!$O$13*(1953559/21185569)</f>
        <v>-64543.537473888151</v>
      </c>
      <c r="L18" s="25">
        <f>'3.8'!$O$13*(1953559/21185569)</f>
        <v>-307275.55438387889</v>
      </c>
      <c r="M18" s="25"/>
      <c r="N18" s="25"/>
      <c r="O18" s="59">
        <f>'3.11'!M15</f>
        <v>-39638.217210000003</v>
      </c>
      <c r="P18" s="25">
        <f>SUM('3.12'!U36:U45)+SUM('3.12.1'!U13:U15)</f>
        <v>-635385.1018955796</v>
      </c>
      <c r="Q18" s="25"/>
      <c r="R18" s="105"/>
      <c r="S18" s="25"/>
      <c r="T18" s="25"/>
      <c r="U18" s="25"/>
      <c r="V18" s="25"/>
      <c r="W18" s="25"/>
      <c r="X18" s="25">
        <f>(-26551860*0.5*0.439975)+(-26551860*0.5*0.433562)</f>
        <v>-11597016.064410001</v>
      </c>
    </row>
    <row r="19" spans="1:27" x14ac:dyDescent="0.25">
      <c r="A19" s="25">
        <v>12</v>
      </c>
      <c r="B19" s="25"/>
      <c r="C19" s="25" t="s">
        <v>32</v>
      </c>
      <c r="D19" s="25"/>
      <c r="E19" s="25">
        <f t="shared" si="4"/>
        <v>-1929459.8331726384</v>
      </c>
      <c r="F19" s="25"/>
      <c r="G19" s="25"/>
      <c r="H19" s="25"/>
      <c r="I19" s="25"/>
      <c r="J19" s="25"/>
      <c r="K19" s="25">
        <f>'3.7'!$O$13*(1567810/21185569)</f>
        <v>-51798.79567852139</v>
      </c>
      <c r="L19" s="25">
        <f>'3.8'!$O$13*(1567810/21185569)</f>
        <v>-246601.04297775964</v>
      </c>
      <c r="M19" s="25">
        <f>'3.9'!M12</f>
        <v>-1203163.2421296153</v>
      </c>
      <c r="N19" s="25"/>
      <c r="O19" s="25"/>
      <c r="P19" s="25">
        <f>SUM('3.12.1'!U16:U27)</f>
        <v>-427896.75238674227</v>
      </c>
      <c r="Q19" s="25"/>
      <c r="R19" s="25"/>
      <c r="S19" s="25"/>
      <c r="T19" s="25"/>
      <c r="U19" s="25"/>
      <c r="V19" s="25"/>
      <c r="W19" s="25"/>
      <c r="X19" s="25"/>
    </row>
    <row r="20" spans="1:27" x14ac:dyDescent="0.25">
      <c r="A20" s="25">
        <v>13</v>
      </c>
      <c r="B20" s="25"/>
      <c r="C20" s="25" t="s">
        <v>33</v>
      </c>
      <c r="D20" s="25"/>
      <c r="E20" s="25">
        <f t="shared" si="4"/>
        <v>-2053609.6037372388</v>
      </c>
      <c r="F20" s="25"/>
      <c r="G20" s="25"/>
      <c r="H20" s="25"/>
      <c r="I20" s="25"/>
      <c r="J20" s="25"/>
      <c r="K20" s="25">
        <f>'3.7'!$O$13*(6362527/21185569)</f>
        <v>-210211.20931240116</v>
      </c>
      <c r="L20" s="25">
        <f>'3.8'!$O$13*(6362527/21185569)</f>
        <v>-1000762.7162565337</v>
      </c>
      <c r="M20" s="25"/>
      <c r="N20" s="25"/>
      <c r="O20" s="25"/>
      <c r="P20" s="25">
        <f>SUM('3.12.1'!U28:U48)+SUM('3.12.2'!U13:U22)</f>
        <v>-842635.6781683038</v>
      </c>
      <c r="Q20" s="25"/>
      <c r="R20" s="25"/>
      <c r="S20" s="25"/>
      <c r="T20" s="25"/>
      <c r="U20" s="25"/>
      <c r="V20" s="25"/>
      <c r="W20" s="25"/>
      <c r="X20" s="25"/>
      <c r="AA20" s="6"/>
    </row>
    <row r="21" spans="1:27" x14ac:dyDescent="0.25">
      <c r="A21" s="25">
        <v>14</v>
      </c>
      <c r="B21" s="25"/>
      <c r="C21" s="25" t="s">
        <v>34</v>
      </c>
      <c r="D21" s="25"/>
      <c r="E21" s="25">
        <f t="shared" si="4"/>
        <v>-1220439.3136861236</v>
      </c>
      <c r="F21" s="25"/>
      <c r="G21" s="25"/>
      <c r="H21" s="25"/>
      <c r="I21" s="25"/>
      <c r="J21" s="25"/>
      <c r="K21" s="25">
        <f>'3.7'!$O$13*(1990364/21185569)</f>
        <v>-65759.536016407961</v>
      </c>
      <c r="L21" s="25">
        <f>'3.8'!$O$13*(1990364/21185569)</f>
        <v>-313064.617718592</v>
      </c>
      <c r="M21" s="25"/>
      <c r="N21" s="25">
        <f>'3.10'!M15</f>
        <v>-472455.94103452226</v>
      </c>
      <c r="O21" s="25"/>
      <c r="P21" s="25">
        <f>SUM('3.12.2'!U23:U31)</f>
        <v>-344400.80611660128</v>
      </c>
      <c r="Q21" s="25">
        <f>'3.13'!Q14</f>
        <v>-24758.412800000002</v>
      </c>
      <c r="R21" s="25"/>
      <c r="S21" s="25"/>
      <c r="T21" s="25"/>
      <c r="U21" s="25"/>
      <c r="V21" s="25"/>
      <c r="W21" s="25"/>
      <c r="X21" s="25"/>
    </row>
    <row r="22" spans="1:27" x14ac:dyDescent="0.25">
      <c r="A22" s="25">
        <v>15</v>
      </c>
      <c r="B22" s="25"/>
      <c r="C22" s="25" t="s">
        <v>35</v>
      </c>
      <c r="D22" s="25"/>
      <c r="E22" s="25">
        <f t="shared" si="4"/>
        <v>-152119.25920989626</v>
      </c>
      <c r="F22" s="25"/>
      <c r="G22" s="25"/>
      <c r="H22" s="25"/>
      <c r="I22" s="25"/>
      <c r="J22" s="25"/>
      <c r="K22" s="25">
        <f>'3.7'!$O$13*(430106/21185569)</f>
        <v>-14210.250485777055</v>
      </c>
      <c r="L22" s="25">
        <f>'3.8'!$O$13*(430106/21185569)</f>
        <v>-67651.42982312417</v>
      </c>
      <c r="M22" s="25"/>
      <c r="N22" s="25"/>
      <c r="O22" s="25"/>
      <c r="P22" s="25">
        <f>SUM('3.12.2'!U32:U37)</f>
        <v>-70257.578900995024</v>
      </c>
      <c r="Q22" s="25"/>
      <c r="R22" s="25"/>
      <c r="S22" s="25"/>
      <c r="T22" s="25"/>
      <c r="U22" s="25"/>
      <c r="V22" s="25"/>
      <c r="W22" s="25"/>
      <c r="X22" s="25"/>
    </row>
    <row r="23" spans="1:27" x14ac:dyDescent="0.25">
      <c r="A23" s="25">
        <v>16</v>
      </c>
      <c r="B23" s="25"/>
      <c r="C23" s="25" t="s">
        <v>36</v>
      </c>
      <c r="D23" s="25"/>
      <c r="E23" s="25">
        <f t="shared" si="4"/>
        <v>0</v>
      </c>
      <c r="F23" s="25"/>
      <c r="G23" s="25"/>
      <c r="H23" s="25"/>
      <c r="I23" s="25"/>
      <c r="J23" s="25"/>
      <c r="K23" s="25"/>
      <c r="L23" s="25"/>
      <c r="M23" s="25"/>
      <c r="N23" s="25"/>
      <c r="O23" s="25"/>
      <c r="P23" s="25"/>
      <c r="Q23" s="25"/>
      <c r="R23" s="25"/>
      <c r="S23" s="25"/>
      <c r="T23" s="25"/>
      <c r="U23" s="25"/>
      <c r="V23" s="25"/>
      <c r="W23" s="25"/>
      <c r="X23" s="25"/>
    </row>
    <row r="24" spans="1:27" x14ac:dyDescent="0.25">
      <c r="A24" s="25">
        <v>17</v>
      </c>
      <c r="B24" s="25"/>
      <c r="C24" s="25" t="s">
        <v>37</v>
      </c>
      <c r="D24" s="25"/>
      <c r="E24" s="34">
        <f t="shared" si="4"/>
        <v>-1357129.135716785</v>
      </c>
      <c r="F24" s="34"/>
      <c r="G24" s="34"/>
      <c r="H24" s="34"/>
      <c r="I24" s="34"/>
      <c r="J24" s="34"/>
      <c r="K24" s="34">
        <f>'3.7'!$O$13*(2462314/21185569)</f>
        <v>-81352.26831208037</v>
      </c>
      <c r="L24" s="34">
        <f>'3.8'!$O$13*(2462314/21185569)</f>
        <v>-387297.69585519889</v>
      </c>
      <c r="M24" s="34"/>
      <c r="N24" s="34"/>
      <c r="O24" s="61"/>
      <c r="P24" s="34">
        <f>SUM('3.12.2'!U38:U45)+SUM('3.12.3'!U13:U23)</f>
        <v>-392738.57561983564</v>
      </c>
      <c r="Q24" s="34">
        <f>'3.13'!Q15+'3.13'!Q16</f>
        <v>-495740.59592967015</v>
      </c>
      <c r="R24" s="61"/>
      <c r="S24" s="61"/>
      <c r="T24" s="61"/>
      <c r="U24" s="61"/>
      <c r="V24" s="61"/>
      <c r="W24" s="71"/>
      <c r="X24" s="34"/>
    </row>
    <row r="25" spans="1:27" x14ac:dyDescent="0.25">
      <c r="A25" s="25">
        <v>18</v>
      </c>
      <c r="B25" s="25"/>
      <c r="C25" s="27" t="s">
        <v>38</v>
      </c>
      <c r="D25" s="25"/>
      <c r="E25" s="25">
        <f>SUM(E15:E24)</f>
        <v>-23833738.272401165</v>
      </c>
      <c r="F25" s="25"/>
      <c r="G25" s="25">
        <f t="shared" ref="G25:S25" si="5">SUM(G15:G24)</f>
        <v>0</v>
      </c>
      <c r="H25" s="25">
        <f t="shared" ref="H25:L25" si="6">SUM(H15:H24)</f>
        <v>0</v>
      </c>
      <c r="I25" s="25">
        <f>SUM(I15:I24)</f>
        <v>0</v>
      </c>
      <c r="J25" s="25">
        <f>SUM(J15:J24)</f>
        <v>0</v>
      </c>
      <c r="K25" s="25">
        <f t="shared" si="6"/>
        <v>-699948.94787264836</v>
      </c>
      <c r="L25" s="25">
        <f t="shared" si="6"/>
        <v>-3332280.9597319146</v>
      </c>
      <c r="M25" s="25">
        <f>SUM(M15:M24)</f>
        <v>-1203163.2421296153</v>
      </c>
      <c r="N25" s="25">
        <f>SUM(N15:N24)</f>
        <v>-472455.94103452226</v>
      </c>
      <c r="O25" s="25">
        <f>SUM(O15:O24)</f>
        <v>-587038.77190000005</v>
      </c>
      <c r="P25" s="25">
        <f>SUM(P15:P24)</f>
        <v>-5421335.3365927916</v>
      </c>
      <c r="Q25" s="25">
        <f>SUM(Q15:Q24)</f>
        <v>-520499.00872967014</v>
      </c>
      <c r="R25" s="100">
        <f t="shared" ref="R25" si="7">SUM(R15:R24)</f>
        <v>0</v>
      </c>
      <c r="S25" s="25">
        <f t="shared" si="5"/>
        <v>0</v>
      </c>
      <c r="T25" s="25">
        <f>SUM(T15:T24)</f>
        <v>0</v>
      </c>
      <c r="U25" s="25">
        <f t="shared" ref="U25:V25" si="8">SUM(U15:U24)</f>
        <v>0</v>
      </c>
      <c r="V25" s="25">
        <f t="shared" si="8"/>
        <v>0</v>
      </c>
      <c r="W25" s="25">
        <f t="shared" ref="W25:X25" si="9">SUM(W15:W24)</f>
        <v>0</v>
      </c>
      <c r="X25" s="25">
        <f t="shared" si="9"/>
        <v>-11597016.064410001</v>
      </c>
    </row>
    <row r="26" spans="1:27" x14ac:dyDescent="0.25">
      <c r="A26" s="25">
        <v>19</v>
      </c>
      <c r="B26" s="25"/>
      <c r="C26" s="25" t="s">
        <v>39</v>
      </c>
      <c r="D26" s="25"/>
      <c r="E26" s="25">
        <f t="shared" ref="E26:E33" si="10">SUM(G26:X26)</f>
        <v>-1457107</v>
      </c>
      <c r="F26" s="25"/>
      <c r="G26" s="25"/>
      <c r="H26" s="59"/>
      <c r="I26" s="25"/>
      <c r="J26" s="25"/>
      <c r="K26" s="25"/>
      <c r="L26" s="59"/>
      <c r="M26" s="25"/>
      <c r="N26" s="25"/>
      <c r="O26" s="25"/>
      <c r="P26" s="25"/>
      <c r="Q26" s="25"/>
      <c r="R26" s="100"/>
      <c r="S26" s="25">
        <f>'3.15'!M18</f>
        <v>-1457107</v>
      </c>
      <c r="T26" s="25"/>
      <c r="U26" s="25"/>
      <c r="V26" s="25"/>
      <c r="W26" s="25"/>
      <c r="X26" s="25"/>
    </row>
    <row r="27" spans="1:27" x14ac:dyDescent="0.25">
      <c r="A27" s="25">
        <v>20</v>
      </c>
      <c r="B27" s="25"/>
      <c r="C27" s="25" t="s">
        <v>40</v>
      </c>
      <c r="D27" s="25"/>
      <c r="E27" s="25">
        <f t="shared" si="10"/>
        <v>-9742771.7769008018</v>
      </c>
      <c r="F27" s="25"/>
      <c r="G27" s="25"/>
      <c r="H27" s="59"/>
      <c r="I27" s="25"/>
      <c r="J27" s="25"/>
      <c r="K27" s="25"/>
      <c r="L27" s="59"/>
      <c r="M27" s="25"/>
      <c r="N27" s="25"/>
      <c r="O27" s="25"/>
      <c r="P27" s="25"/>
      <c r="Q27" s="25"/>
      <c r="R27" s="100">
        <f>'3.14'!M12</f>
        <v>-729127</v>
      </c>
      <c r="S27" s="25"/>
      <c r="T27" s="25"/>
      <c r="U27" s="25"/>
      <c r="V27" s="25">
        <f>'3.19'!M18</f>
        <v>-2070613.7769008013</v>
      </c>
      <c r="W27" s="25">
        <f>'3.20'!M16</f>
        <v>-6943031</v>
      </c>
      <c r="X27" s="25"/>
    </row>
    <row r="28" spans="1:27" x14ac:dyDescent="0.25">
      <c r="A28" s="25">
        <v>21</v>
      </c>
      <c r="B28" s="25"/>
      <c r="C28" s="25" t="s">
        <v>41</v>
      </c>
      <c r="D28" s="25"/>
      <c r="E28" s="25">
        <f t="shared" si="10"/>
        <v>0</v>
      </c>
      <c r="F28" s="25"/>
      <c r="G28" s="25"/>
      <c r="H28" s="25"/>
      <c r="I28" s="25"/>
      <c r="J28" s="25"/>
      <c r="K28" s="25"/>
      <c r="L28" s="25"/>
      <c r="M28" s="25"/>
      <c r="N28" s="25"/>
      <c r="O28" s="25"/>
      <c r="P28" s="25"/>
      <c r="Q28" s="25"/>
      <c r="R28" s="100"/>
      <c r="S28" s="25"/>
      <c r="T28" s="25"/>
      <c r="U28" s="25"/>
      <c r="V28" s="25"/>
      <c r="W28" s="25"/>
      <c r="X28" s="25"/>
    </row>
    <row r="29" spans="1:27" x14ac:dyDescent="0.25">
      <c r="A29" s="25">
        <v>22</v>
      </c>
      <c r="B29" s="25"/>
      <c r="C29" s="25" t="s">
        <v>42</v>
      </c>
      <c r="D29" s="25"/>
      <c r="E29" s="25">
        <f t="shared" si="10"/>
        <v>7758374.6408325443</v>
      </c>
      <c r="F29" s="25"/>
      <c r="G29" s="25">
        <f t="shared" ref="G29:X29" si="11">(G13-G25-G33-G30-SUM(G26:G28))*$G$2</f>
        <v>149562.27001799998</v>
      </c>
      <c r="H29" s="25">
        <f t="shared" si="11"/>
        <v>4813.5895919999994</v>
      </c>
      <c r="I29" s="25">
        <f t="shared" ref="I29:J29" si="12">(I13-I25-I33-I30-SUM(I26:I28))*$G$2</f>
        <v>15485.998500000002</v>
      </c>
      <c r="J29" s="25">
        <f t="shared" si="12"/>
        <v>565463.70731717662</v>
      </c>
      <c r="K29" s="25">
        <f t="shared" ref="K29" si="13">(K13-K25-K33-K30-SUM(K26:K28))*$G$2</f>
        <v>140315.96578423833</v>
      </c>
      <c r="L29" s="25">
        <f t="shared" ref="L29:M29" si="14">(L13-L25-L33-L30-SUM(L26:L28))*$G$2</f>
        <v>668009.03487361793</v>
      </c>
      <c r="M29" s="25">
        <f t="shared" si="14"/>
        <v>241193.32249675543</v>
      </c>
      <c r="N29" s="25">
        <f t="shared" si="11"/>
        <v>94711.352675426533</v>
      </c>
      <c r="O29" s="25">
        <f>(O13-O25-O33-O30-SUM(O26:O28))*$G$2</f>
        <v>117681.3144477054</v>
      </c>
      <c r="P29" s="25">
        <f t="shared" si="11"/>
        <v>1086793.4095854105</v>
      </c>
      <c r="Q29" s="25">
        <f t="shared" ref="Q29" si="15">(Q13-Q25-Q33-Q30-SUM(Q26:Q28))*$G$2</f>
        <v>104342.35428400205</v>
      </c>
      <c r="R29" s="100">
        <f t="shared" si="11"/>
        <v>146165.173182</v>
      </c>
      <c r="S29" s="25">
        <f t="shared" si="11"/>
        <v>292100.41186200001</v>
      </c>
      <c r="T29" s="25">
        <f>(T13-T25-T33-T30-SUM(T26:T28))*$G$2</f>
        <v>0</v>
      </c>
      <c r="U29" s="25">
        <f t="shared" ref="U29:V29" si="16">(U13-U25-U33-U30-SUM(U26:U28))*$G$2</f>
        <v>0</v>
      </c>
      <c r="V29" s="25">
        <f t="shared" si="16"/>
        <v>415087.66140019603</v>
      </c>
      <c r="W29" s="25">
        <f t="shared" si="11"/>
        <v>1391841.6524459999</v>
      </c>
      <c r="X29" s="25">
        <f t="shared" si="11"/>
        <v>2324807.4223680152</v>
      </c>
    </row>
    <row r="30" spans="1:27" x14ac:dyDescent="0.25">
      <c r="A30" s="25">
        <v>23</v>
      </c>
      <c r="B30" s="25"/>
      <c r="C30" s="25" t="s">
        <v>43</v>
      </c>
      <c r="D30" s="25"/>
      <c r="E30" s="25">
        <f t="shared" si="10"/>
        <v>1757057.1004249975</v>
      </c>
      <c r="F30" s="25"/>
      <c r="G30" s="25">
        <f t="shared" ref="G30:X30" si="17">(G13-G25-SUM(G26:G28)-G33)*$G$1</f>
        <v>33871.714200000002</v>
      </c>
      <c r="H30" s="25">
        <f t="shared" si="17"/>
        <v>1090.1448</v>
      </c>
      <c r="I30" s="25">
        <f t="shared" ref="I30:J30" si="18">(I13-I25-SUM(I26:I28)-I33)*$G$1</f>
        <v>3507.15</v>
      </c>
      <c r="J30" s="25">
        <f t="shared" si="18"/>
        <v>128061.87738668812</v>
      </c>
      <c r="K30" s="25">
        <f t="shared" ref="K30" si="19">(K13-K25-SUM(K26:K28)-K33)*$G$1</f>
        <v>31777.682233418236</v>
      </c>
      <c r="L30" s="25">
        <f t="shared" ref="L30:M30" si="20">(L13-L25-SUM(L26:L28)-L33)*$G$1</f>
        <v>151285.55557182894</v>
      </c>
      <c r="M30" s="25">
        <f t="shared" si="20"/>
        <v>54623.611192684533</v>
      </c>
      <c r="N30" s="25">
        <f t="shared" si="17"/>
        <v>21449.499722967314</v>
      </c>
      <c r="O30" s="25">
        <f>(O13-O25-SUM(O26:O28)-O33)*$G$1</f>
        <v>26651.560244260003</v>
      </c>
      <c r="P30" s="25">
        <f t="shared" si="17"/>
        <v>246128.62428131275</v>
      </c>
      <c r="Q30" s="25">
        <f t="shared" ref="Q30" si="21">(Q13-Q25-SUM(Q26:Q28)-Q33)*$G$1</f>
        <v>23630.654996327026</v>
      </c>
      <c r="R30" s="100">
        <f t="shared" si="17"/>
        <v>33102.3658</v>
      </c>
      <c r="S30" s="25">
        <f t="shared" si="17"/>
        <v>66152.657800000001</v>
      </c>
      <c r="T30" s="25">
        <f>(T13-T25-SUM(T26:T28)-T33)*$G$1</f>
        <v>0</v>
      </c>
      <c r="U30" s="25">
        <f t="shared" ref="U30:V30" si="22">(U13-U25-SUM(U26:U28)-U33)*$G$1</f>
        <v>0</v>
      </c>
      <c r="V30" s="25">
        <f t="shared" si="22"/>
        <v>94005.865471296391</v>
      </c>
      <c r="W30" s="25">
        <f t="shared" si="17"/>
        <v>315213.60740000004</v>
      </c>
      <c r="X30" s="25">
        <f t="shared" si="17"/>
        <v>526504.52932421409</v>
      </c>
    </row>
    <row r="31" spans="1:27" x14ac:dyDescent="0.25">
      <c r="A31" s="25">
        <v>24</v>
      </c>
      <c r="B31" s="25"/>
      <c r="C31" s="25" t="s">
        <v>44</v>
      </c>
      <c r="D31" s="25"/>
      <c r="E31" s="25">
        <f t="shared" si="10"/>
        <v>0</v>
      </c>
      <c r="F31" s="25"/>
      <c r="G31" s="25"/>
      <c r="H31" s="25"/>
      <c r="I31" s="25"/>
      <c r="J31" s="25"/>
      <c r="K31" s="25"/>
      <c r="L31" s="25"/>
      <c r="M31" s="25"/>
      <c r="N31" s="25"/>
      <c r="O31" s="25"/>
      <c r="P31" s="25"/>
      <c r="Q31" s="25"/>
      <c r="R31" s="100"/>
      <c r="S31" s="25"/>
      <c r="T31" s="25"/>
      <c r="U31" s="25"/>
      <c r="V31" s="25"/>
      <c r="W31" s="25"/>
      <c r="X31" s="25"/>
    </row>
    <row r="32" spans="1:27" x14ac:dyDescent="0.25">
      <c r="A32" s="25">
        <v>25</v>
      </c>
      <c r="B32" s="25"/>
      <c r="C32" s="59" t="s">
        <v>255</v>
      </c>
      <c r="D32" s="25"/>
      <c r="E32" s="25">
        <f t="shared" si="10"/>
        <v>0</v>
      </c>
      <c r="F32" s="25"/>
      <c r="G32" s="25"/>
      <c r="H32" s="25"/>
      <c r="I32" s="25"/>
      <c r="J32" s="25"/>
      <c r="K32" s="25"/>
      <c r="L32" s="25"/>
      <c r="M32" s="25"/>
      <c r="N32" s="25"/>
      <c r="O32" s="25"/>
      <c r="P32" s="25"/>
      <c r="Q32" s="25"/>
      <c r="R32" s="100"/>
      <c r="S32" s="25"/>
      <c r="T32" s="25"/>
      <c r="U32" s="25"/>
      <c r="V32" s="25"/>
      <c r="W32" s="25"/>
      <c r="X32" s="25"/>
    </row>
    <row r="33" spans="1:24" x14ac:dyDescent="0.25">
      <c r="A33" s="25">
        <v>26</v>
      </c>
      <c r="B33" s="25"/>
      <c r="C33" s="25" t="s">
        <v>45</v>
      </c>
      <c r="D33" s="25"/>
      <c r="E33" s="34">
        <f t="shared" si="10"/>
        <v>0</v>
      </c>
      <c r="F33" s="34"/>
      <c r="G33" s="34"/>
      <c r="H33" s="34"/>
      <c r="I33" s="34"/>
      <c r="J33" s="34"/>
      <c r="K33" s="34"/>
      <c r="L33" s="34"/>
      <c r="M33" s="34"/>
      <c r="N33" s="34"/>
      <c r="O33" s="34"/>
      <c r="P33" s="34"/>
      <c r="Q33" s="34"/>
      <c r="R33" s="101"/>
      <c r="S33" s="34"/>
      <c r="T33" s="34"/>
      <c r="U33" s="34"/>
      <c r="V33" s="34"/>
      <c r="W33" s="34"/>
      <c r="X33" s="34"/>
    </row>
    <row r="34" spans="1:24" x14ac:dyDescent="0.25">
      <c r="A34" s="25">
        <v>27</v>
      </c>
      <c r="B34" s="25"/>
      <c r="C34" s="27" t="s">
        <v>46</v>
      </c>
      <c r="D34" s="25"/>
      <c r="E34" s="34">
        <f>SUM(E25:E33)</f>
        <v>-25518185.308044426</v>
      </c>
      <c r="F34" s="34"/>
      <c r="G34" s="34">
        <f t="shared" ref="G34:S34" si="23">SUM(G25:G33)</f>
        <v>183433.98421799997</v>
      </c>
      <c r="H34" s="34">
        <f t="shared" ref="H34:L34" si="24">SUM(H25:H33)</f>
        <v>5903.7343919999994</v>
      </c>
      <c r="I34" s="34">
        <f>SUM(I25:I33)</f>
        <v>18993.148500000003</v>
      </c>
      <c r="J34" s="34">
        <f>SUM(J25:J33)</f>
        <v>693525.58470386476</v>
      </c>
      <c r="K34" s="34">
        <f t="shared" si="24"/>
        <v>-527855.29985499184</v>
      </c>
      <c r="L34" s="34">
        <f t="shared" si="24"/>
        <v>-2512986.3692864678</v>
      </c>
      <c r="M34" s="34">
        <f>SUM(M25:M33)</f>
        <v>-907346.30844017537</v>
      </c>
      <c r="N34" s="34">
        <f>SUM(N25:N33)</f>
        <v>-356295.08863612841</v>
      </c>
      <c r="O34" s="34">
        <f>SUM(O25:O33)</f>
        <v>-442705.89720803464</v>
      </c>
      <c r="P34" s="34">
        <f>SUM(P25:P33)</f>
        <v>-4088413.3027260681</v>
      </c>
      <c r="Q34" s="34">
        <f>SUM(Q25:Q33)</f>
        <v>-392525.99944934109</v>
      </c>
      <c r="R34" s="101">
        <f t="shared" ref="R34" si="25">SUM(R25:R33)</f>
        <v>-549859.46101800003</v>
      </c>
      <c r="S34" s="34">
        <f t="shared" si="23"/>
        <v>-1098853.9303380002</v>
      </c>
      <c r="T34" s="34">
        <f>SUM(T25:T33)</f>
        <v>0</v>
      </c>
      <c r="U34" s="34">
        <f t="shared" ref="U34:V34" si="26">SUM(U25:U33)</f>
        <v>0</v>
      </c>
      <c r="V34" s="34">
        <f t="shared" si="26"/>
        <v>-1561520.2500293087</v>
      </c>
      <c r="W34" s="34">
        <f t="shared" ref="W34:X34" si="27">SUM(W25:W33)</f>
        <v>-5235975.740154</v>
      </c>
      <c r="X34" s="34">
        <f t="shared" si="27"/>
        <v>-8745704.11271777</v>
      </c>
    </row>
    <row r="35" spans="1:24" ht="16.5" thickBot="1" x14ac:dyDescent="0.3">
      <c r="A35" s="25">
        <v>28</v>
      </c>
      <c r="B35" s="25"/>
      <c r="C35" s="54" t="s">
        <v>47</v>
      </c>
      <c r="D35" s="25"/>
      <c r="E35" s="35">
        <f>E13-E34</f>
        <v>29186266.505989097</v>
      </c>
      <c r="F35" s="35"/>
      <c r="G35" s="35">
        <f t="shared" ref="G35:S35" si="28">G13-G34</f>
        <v>562639.01578200003</v>
      </c>
      <c r="H35" s="35">
        <f t="shared" ref="H35:L35" si="29">H13-H34</f>
        <v>18108.265608000002</v>
      </c>
      <c r="I35" s="35">
        <f>I13-I34</f>
        <v>58256.851499999997</v>
      </c>
      <c r="J35" s="35">
        <f>J13-J34</f>
        <v>2127220.6132408073</v>
      </c>
      <c r="K35" s="35">
        <f t="shared" si="29"/>
        <v>527855.29985499184</v>
      </c>
      <c r="L35" s="35">
        <f t="shared" si="29"/>
        <v>2512986.3692864678</v>
      </c>
      <c r="M35" s="35">
        <f>M13-M34</f>
        <v>907346.30844017537</v>
      </c>
      <c r="N35" s="35">
        <f>N13-N34</f>
        <v>356295.08863612841</v>
      </c>
      <c r="O35" s="35">
        <f>O13-O34</f>
        <v>442705.89720803464</v>
      </c>
      <c r="P35" s="35">
        <f>P13-P34</f>
        <v>4088413.3027260681</v>
      </c>
      <c r="Q35" s="35">
        <f>Q13-Q34</f>
        <v>392525.99944934109</v>
      </c>
      <c r="R35" s="102">
        <f t="shared" ref="R35" si="30">R13-R34</f>
        <v>549859.46101800003</v>
      </c>
      <c r="S35" s="35">
        <f t="shared" si="28"/>
        <v>1098853.9303380002</v>
      </c>
      <c r="T35" s="35">
        <f>T13-T34</f>
        <v>0</v>
      </c>
      <c r="U35" s="35">
        <f t="shared" ref="U35:V35" si="31">U13-U34</f>
        <v>0</v>
      </c>
      <c r="V35" s="35">
        <f t="shared" si="31"/>
        <v>1561520.2500293087</v>
      </c>
      <c r="W35" s="35">
        <f t="shared" ref="W35:X35" si="32">W13-W34</f>
        <v>5235975.740154</v>
      </c>
      <c r="X35" s="35">
        <f t="shared" si="32"/>
        <v>8745704.11271777</v>
      </c>
    </row>
    <row r="36" spans="1:24" ht="16.5" thickTop="1" x14ac:dyDescent="0.25">
      <c r="A36" s="25">
        <v>29</v>
      </c>
      <c r="B36" s="25"/>
      <c r="C36" s="54" t="s">
        <v>48</v>
      </c>
      <c r="D36" s="25"/>
      <c r="E36" s="25"/>
      <c r="F36" s="25"/>
      <c r="G36" s="25"/>
      <c r="H36" s="25"/>
      <c r="I36" s="25"/>
      <c r="J36" s="25"/>
      <c r="K36" s="25"/>
      <c r="L36" s="25"/>
      <c r="M36" s="25"/>
      <c r="N36" s="25"/>
      <c r="O36" s="25"/>
      <c r="P36" s="25"/>
      <c r="Q36" s="25"/>
      <c r="R36" s="100"/>
      <c r="S36" s="25"/>
      <c r="T36" s="25"/>
      <c r="U36" s="25"/>
      <c r="V36" s="25"/>
      <c r="W36" s="25"/>
      <c r="X36" s="25"/>
    </row>
    <row r="37" spans="1:24" x14ac:dyDescent="0.25">
      <c r="A37" s="25">
        <v>30</v>
      </c>
      <c r="B37" s="25"/>
      <c r="C37" s="25" t="s">
        <v>49</v>
      </c>
      <c r="D37" s="25"/>
      <c r="E37" s="25">
        <f t="shared" ref="E37:E47" si="33">SUM(G37:X37)</f>
        <v>-59155430</v>
      </c>
      <c r="F37" s="25"/>
      <c r="G37" s="59"/>
      <c r="H37" s="25"/>
      <c r="I37" s="25"/>
      <c r="J37" s="25"/>
      <c r="K37" s="59"/>
      <c r="L37" s="25"/>
      <c r="M37" s="25"/>
      <c r="N37" s="25"/>
      <c r="O37" s="25"/>
      <c r="P37" s="25"/>
      <c r="Q37" s="25"/>
      <c r="R37" s="25"/>
      <c r="S37" s="25">
        <f>'3.15'!M12</f>
        <v>-59155430</v>
      </c>
      <c r="T37" s="25"/>
      <c r="U37" s="25"/>
      <c r="V37" s="25"/>
      <c r="W37" s="25"/>
      <c r="X37" s="25"/>
    </row>
    <row r="38" spans="1:24" x14ac:dyDescent="0.25">
      <c r="A38" s="25">
        <v>31</v>
      </c>
      <c r="B38" s="25"/>
      <c r="C38" s="25" t="s">
        <v>50</v>
      </c>
      <c r="D38" s="25"/>
      <c r="E38" s="25">
        <f t="shared" si="33"/>
        <v>0</v>
      </c>
      <c r="F38" s="25"/>
      <c r="G38" s="25"/>
      <c r="H38" s="25"/>
      <c r="I38" s="25"/>
      <c r="J38" s="25"/>
      <c r="K38" s="25"/>
      <c r="L38" s="25"/>
      <c r="M38" s="25"/>
      <c r="N38" s="25"/>
      <c r="O38" s="25"/>
      <c r="P38" s="25"/>
      <c r="Q38" s="25"/>
      <c r="R38" s="25"/>
      <c r="S38" s="25"/>
      <c r="T38" s="25"/>
      <c r="U38" s="25"/>
      <c r="V38" s="25"/>
      <c r="W38" s="25"/>
      <c r="X38" s="25"/>
    </row>
    <row r="39" spans="1:24" x14ac:dyDescent="0.25">
      <c r="A39" s="25">
        <v>32</v>
      </c>
      <c r="B39" s="25"/>
      <c r="C39" s="25" t="s">
        <v>51</v>
      </c>
      <c r="D39" s="25"/>
      <c r="E39" s="25">
        <f t="shared" si="33"/>
        <v>-143952497.15595073</v>
      </c>
      <c r="F39" s="25"/>
      <c r="G39" s="25"/>
      <c r="H39" s="25"/>
      <c r="I39" s="25"/>
      <c r="J39" s="25"/>
      <c r="K39" s="25"/>
      <c r="L39" s="25"/>
      <c r="M39" s="25"/>
      <c r="N39" s="25"/>
      <c r="O39" s="25"/>
      <c r="P39" s="25"/>
      <c r="Q39" s="25"/>
      <c r="R39" s="25"/>
      <c r="S39" s="25"/>
      <c r="T39" s="25">
        <f>'3.16'!M12+'3.16'!M18</f>
        <v>-143952497.15595073</v>
      </c>
      <c r="U39" s="25"/>
      <c r="V39" s="25"/>
      <c r="W39" s="25"/>
      <c r="X39" s="25"/>
    </row>
    <row r="40" spans="1:24" x14ac:dyDescent="0.25">
      <c r="A40" s="25">
        <v>33</v>
      </c>
      <c r="B40" s="25"/>
      <c r="C40" s="25" t="s">
        <v>52</v>
      </c>
      <c r="D40" s="25"/>
      <c r="E40" s="25">
        <f t="shared" si="33"/>
        <v>-1708124.1094637737</v>
      </c>
      <c r="F40" s="25"/>
      <c r="G40" s="25"/>
      <c r="H40" s="25"/>
      <c r="I40" s="25"/>
      <c r="J40" s="25"/>
      <c r="K40" s="25"/>
      <c r="L40" s="25"/>
      <c r="M40" s="25"/>
      <c r="N40" s="25"/>
      <c r="O40" s="25"/>
      <c r="P40" s="25"/>
      <c r="Q40" s="25"/>
      <c r="R40" s="25"/>
      <c r="S40" s="25"/>
      <c r="T40" s="25"/>
      <c r="U40" s="25"/>
      <c r="V40" s="25">
        <f>'3.19'!M13+'3.19'!M14</f>
        <v>-1708124.1094637737</v>
      </c>
      <c r="W40" s="25"/>
      <c r="X40" s="25"/>
    </row>
    <row r="41" spans="1:24" x14ac:dyDescent="0.25">
      <c r="A41" s="25">
        <v>34</v>
      </c>
      <c r="B41" s="25"/>
      <c r="C41" s="59" t="s">
        <v>370</v>
      </c>
      <c r="D41" s="25"/>
      <c r="E41" s="25">
        <f t="shared" si="33"/>
        <v>-15224593.603902966</v>
      </c>
      <c r="F41" s="25"/>
      <c r="G41" s="25"/>
      <c r="H41" s="25"/>
      <c r="I41" s="25"/>
      <c r="J41" s="25"/>
      <c r="K41" s="25"/>
      <c r="L41" s="25"/>
      <c r="M41" s="25"/>
      <c r="N41" s="25"/>
      <c r="O41" s="25"/>
      <c r="P41" s="25"/>
      <c r="Q41" s="25"/>
      <c r="R41" s="25"/>
      <c r="S41" s="25"/>
      <c r="T41" s="25">
        <f>'3.16'!M17</f>
        <v>-15224593.603902966</v>
      </c>
      <c r="U41" s="25"/>
      <c r="V41" s="25"/>
      <c r="W41" s="25"/>
      <c r="X41" s="25"/>
    </row>
    <row r="42" spans="1:24" x14ac:dyDescent="0.25">
      <c r="A42" s="25">
        <v>35</v>
      </c>
      <c r="B42" s="25"/>
      <c r="C42" s="25" t="s">
        <v>53</v>
      </c>
      <c r="D42" s="25"/>
      <c r="E42" s="25">
        <f t="shared" si="33"/>
        <v>0</v>
      </c>
      <c r="F42" s="25"/>
      <c r="G42" s="25"/>
      <c r="H42" s="25"/>
      <c r="I42" s="25"/>
      <c r="J42" s="25"/>
      <c r="K42" s="25"/>
      <c r="L42" s="25"/>
      <c r="M42" s="25"/>
      <c r="N42" s="25"/>
      <c r="O42" s="25"/>
      <c r="P42" s="25"/>
      <c r="Q42" s="25"/>
      <c r="R42" s="25"/>
      <c r="S42" s="25"/>
      <c r="T42" s="25"/>
      <c r="U42" s="25"/>
      <c r="V42" s="25"/>
      <c r="W42" s="25"/>
      <c r="X42" s="25"/>
    </row>
    <row r="43" spans="1:24" x14ac:dyDescent="0.25">
      <c r="A43" s="25">
        <v>36</v>
      </c>
      <c r="B43" s="25"/>
      <c r="C43" s="25" t="s">
        <v>54</v>
      </c>
      <c r="D43" s="25"/>
      <c r="E43" s="25">
        <f t="shared" si="33"/>
        <v>0</v>
      </c>
      <c r="F43" s="25"/>
      <c r="G43" s="25"/>
      <c r="H43" s="25"/>
      <c r="I43" s="25"/>
      <c r="J43" s="25"/>
      <c r="K43" s="25"/>
      <c r="L43" s="25"/>
      <c r="M43" s="25"/>
      <c r="N43" s="25"/>
      <c r="O43" s="25"/>
      <c r="P43" s="25"/>
      <c r="Q43" s="25"/>
      <c r="R43" s="25"/>
      <c r="S43" s="25"/>
      <c r="T43" s="25"/>
      <c r="U43" s="25"/>
      <c r="V43" s="25"/>
      <c r="W43" s="25"/>
      <c r="X43" s="25"/>
    </row>
    <row r="44" spans="1:24" x14ac:dyDescent="0.25">
      <c r="A44" s="25">
        <v>37</v>
      </c>
      <c r="B44" s="25"/>
      <c r="C44" s="25" t="s">
        <v>55</v>
      </c>
      <c r="D44" s="25"/>
      <c r="E44" s="25">
        <f t="shared" si="33"/>
        <v>0</v>
      </c>
      <c r="F44" s="25"/>
      <c r="G44" s="25"/>
      <c r="H44" s="25"/>
      <c r="I44" s="25"/>
      <c r="J44" s="25"/>
      <c r="K44" s="25"/>
      <c r="L44" s="25"/>
      <c r="M44" s="25"/>
      <c r="N44" s="25"/>
      <c r="O44" s="25"/>
      <c r="P44" s="25"/>
      <c r="Q44" s="25"/>
      <c r="R44" s="25"/>
      <c r="S44" s="25"/>
      <c r="T44" s="25"/>
      <c r="U44" s="25"/>
      <c r="V44" s="25"/>
      <c r="W44" s="25"/>
      <c r="X44" s="25"/>
    </row>
    <row r="45" spans="1:24" x14ac:dyDescent="0.25">
      <c r="A45" s="25">
        <v>38</v>
      </c>
      <c r="B45" s="25"/>
      <c r="C45" s="59" t="s">
        <v>256</v>
      </c>
      <c r="D45" s="25"/>
      <c r="E45" s="25">
        <f t="shared" si="33"/>
        <v>364563.5</v>
      </c>
      <c r="F45" s="25"/>
      <c r="G45" s="25"/>
      <c r="H45" s="25"/>
      <c r="I45" s="25"/>
      <c r="J45" s="25"/>
      <c r="K45" s="25"/>
      <c r="L45" s="25"/>
      <c r="M45" s="25"/>
      <c r="N45" s="25"/>
      <c r="O45" s="25"/>
      <c r="P45" s="25"/>
      <c r="Q45" s="25"/>
      <c r="R45" s="25">
        <f>'3.14'!M15</f>
        <v>364563.5</v>
      </c>
      <c r="S45" s="25"/>
      <c r="T45" s="25"/>
      <c r="U45" s="25"/>
      <c r="V45" s="25"/>
      <c r="W45" s="25"/>
      <c r="X45" s="25"/>
    </row>
    <row r="46" spans="1:24" x14ac:dyDescent="0.25">
      <c r="A46" s="25">
        <v>39</v>
      </c>
      <c r="B46" s="25"/>
      <c r="C46" s="25" t="s">
        <v>56</v>
      </c>
      <c r="D46" s="25"/>
      <c r="E46" s="25">
        <f t="shared" si="33"/>
        <v>0</v>
      </c>
      <c r="F46" s="25"/>
      <c r="G46" s="25"/>
      <c r="H46" s="25"/>
      <c r="I46" s="25"/>
      <c r="J46" s="25"/>
      <c r="K46" s="25"/>
      <c r="L46" s="25"/>
      <c r="M46" s="25"/>
      <c r="N46" s="25"/>
      <c r="O46" s="25"/>
      <c r="P46" s="25"/>
      <c r="Q46" s="25"/>
      <c r="R46" s="25"/>
      <c r="S46" s="25"/>
      <c r="T46" s="25"/>
      <c r="U46" s="25"/>
      <c r="V46" s="25"/>
      <c r="W46" s="25"/>
      <c r="X46" s="25"/>
    </row>
    <row r="47" spans="1:24" x14ac:dyDescent="0.25">
      <c r="A47" s="25">
        <v>40</v>
      </c>
      <c r="B47" s="25"/>
      <c r="C47" s="59" t="s">
        <v>257</v>
      </c>
      <c r="D47" s="25"/>
      <c r="E47" s="34">
        <f t="shared" si="33"/>
        <v>0</v>
      </c>
      <c r="F47" s="34"/>
      <c r="G47" s="34"/>
      <c r="H47" s="34"/>
      <c r="I47" s="34"/>
      <c r="J47" s="34"/>
      <c r="K47" s="34"/>
      <c r="L47" s="34"/>
      <c r="M47" s="34"/>
      <c r="N47" s="34"/>
      <c r="O47" s="34"/>
      <c r="P47" s="34"/>
      <c r="Q47" s="34"/>
      <c r="R47" s="34"/>
      <c r="S47" s="34"/>
      <c r="T47" s="34"/>
      <c r="U47" s="34"/>
      <c r="V47" s="34"/>
      <c r="W47" s="34"/>
      <c r="X47" s="34"/>
    </row>
    <row r="48" spans="1:24" x14ac:dyDescent="0.25">
      <c r="A48" s="25">
        <v>41</v>
      </c>
      <c r="B48" s="25"/>
      <c r="C48" s="25" t="s">
        <v>57</v>
      </c>
      <c r="D48" s="25"/>
      <c r="E48" s="34">
        <f>SUM(E37:E47)</f>
        <v>-219676081.36931747</v>
      </c>
      <c r="F48" s="34"/>
      <c r="G48" s="34">
        <f t="shared" ref="G48:S48" si="34">SUM(G37:G47)</f>
        <v>0</v>
      </c>
      <c r="H48" s="34">
        <f t="shared" ref="H48:L48" si="35">SUM(H37:H47)</f>
        <v>0</v>
      </c>
      <c r="I48" s="34">
        <f>SUM(I37:I47)</f>
        <v>0</v>
      </c>
      <c r="J48" s="34">
        <f>SUM(J37:J47)</f>
        <v>0</v>
      </c>
      <c r="K48" s="34">
        <f t="shared" si="35"/>
        <v>0</v>
      </c>
      <c r="L48" s="34">
        <f t="shared" si="35"/>
        <v>0</v>
      </c>
      <c r="M48" s="34">
        <f>SUM(M37:M47)</f>
        <v>0</v>
      </c>
      <c r="N48" s="34">
        <f>SUM(N37:N47)</f>
        <v>0</v>
      </c>
      <c r="O48" s="34">
        <f>SUM(O37:O47)</f>
        <v>0</v>
      </c>
      <c r="P48" s="34">
        <f>SUM(P37:P47)</f>
        <v>0</v>
      </c>
      <c r="Q48" s="34">
        <f>SUM(Q37:Q47)</f>
        <v>0</v>
      </c>
      <c r="R48" s="34">
        <f t="shared" ref="R48" si="36">SUM(R37:R47)</f>
        <v>364563.5</v>
      </c>
      <c r="S48" s="34">
        <f t="shared" si="34"/>
        <v>-59155430</v>
      </c>
      <c r="T48" s="34">
        <f>SUM(T37:T47)</f>
        <v>-159177090.75985369</v>
      </c>
      <c r="U48" s="34">
        <f t="shared" ref="U48:V48" si="37">SUM(U37:U47)</f>
        <v>0</v>
      </c>
      <c r="V48" s="34">
        <f t="shared" si="37"/>
        <v>-1708124.1094637737</v>
      </c>
      <c r="W48" s="34">
        <f t="shared" ref="W48" si="38">SUM(W37:W47)</f>
        <v>0</v>
      </c>
      <c r="X48" s="34"/>
    </row>
    <row r="49" spans="1:24" x14ac:dyDescent="0.25">
      <c r="A49" s="25">
        <v>42</v>
      </c>
      <c r="B49" s="25"/>
      <c r="C49" s="54" t="s">
        <v>58</v>
      </c>
      <c r="D49" s="25"/>
      <c r="E49" s="25"/>
      <c r="F49" s="25"/>
      <c r="G49" s="25"/>
      <c r="H49" s="25"/>
      <c r="I49" s="25"/>
      <c r="J49" s="25"/>
      <c r="K49" s="25"/>
      <c r="L49" s="25"/>
      <c r="M49" s="25"/>
      <c r="N49" s="25"/>
      <c r="O49" s="25"/>
      <c r="P49" s="25"/>
      <c r="Q49" s="25"/>
      <c r="R49" s="25"/>
      <c r="S49" s="25"/>
      <c r="T49" s="25"/>
      <c r="U49" s="25"/>
      <c r="V49" s="25"/>
      <c r="W49" s="25"/>
      <c r="X49" s="25"/>
    </row>
    <row r="50" spans="1:24" x14ac:dyDescent="0.25">
      <c r="A50" s="25">
        <v>43</v>
      </c>
      <c r="B50" s="25"/>
      <c r="C50" s="59" t="s">
        <v>258</v>
      </c>
      <c r="D50" s="25"/>
      <c r="E50" s="25">
        <f t="shared" ref="E50:E56" si="39">SUM(G50:X50)</f>
        <v>661368</v>
      </c>
      <c r="F50" s="25"/>
      <c r="G50" s="25"/>
      <c r="H50" s="25"/>
      <c r="I50" s="25"/>
      <c r="J50" s="25"/>
      <c r="K50" s="25"/>
      <c r="L50" s="25"/>
      <c r="M50" s="25"/>
      <c r="N50" s="25"/>
      <c r="O50" s="25"/>
      <c r="P50" s="25"/>
      <c r="Q50" s="25"/>
      <c r="R50" s="25"/>
      <c r="S50" s="25">
        <f>'3.15'!M13</f>
        <v>661368</v>
      </c>
      <c r="T50" s="25"/>
      <c r="U50" s="25"/>
      <c r="V50" s="25"/>
      <c r="W50" s="25"/>
      <c r="X50" s="25"/>
    </row>
    <row r="51" spans="1:24" x14ac:dyDescent="0.25">
      <c r="A51" s="25">
        <v>44</v>
      </c>
      <c r="B51" s="25"/>
      <c r="C51" s="59" t="s">
        <v>259</v>
      </c>
      <c r="D51" s="25"/>
      <c r="E51" s="25">
        <f t="shared" si="39"/>
        <v>0</v>
      </c>
      <c r="F51" s="25"/>
      <c r="G51" s="25"/>
      <c r="H51" s="25"/>
      <c r="I51" s="25"/>
      <c r="J51" s="25"/>
      <c r="K51" s="25"/>
      <c r="L51" s="25"/>
      <c r="M51" s="25"/>
      <c r="N51" s="25"/>
      <c r="O51" s="25"/>
      <c r="P51" s="25"/>
      <c r="Q51" s="25"/>
      <c r="R51" s="25"/>
      <c r="S51" s="25"/>
      <c r="T51" s="25"/>
      <c r="U51" s="25"/>
      <c r="V51" s="25"/>
      <c r="W51" s="25"/>
      <c r="X51" s="25"/>
    </row>
    <row r="52" spans="1:24" x14ac:dyDescent="0.25">
      <c r="A52" s="25">
        <v>45</v>
      </c>
      <c r="B52" s="25"/>
      <c r="C52" s="25" t="s">
        <v>59</v>
      </c>
      <c r="D52" s="25"/>
      <c r="E52" s="25">
        <f t="shared" si="39"/>
        <v>37807496.289123565</v>
      </c>
      <c r="F52" s="25"/>
      <c r="G52" s="25"/>
      <c r="H52" s="25"/>
      <c r="I52" s="25"/>
      <c r="J52" s="25"/>
      <c r="K52" s="25"/>
      <c r="L52" s="25"/>
      <c r="M52" s="25"/>
      <c r="N52" s="25"/>
      <c r="O52" s="25"/>
      <c r="P52" s="25"/>
      <c r="Q52" s="25"/>
      <c r="R52" s="25">
        <f>'3.14'!M16</f>
        <v>-89633.769490999999</v>
      </c>
      <c r="S52" s="25">
        <f>'3.15'!M14</f>
        <v>2387635</v>
      </c>
      <c r="T52" s="25">
        <f>'3.16'!M14+'3.16'!M19+'3.16'!M20</f>
        <v>35509495.058614567</v>
      </c>
      <c r="U52" s="25"/>
      <c r="V52" s="25"/>
      <c r="W52" s="25"/>
      <c r="X52" s="25"/>
    </row>
    <row r="53" spans="1:24" x14ac:dyDescent="0.25">
      <c r="A53" s="25">
        <v>46</v>
      </c>
      <c r="B53" s="25"/>
      <c r="C53" s="25" t="s">
        <v>60</v>
      </c>
      <c r="D53" s="25"/>
      <c r="E53" s="25">
        <f t="shared" si="39"/>
        <v>0</v>
      </c>
      <c r="F53" s="25"/>
      <c r="G53" s="25"/>
      <c r="H53" s="25"/>
      <c r="I53" s="25"/>
      <c r="J53" s="25"/>
      <c r="K53" s="25"/>
      <c r="L53" s="25"/>
      <c r="M53" s="25"/>
      <c r="N53" s="25"/>
      <c r="O53" s="25"/>
      <c r="P53" s="25"/>
      <c r="Q53" s="25"/>
      <c r="R53" s="25"/>
      <c r="S53" s="25"/>
      <c r="T53" s="25"/>
      <c r="U53" s="25"/>
      <c r="V53" s="25"/>
      <c r="W53" s="25"/>
      <c r="X53" s="25"/>
    </row>
    <row r="54" spans="1:24" x14ac:dyDescent="0.25">
      <c r="A54" s="25">
        <v>47</v>
      </c>
      <c r="B54" s="25"/>
      <c r="C54" s="59" t="s">
        <v>260</v>
      </c>
      <c r="D54" s="25"/>
      <c r="E54" s="25">
        <f t="shared" si="39"/>
        <v>0</v>
      </c>
      <c r="F54" s="25"/>
      <c r="G54" s="25"/>
      <c r="H54" s="25"/>
      <c r="I54" s="25"/>
      <c r="J54" s="25"/>
      <c r="K54" s="25"/>
      <c r="L54" s="25"/>
      <c r="M54" s="25"/>
      <c r="N54" s="25"/>
      <c r="O54" s="25"/>
      <c r="P54" s="25"/>
      <c r="Q54" s="25"/>
      <c r="R54" s="25"/>
      <c r="S54" s="25"/>
      <c r="T54" s="25"/>
      <c r="U54" s="25"/>
      <c r="V54" s="25"/>
      <c r="W54" s="25"/>
      <c r="X54" s="25"/>
    </row>
    <row r="55" spans="1:24" x14ac:dyDescent="0.25">
      <c r="A55" s="25">
        <v>48</v>
      </c>
      <c r="B55" s="25"/>
      <c r="C55" s="25" t="s">
        <v>61</v>
      </c>
      <c r="D55" s="25"/>
      <c r="E55" s="25">
        <f t="shared" si="39"/>
        <v>0</v>
      </c>
      <c r="F55" s="25"/>
      <c r="G55" s="25"/>
      <c r="H55" s="25"/>
      <c r="I55" s="25"/>
      <c r="J55" s="25"/>
      <c r="K55" s="25"/>
      <c r="L55" s="25"/>
      <c r="M55" s="25"/>
      <c r="N55" s="25"/>
      <c r="O55" s="25"/>
      <c r="P55" s="25"/>
      <c r="Q55" s="25"/>
      <c r="R55" s="25"/>
      <c r="S55" s="25"/>
      <c r="T55" s="25"/>
      <c r="U55" s="25"/>
      <c r="V55" s="25"/>
      <c r="W55" s="25"/>
      <c r="X55" s="25"/>
    </row>
    <row r="56" spans="1:24" x14ac:dyDescent="0.25">
      <c r="A56" s="25">
        <v>49</v>
      </c>
      <c r="B56" s="25"/>
      <c r="C56" s="59" t="s">
        <v>261</v>
      </c>
      <c r="D56" s="25"/>
      <c r="E56" s="34">
        <f t="shared" si="39"/>
        <v>-48979404.306787908</v>
      </c>
      <c r="F56" s="34"/>
      <c r="G56" s="34"/>
      <c r="H56" s="34"/>
      <c r="I56" s="34"/>
      <c r="J56" s="34"/>
      <c r="K56" s="34"/>
      <c r="L56" s="34"/>
      <c r="M56" s="34"/>
      <c r="N56" s="34"/>
      <c r="O56" s="34"/>
      <c r="P56" s="34"/>
      <c r="Q56" s="34"/>
      <c r="R56" s="34"/>
      <c r="S56" s="34"/>
      <c r="T56" s="34">
        <f>'3.16'!M13</f>
        <v>13410878.193212094</v>
      </c>
      <c r="U56" s="34">
        <f>'3.18'!M13</f>
        <v>3568513</v>
      </c>
      <c r="V56" s="34"/>
      <c r="W56" s="34">
        <f>'3.20'!M13</f>
        <v>-65958795.5</v>
      </c>
      <c r="X56" s="34"/>
    </row>
    <row r="57" spans="1:24" x14ac:dyDescent="0.25">
      <c r="A57" s="25">
        <v>50</v>
      </c>
      <c r="B57" s="25"/>
      <c r="C57" s="25" t="s">
        <v>62</v>
      </c>
      <c r="D57" s="25"/>
      <c r="E57" s="34">
        <f>SUM(E50:E56)</f>
        <v>-10510540.017664343</v>
      </c>
      <c r="F57" s="34"/>
      <c r="G57" s="34">
        <f t="shared" ref="G57:S57" si="40">SUM(G50:G56)</f>
        <v>0</v>
      </c>
      <c r="H57" s="34">
        <f t="shared" ref="H57:L57" si="41">SUM(H50:H56)</f>
        <v>0</v>
      </c>
      <c r="I57" s="34">
        <f>SUM(I50:I56)</f>
        <v>0</v>
      </c>
      <c r="J57" s="34">
        <f>SUM(J50:J56)</f>
        <v>0</v>
      </c>
      <c r="K57" s="34">
        <f t="shared" si="41"/>
        <v>0</v>
      </c>
      <c r="L57" s="34">
        <f t="shared" si="41"/>
        <v>0</v>
      </c>
      <c r="M57" s="34">
        <f>SUM(M50:M56)</f>
        <v>0</v>
      </c>
      <c r="N57" s="34">
        <f>SUM(N50:N56)</f>
        <v>0</v>
      </c>
      <c r="O57" s="34">
        <f>SUM(O50:O56)</f>
        <v>0</v>
      </c>
      <c r="P57" s="34">
        <f>SUM(P50:P56)</f>
        <v>0</v>
      </c>
      <c r="Q57" s="34">
        <f>SUM(Q50:Q56)</f>
        <v>0</v>
      </c>
      <c r="R57" s="34">
        <f t="shared" ref="R57" si="42">SUM(R50:R56)</f>
        <v>-89633.769490999999</v>
      </c>
      <c r="S57" s="34">
        <f t="shared" si="40"/>
        <v>3049003</v>
      </c>
      <c r="T57" s="34">
        <f>SUM(T50:T56)</f>
        <v>48920373.251826659</v>
      </c>
      <c r="U57" s="34">
        <f t="shared" ref="U57:V57" si="43">SUM(U50:U56)</f>
        <v>3568513</v>
      </c>
      <c r="V57" s="34">
        <f t="shared" si="43"/>
        <v>0</v>
      </c>
      <c r="W57" s="34">
        <f t="shared" ref="W57" si="44">SUM(W50:W56)</f>
        <v>-65958795.5</v>
      </c>
      <c r="X57" s="34"/>
    </row>
    <row r="58" spans="1:24" ht="16.5" thickBot="1" x14ac:dyDescent="0.3">
      <c r="A58" s="25">
        <v>51</v>
      </c>
      <c r="B58" s="25"/>
      <c r="C58" s="54" t="s">
        <v>224</v>
      </c>
      <c r="D58" s="25"/>
      <c r="E58" s="35">
        <f>E48+E57</f>
        <v>-230186621.38698182</v>
      </c>
      <c r="F58" s="35"/>
      <c r="G58" s="35">
        <f t="shared" ref="G58:S58" si="45">G48+G57</f>
        <v>0</v>
      </c>
      <c r="H58" s="35">
        <f t="shared" ref="H58:L58" si="46">H48+H57</f>
        <v>0</v>
      </c>
      <c r="I58" s="35">
        <f>I48+I57</f>
        <v>0</v>
      </c>
      <c r="J58" s="35">
        <f>J48+J57</f>
        <v>0</v>
      </c>
      <c r="K58" s="35">
        <f t="shared" si="46"/>
        <v>0</v>
      </c>
      <c r="L58" s="35">
        <f t="shared" si="46"/>
        <v>0</v>
      </c>
      <c r="M58" s="35">
        <f>M48+M57</f>
        <v>0</v>
      </c>
      <c r="N58" s="35">
        <f>N48+N57</f>
        <v>0</v>
      </c>
      <c r="O58" s="35">
        <f>O48+O57</f>
        <v>0</v>
      </c>
      <c r="P58" s="35">
        <f>P48+P57</f>
        <v>0</v>
      </c>
      <c r="Q58" s="35">
        <f>Q48+Q57</f>
        <v>0</v>
      </c>
      <c r="R58" s="35">
        <f t="shared" ref="R58" si="47">R48+R57</f>
        <v>274929.73050900002</v>
      </c>
      <c r="S58" s="35">
        <f t="shared" si="45"/>
        <v>-56106427</v>
      </c>
      <c r="T58" s="35">
        <f>T48+T57</f>
        <v>-110256717.50802703</v>
      </c>
      <c r="U58" s="35">
        <f t="shared" ref="U58:V58" si="48">U48+U57</f>
        <v>3568513</v>
      </c>
      <c r="V58" s="35">
        <f t="shared" si="48"/>
        <v>-1708124.1094637737</v>
      </c>
      <c r="W58" s="35">
        <f t="shared" ref="W58" si="49">W48+W57</f>
        <v>-65958795.5</v>
      </c>
      <c r="X58" s="35"/>
    </row>
    <row r="59" spans="1:24" ht="16.5" thickTop="1" x14ac:dyDescent="0.25">
      <c r="A59" s="25"/>
      <c r="B59" s="25"/>
      <c r="C59" s="25"/>
      <c r="D59" s="25"/>
      <c r="E59" s="32"/>
      <c r="F59" s="32"/>
      <c r="G59" s="32"/>
      <c r="H59" s="32"/>
      <c r="I59" s="32"/>
      <c r="J59" s="32"/>
      <c r="K59" s="32"/>
      <c r="L59" s="32"/>
      <c r="M59" s="32"/>
      <c r="N59" s="32"/>
      <c r="O59" s="32"/>
      <c r="P59" s="32"/>
      <c r="Q59" s="32"/>
      <c r="R59" s="32"/>
      <c r="S59" s="32"/>
      <c r="T59" s="32"/>
      <c r="U59" s="32"/>
      <c r="V59" s="32"/>
      <c r="W59" s="32"/>
      <c r="X59" s="32"/>
    </row>
    <row r="60" spans="1:24" x14ac:dyDescent="0.25">
      <c r="A60" s="25"/>
      <c r="B60" s="25"/>
      <c r="D60" s="25"/>
      <c r="E60" s="63"/>
      <c r="F60" s="25"/>
      <c r="G60" s="4" t="s">
        <v>549</v>
      </c>
      <c r="M60" s="32"/>
      <c r="N60" s="32"/>
      <c r="O60" s="32"/>
      <c r="P60" s="32"/>
      <c r="Q60" s="32"/>
      <c r="R60" s="32"/>
      <c r="S60" s="25"/>
      <c r="T60" s="25"/>
      <c r="U60" s="25"/>
      <c r="V60" s="25"/>
      <c r="W60" s="25"/>
      <c r="X60" s="25"/>
    </row>
    <row r="61" spans="1:24" x14ac:dyDescent="0.25">
      <c r="A61" s="25"/>
      <c r="B61" s="25"/>
      <c r="C61" s="55"/>
      <c r="D61" s="32"/>
      <c r="E61" s="60"/>
      <c r="F61" s="32"/>
      <c r="H61" s="4"/>
      <c r="I61" s="4"/>
      <c r="J61" s="4"/>
      <c r="K61" s="32"/>
      <c r="L61" s="32"/>
      <c r="M61" s="25"/>
      <c r="N61" s="25"/>
      <c r="O61" s="25"/>
      <c r="P61" s="25"/>
      <c r="Q61" s="25"/>
      <c r="R61" s="25"/>
      <c r="S61" s="25"/>
      <c r="T61" s="25"/>
      <c r="U61" s="25"/>
      <c r="V61" s="25"/>
      <c r="W61" s="25"/>
      <c r="X61" s="25"/>
    </row>
    <row r="62" spans="1:24" x14ac:dyDescent="0.25">
      <c r="A62" s="25"/>
      <c r="B62" s="25"/>
      <c r="E62" s="60"/>
      <c r="M62" s="25"/>
      <c r="N62" s="25"/>
      <c r="O62" s="25"/>
      <c r="P62" s="25"/>
      <c r="Q62" s="25"/>
      <c r="R62" s="25"/>
      <c r="S62" s="25"/>
      <c r="T62" s="25"/>
      <c r="U62" s="25"/>
      <c r="V62" s="25"/>
      <c r="W62" s="25"/>
      <c r="X62" s="25"/>
    </row>
    <row r="63" spans="1:24" x14ac:dyDescent="0.25">
      <c r="A63" s="25"/>
      <c r="B63" s="25"/>
      <c r="C63" s="27"/>
      <c r="D63" s="25"/>
      <c r="E63" s="25"/>
      <c r="F63" s="25"/>
      <c r="G63" s="25"/>
      <c r="H63" s="25"/>
      <c r="I63" s="25"/>
      <c r="J63" s="25"/>
      <c r="K63" s="25"/>
      <c r="L63" s="25"/>
      <c r="M63" s="25"/>
      <c r="N63" s="25"/>
      <c r="O63" s="25"/>
      <c r="P63" s="25"/>
      <c r="Q63" s="25"/>
      <c r="R63" s="25"/>
      <c r="S63" s="25"/>
      <c r="T63" s="25"/>
      <c r="U63" s="25"/>
      <c r="V63" s="25"/>
      <c r="W63" s="25"/>
      <c r="X63" s="25"/>
    </row>
    <row r="64" spans="1:24" x14ac:dyDescent="0.25">
      <c r="A64" s="25"/>
      <c r="B64" s="25"/>
      <c r="C64" s="25"/>
      <c r="D64" s="25"/>
      <c r="E64" s="25"/>
      <c r="F64" s="25"/>
      <c r="G64" s="25"/>
      <c r="H64" s="25"/>
      <c r="I64" s="25"/>
      <c r="J64" s="25"/>
      <c r="K64" s="25"/>
      <c r="L64" s="25"/>
      <c r="M64" s="25"/>
      <c r="N64" s="25"/>
      <c r="O64" s="25"/>
      <c r="P64" s="25"/>
      <c r="Q64" s="25"/>
      <c r="R64" s="25"/>
      <c r="S64" s="25"/>
      <c r="T64" s="25"/>
      <c r="U64" s="25"/>
      <c r="V64" s="25"/>
      <c r="W64" s="25"/>
      <c r="X64" s="25"/>
    </row>
    <row r="65" spans="1:24" x14ac:dyDescent="0.25">
      <c r="A65" s="25"/>
      <c r="B65" s="25"/>
      <c r="C65" s="25"/>
      <c r="D65" s="25"/>
      <c r="E65" s="25"/>
      <c r="F65" s="25"/>
      <c r="G65" s="25"/>
      <c r="H65" s="25"/>
      <c r="I65" s="25"/>
      <c r="J65" s="25"/>
      <c r="K65" s="25"/>
      <c r="L65" s="25"/>
      <c r="M65" s="25"/>
      <c r="N65" s="25"/>
      <c r="O65" s="25"/>
      <c r="P65" s="25"/>
      <c r="Q65" s="25"/>
      <c r="R65" s="25"/>
      <c r="S65" s="25"/>
      <c r="T65" s="25"/>
      <c r="U65" s="25"/>
      <c r="V65" s="25"/>
      <c r="W65" s="25"/>
      <c r="X65" s="25"/>
    </row>
    <row r="66" spans="1:24" x14ac:dyDescent="0.25">
      <c r="A66" s="25"/>
      <c r="B66" s="25"/>
      <c r="C66" s="25"/>
      <c r="D66" s="25"/>
      <c r="E66" s="25"/>
      <c r="F66" s="25"/>
      <c r="G66" s="25"/>
      <c r="H66" s="25"/>
      <c r="I66" s="25"/>
      <c r="J66" s="25"/>
      <c r="K66" s="25"/>
      <c r="L66" s="25"/>
      <c r="M66" s="25"/>
      <c r="N66" s="25"/>
      <c r="O66" s="25"/>
      <c r="P66" s="25"/>
      <c r="Q66" s="25"/>
      <c r="R66" s="25"/>
      <c r="S66" s="25"/>
      <c r="T66" s="25"/>
      <c r="U66" s="25"/>
      <c r="V66" s="25"/>
      <c r="W66" s="25"/>
      <c r="X66" s="25"/>
    </row>
    <row r="67" spans="1:24" x14ac:dyDescent="0.25">
      <c r="A67" s="25"/>
      <c r="B67" s="25"/>
      <c r="C67" s="25"/>
      <c r="D67" s="25"/>
      <c r="E67" s="25"/>
      <c r="F67" s="25"/>
      <c r="G67" s="25"/>
      <c r="H67" s="25"/>
      <c r="I67" s="25"/>
      <c r="J67" s="25"/>
      <c r="K67" s="25"/>
      <c r="L67" s="25"/>
      <c r="M67" s="25"/>
      <c r="N67" s="25"/>
      <c r="O67" s="25"/>
      <c r="P67" s="25"/>
      <c r="Q67" s="25"/>
      <c r="R67" s="25"/>
      <c r="S67" s="25"/>
      <c r="T67" s="25"/>
      <c r="U67" s="25"/>
      <c r="V67" s="25"/>
      <c r="W67" s="25"/>
      <c r="X67" s="25"/>
    </row>
    <row r="68" spans="1:24" x14ac:dyDescent="0.25">
      <c r="A68" s="25"/>
      <c r="B68" s="25"/>
      <c r="C68" s="25"/>
      <c r="D68" s="25"/>
      <c r="E68" s="25"/>
      <c r="F68" s="25"/>
      <c r="G68" s="25"/>
      <c r="H68" s="25"/>
      <c r="I68" s="25"/>
      <c r="J68" s="25"/>
      <c r="K68" s="25"/>
      <c r="L68" s="25"/>
      <c r="M68" s="25"/>
      <c r="N68" s="25"/>
      <c r="O68" s="25"/>
      <c r="P68" s="25"/>
      <c r="Q68" s="25"/>
      <c r="R68" s="25"/>
      <c r="S68" s="25"/>
      <c r="T68" s="25"/>
      <c r="U68" s="25"/>
      <c r="V68" s="25"/>
      <c r="W68" s="25"/>
      <c r="X68" s="25"/>
    </row>
    <row r="69" spans="1:24" x14ac:dyDescent="0.25">
      <c r="A69" s="25"/>
      <c r="B69" s="25"/>
      <c r="C69" s="25"/>
      <c r="D69" s="25"/>
      <c r="E69" s="25"/>
      <c r="F69" s="25"/>
      <c r="G69" s="25"/>
      <c r="H69" s="25"/>
      <c r="I69" s="25"/>
      <c r="J69" s="25"/>
      <c r="K69" s="25"/>
      <c r="L69" s="25"/>
      <c r="M69" s="25"/>
      <c r="N69" s="25"/>
      <c r="O69" s="25"/>
      <c r="P69" s="25"/>
      <c r="Q69" s="25"/>
      <c r="R69" s="25"/>
      <c r="S69" s="25"/>
      <c r="T69" s="25"/>
      <c r="U69" s="25"/>
      <c r="V69" s="25"/>
      <c r="W69" s="25"/>
      <c r="X69" s="25"/>
    </row>
    <row r="70" spans="1:24" x14ac:dyDescent="0.25">
      <c r="A70" s="25"/>
      <c r="B70" s="25"/>
      <c r="C70" s="25"/>
      <c r="D70" s="25"/>
      <c r="E70" s="25"/>
      <c r="F70" s="25"/>
      <c r="G70" s="25"/>
      <c r="H70" s="25"/>
      <c r="I70" s="25"/>
      <c r="J70" s="25"/>
      <c r="K70" s="25"/>
      <c r="L70" s="25"/>
      <c r="M70" s="25"/>
      <c r="N70" s="25"/>
      <c r="O70" s="25"/>
      <c r="P70" s="25"/>
      <c r="Q70" s="25"/>
      <c r="R70" s="25"/>
      <c r="S70" s="25"/>
      <c r="T70" s="25"/>
      <c r="U70" s="25"/>
      <c r="V70" s="25"/>
      <c r="W70" s="25"/>
      <c r="X70" s="25"/>
    </row>
    <row r="71" spans="1:24" x14ac:dyDescent="0.25">
      <c r="A71" s="25"/>
      <c r="B71" s="25"/>
      <c r="C71" s="25"/>
      <c r="D71" s="25"/>
      <c r="E71" s="25"/>
      <c r="F71" s="25"/>
      <c r="G71" s="25"/>
      <c r="H71" s="25"/>
      <c r="I71" s="25"/>
      <c r="J71" s="25"/>
      <c r="K71" s="25"/>
      <c r="L71" s="25"/>
      <c r="M71" s="25"/>
      <c r="N71" s="25"/>
      <c r="O71" s="25"/>
      <c r="P71" s="25"/>
      <c r="Q71" s="25"/>
      <c r="R71" s="25"/>
      <c r="S71" s="25"/>
      <c r="T71" s="25"/>
      <c r="U71" s="25"/>
      <c r="V71" s="25"/>
      <c r="W71" s="25"/>
      <c r="X71" s="25"/>
    </row>
    <row r="72" spans="1:24" x14ac:dyDescent="0.25">
      <c r="A72" s="25"/>
      <c r="B72" s="25"/>
      <c r="C72" s="25"/>
      <c r="D72" s="25"/>
      <c r="E72" s="25"/>
      <c r="F72" s="25"/>
      <c r="G72" s="25"/>
      <c r="H72" s="25"/>
      <c r="I72" s="25"/>
      <c r="J72" s="25"/>
      <c r="K72" s="25"/>
      <c r="L72" s="25"/>
      <c r="M72" s="25"/>
      <c r="N72" s="25"/>
      <c r="O72" s="25"/>
      <c r="P72" s="25"/>
      <c r="Q72" s="25"/>
      <c r="R72" s="25"/>
      <c r="S72" s="25"/>
      <c r="T72" s="25"/>
      <c r="U72" s="25"/>
      <c r="V72" s="25"/>
      <c r="W72" s="25"/>
      <c r="X72" s="25"/>
    </row>
    <row r="73" spans="1:24" x14ac:dyDescent="0.25">
      <c r="A73" s="25"/>
      <c r="B73" s="25"/>
      <c r="C73" s="25"/>
      <c r="D73" s="25"/>
      <c r="E73" s="25"/>
      <c r="F73" s="25"/>
      <c r="G73" s="25"/>
      <c r="H73" s="25"/>
      <c r="I73" s="25"/>
      <c r="J73" s="25"/>
      <c r="K73" s="25"/>
      <c r="L73" s="25"/>
      <c r="M73" s="25"/>
      <c r="N73" s="25"/>
      <c r="O73" s="25"/>
      <c r="P73" s="25"/>
      <c r="Q73" s="25"/>
      <c r="R73" s="25"/>
      <c r="S73" s="25"/>
      <c r="T73" s="25"/>
      <c r="U73" s="25"/>
      <c r="V73" s="25"/>
      <c r="W73" s="25"/>
      <c r="X73" s="25"/>
    </row>
    <row r="74" spans="1:24" x14ac:dyDescent="0.25">
      <c r="A74" s="25"/>
      <c r="B74" s="25"/>
      <c r="C74" s="25"/>
      <c r="D74" s="25"/>
      <c r="E74" s="25"/>
      <c r="F74" s="25"/>
      <c r="G74" s="25"/>
      <c r="H74" s="25"/>
      <c r="I74" s="25"/>
      <c r="J74" s="25"/>
      <c r="K74" s="25"/>
      <c r="L74" s="25"/>
      <c r="M74" s="25"/>
      <c r="N74" s="25"/>
      <c r="O74" s="25"/>
      <c r="P74" s="25"/>
      <c r="Q74" s="25"/>
      <c r="R74" s="25"/>
      <c r="S74" s="25"/>
      <c r="T74" s="25"/>
      <c r="U74" s="25"/>
      <c r="V74" s="25"/>
      <c r="W74" s="25"/>
      <c r="X74" s="25"/>
    </row>
    <row r="75" spans="1:24" x14ac:dyDescent="0.25">
      <c r="A75" s="25"/>
      <c r="B75" s="25"/>
      <c r="C75" s="25"/>
      <c r="D75" s="25"/>
      <c r="E75" s="25"/>
      <c r="F75" s="25"/>
      <c r="G75" s="25"/>
      <c r="H75" s="25"/>
      <c r="I75" s="25"/>
      <c r="J75" s="25"/>
      <c r="K75" s="25"/>
      <c r="L75" s="25"/>
      <c r="M75" s="25"/>
      <c r="N75" s="25"/>
      <c r="O75" s="25"/>
      <c r="P75" s="25"/>
      <c r="Q75" s="25"/>
      <c r="R75" s="25"/>
      <c r="S75" s="25"/>
      <c r="T75" s="25"/>
      <c r="U75" s="25"/>
      <c r="V75" s="25"/>
      <c r="W75" s="25"/>
      <c r="X75" s="25"/>
    </row>
    <row r="76" spans="1:24" x14ac:dyDescent="0.25">
      <c r="A76" s="25"/>
      <c r="B76" s="25"/>
      <c r="C76" s="25"/>
      <c r="D76" s="25"/>
      <c r="E76" s="25"/>
      <c r="F76" s="25"/>
      <c r="G76" s="25"/>
      <c r="H76" s="25"/>
      <c r="I76" s="25"/>
      <c r="J76" s="25"/>
      <c r="K76" s="25"/>
      <c r="L76" s="25"/>
      <c r="M76" s="25"/>
      <c r="N76" s="25"/>
      <c r="O76" s="25"/>
      <c r="P76" s="25"/>
      <c r="Q76" s="25"/>
      <c r="R76" s="25"/>
      <c r="S76" s="25"/>
      <c r="T76" s="25"/>
      <c r="U76" s="25"/>
      <c r="V76" s="25"/>
      <c r="W76" s="25"/>
      <c r="X76" s="25"/>
    </row>
  </sheetData>
  <phoneticPr fontId="8" type="noConversion"/>
  <pageMargins left="0.75" right="0.75" top="1" bottom="1" header="0.5" footer="0.5"/>
  <pageSetup scale="59" fitToWidth="3" orientation="portrait" r:id="rId1"/>
  <headerFooter alignWithMargins="0">
    <oddHeader>&amp;LRocky Mountain Power
- Utah Operations
Summary of Adjustments
Test Year Ending December 31, 2021
&amp;ROffice of Consumer Services
Docket No. 20-035-04
Exhibit OCS 3.2D
Pages &amp;P of 3
Witness:  Donna Ramas</oddHeader>
  </headerFooter>
  <colBreaks count="1" manualBreakCount="1">
    <brk id="12"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4"/>
  <sheetViews>
    <sheetView workbookViewId="0">
      <selection activeCell="G13" sqref="G13"/>
    </sheetView>
  </sheetViews>
  <sheetFormatPr defaultRowHeight="15.75" x14ac:dyDescent="0.25"/>
  <cols>
    <col min="1" max="1" width="3.5" customWidth="1"/>
    <col min="2" max="2" width="1.625" customWidth="1"/>
    <col min="3" max="3" width="35.375" customWidth="1"/>
    <col min="4" max="4" width="1.25" customWidth="1"/>
    <col min="5" max="5" width="7.75" customWidth="1"/>
    <col min="6" max="6" width="1.25" customWidth="1"/>
    <col min="7" max="7" width="13.375" customWidth="1"/>
    <col min="8" max="8" width="1.75" customWidth="1"/>
    <col min="9" max="9" width="8.625" customWidth="1"/>
    <col min="10" max="10" width="1.875" customWidth="1"/>
    <col min="11" max="11" width="8.625" customWidth="1"/>
    <col min="12" max="12" width="1.625" customWidth="1"/>
    <col min="13" max="13" width="11.5" customWidth="1"/>
  </cols>
  <sheetData>
    <row r="1" spans="1:13" x14ac:dyDescent="0.25">
      <c r="A1" s="7" t="s">
        <v>15</v>
      </c>
      <c r="J1" s="7" t="s">
        <v>230</v>
      </c>
      <c r="L1" s="18"/>
      <c r="M1" s="18"/>
    </row>
    <row r="2" spans="1:13" x14ac:dyDescent="0.25">
      <c r="A2" s="17" t="s">
        <v>13</v>
      </c>
      <c r="J2" t="s">
        <v>335</v>
      </c>
      <c r="L2" s="18"/>
      <c r="M2" s="18"/>
    </row>
    <row r="3" spans="1:13" x14ac:dyDescent="0.25">
      <c r="A3" s="5" t="s">
        <v>414</v>
      </c>
      <c r="J3" t="s">
        <v>568</v>
      </c>
      <c r="L3" s="18"/>
      <c r="M3" s="18"/>
    </row>
    <row r="4" spans="1:13" x14ac:dyDescent="0.25">
      <c r="A4" t="s">
        <v>334</v>
      </c>
      <c r="J4" s="5" t="s">
        <v>320</v>
      </c>
      <c r="L4" s="18"/>
      <c r="M4" s="18"/>
    </row>
    <row r="5" spans="1:13" x14ac:dyDescent="0.25">
      <c r="K5" s="18"/>
      <c r="L5" s="18"/>
      <c r="M5" s="18"/>
    </row>
    <row r="6" spans="1:13" x14ac:dyDescent="0.25">
      <c r="A6" s="18"/>
      <c r="B6" s="18"/>
      <c r="C6" s="18"/>
      <c r="D6" s="18"/>
      <c r="E6" s="18"/>
      <c r="F6" s="18"/>
      <c r="G6" s="18"/>
      <c r="H6" s="18"/>
      <c r="I6" s="18"/>
      <c r="J6" s="18"/>
      <c r="K6" s="18"/>
      <c r="L6" s="18"/>
      <c r="M6" s="18"/>
    </row>
    <row r="7" spans="1:13" x14ac:dyDescent="0.25">
      <c r="A7" s="18"/>
      <c r="B7" s="18"/>
      <c r="C7" s="18"/>
      <c r="D7" s="18"/>
      <c r="E7" s="18"/>
      <c r="F7" s="18"/>
      <c r="G7" s="18"/>
      <c r="H7" s="18"/>
      <c r="I7" s="18"/>
      <c r="J7" s="18"/>
      <c r="K7" s="18"/>
      <c r="L7" s="18"/>
      <c r="M7" s="18"/>
    </row>
    <row r="8" spans="1:13" x14ac:dyDescent="0.25">
      <c r="E8" s="1"/>
      <c r="F8" s="1"/>
      <c r="G8" s="1" t="s">
        <v>4</v>
      </c>
      <c r="H8" s="1"/>
      <c r="I8" s="1"/>
      <c r="J8" s="1"/>
      <c r="K8" s="1"/>
      <c r="L8" s="1"/>
      <c r="M8" s="1" t="s">
        <v>9</v>
      </c>
    </row>
    <row r="9" spans="1:13" x14ac:dyDescent="0.25">
      <c r="A9" s="4"/>
      <c r="C9" s="2" t="s">
        <v>1</v>
      </c>
      <c r="E9" s="10" t="s">
        <v>11</v>
      </c>
      <c r="F9" s="1"/>
      <c r="G9" s="10" t="s">
        <v>6</v>
      </c>
      <c r="H9" s="1"/>
      <c r="I9" s="10" t="s">
        <v>7</v>
      </c>
      <c r="J9" s="1"/>
      <c r="K9" s="11" t="s">
        <v>10</v>
      </c>
      <c r="L9" s="1"/>
      <c r="M9" s="10" t="s">
        <v>8</v>
      </c>
    </row>
    <row r="11" spans="1:13" x14ac:dyDescent="0.25">
      <c r="C11" s="3" t="s">
        <v>315</v>
      </c>
    </row>
    <row r="13" spans="1:13" x14ac:dyDescent="0.25">
      <c r="A13">
        <v>1</v>
      </c>
      <c r="C13" t="s">
        <v>415</v>
      </c>
      <c r="E13" s="57">
        <v>451</v>
      </c>
      <c r="G13" s="47">
        <f>'3.3.1'!M17</f>
        <v>746073</v>
      </c>
      <c r="I13" s="1" t="s">
        <v>375</v>
      </c>
      <c r="J13" s="1"/>
      <c r="K13" s="1" t="s">
        <v>311</v>
      </c>
      <c r="M13" s="47">
        <f>G13</f>
        <v>746073</v>
      </c>
    </row>
    <row r="16" spans="1:13" x14ac:dyDescent="0.25">
      <c r="G16" s="47"/>
    </row>
    <row r="17" spans="1:13" x14ac:dyDescent="0.25">
      <c r="A17" s="4"/>
      <c r="B17" s="4"/>
      <c r="C17" s="39"/>
      <c r="D17" s="4"/>
      <c r="E17" s="4"/>
      <c r="F17" s="4"/>
      <c r="G17" s="51"/>
      <c r="H17" s="4"/>
      <c r="I17" s="4"/>
      <c r="J17" s="4"/>
      <c r="K17" s="4"/>
      <c r="L17" s="4"/>
      <c r="M17" s="4"/>
    </row>
    <row r="18" spans="1:13" x14ac:dyDescent="0.25">
      <c r="A18" s="4"/>
      <c r="B18" s="4"/>
      <c r="C18" s="4"/>
      <c r="D18" s="4"/>
      <c r="E18" s="4"/>
      <c r="F18" s="4"/>
      <c r="G18" s="4"/>
      <c r="H18" s="4"/>
      <c r="I18" s="51"/>
      <c r="J18" s="4"/>
      <c r="K18" s="4"/>
      <c r="L18" s="4"/>
      <c r="M18" s="4"/>
    </row>
    <row r="19" spans="1:13" x14ac:dyDescent="0.25">
      <c r="A19" s="4"/>
      <c r="B19" s="4"/>
      <c r="C19" s="4" t="s">
        <v>569</v>
      </c>
      <c r="D19" s="4"/>
      <c r="E19" s="4"/>
      <c r="F19" s="4"/>
      <c r="G19" s="4"/>
      <c r="H19" s="4"/>
      <c r="I19" s="4"/>
      <c r="J19" s="4"/>
      <c r="K19" s="4"/>
      <c r="L19" s="4"/>
      <c r="M19" s="4"/>
    </row>
    <row r="20" spans="1:13" x14ac:dyDescent="0.25">
      <c r="A20" s="4"/>
      <c r="B20" s="4"/>
      <c r="C20" s="4"/>
      <c r="D20" s="4"/>
      <c r="E20" s="4"/>
      <c r="F20" s="4"/>
      <c r="G20" s="4"/>
      <c r="H20" s="4"/>
      <c r="I20" s="51"/>
      <c r="J20" s="4"/>
      <c r="K20" s="4"/>
      <c r="L20" s="4"/>
      <c r="M20" s="4"/>
    </row>
    <row r="21" spans="1:13" x14ac:dyDescent="0.25">
      <c r="A21" s="4"/>
      <c r="B21" s="4"/>
      <c r="C21" s="20"/>
      <c r="D21" s="4"/>
      <c r="E21" s="4"/>
      <c r="F21" s="4"/>
      <c r="G21" s="4"/>
      <c r="H21" s="4"/>
      <c r="I21" s="51"/>
      <c r="J21" s="4"/>
      <c r="K21" s="50"/>
      <c r="L21" s="4"/>
      <c r="M21" s="4"/>
    </row>
    <row r="22" spans="1:13" x14ac:dyDescent="0.25">
      <c r="A22" s="20"/>
      <c r="B22" s="4"/>
      <c r="C22" s="20"/>
      <c r="D22" s="4"/>
      <c r="E22" s="4"/>
      <c r="F22" s="4"/>
      <c r="G22" s="23"/>
      <c r="H22" s="4"/>
      <c r="I22" s="122"/>
      <c r="J22" s="4"/>
      <c r="K22" s="4"/>
      <c r="L22" s="4"/>
      <c r="M22" s="4"/>
    </row>
    <row r="23" spans="1:13" x14ac:dyDescent="0.25">
      <c r="A23" s="20"/>
      <c r="B23" s="4"/>
      <c r="C23" s="20"/>
      <c r="D23" s="4"/>
      <c r="E23" s="4"/>
      <c r="F23" s="4"/>
      <c r="G23" s="64"/>
      <c r="H23" s="4"/>
      <c r="I23" s="123"/>
      <c r="J23" s="4"/>
      <c r="K23" s="4"/>
      <c r="L23" s="4"/>
      <c r="M23" s="4"/>
    </row>
    <row r="24" spans="1:13" x14ac:dyDescent="0.25">
      <c r="A24" s="4"/>
      <c r="B24" s="4"/>
      <c r="C24" s="20"/>
      <c r="D24" s="4"/>
      <c r="E24" s="4"/>
      <c r="F24" s="4"/>
      <c r="G24" s="51"/>
      <c r="H24" s="4"/>
      <c r="I24" s="4"/>
      <c r="J24" s="4"/>
      <c r="K24" s="4"/>
      <c r="L24" s="4"/>
      <c r="M24" s="4"/>
    </row>
    <row r="25" spans="1:13" x14ac:dyDescent="0.25">
      <c r="A25" s="4"/>
      <c r="B25" s="4"/>
      <c r="C25" s="20"/>
      <c r="D25" s="4"/>
      <c r="E25" s="4"/>
      <c r="F25" s="4"/>
      <c r="G25" s="22"/>
      <c r="H25" s="4"/>
      <c r="I25" s="4"/>
      <c r="J25" s="4"/>
      <c r="K25" s="4"/>
    </row>
    <row r="26" spans="1:13" x14ac:dyDescent="0.25">
      <c r="A26" s="4"/>
      <c r="B26" s="4"/>
      <c r="C26" s="20"/>
      <c r="D26" s="4"/>
      <c r="E26" s="4"/>
      <c r="F26" s="4"/>
      <c r="G26" s="51"/>
      <c r="H26" s="4"/>
      <c r="I26" s="4"/>
      <c r="J26" s="4"/>
      <c r="K26" s="4"/>
    </row>
    <row r="27" spans="1:13" x14ac:dyDescent="0.25">
      <c r="A27" s="4"/>
      <c r="B27" s="4"/>
      <c r="C27" s="4"/>
      <c r="D27" s="4"/>
      <c r="E27" s="4"/>
      <c r="F27" s="4"/>
      <c r="G27" s="51"/>
      <c r="H27" s="4"/>
      <c r="I27" s="4"/>
      <c r="J27" s="4"/>
      <c r="K27" s="4"/>
    </row>
    <row r="28" spans="1:13" x14ac:dyDescent="0.25">
      <c r="A28" s="4"/>
      <c r="B28" s="4"/>
      <c r="C28" s="4"/>
      <c r="D28" s="4"/>
      <c r="E28" s="4"/>
      <c r="F28" s="4"/>
      <c r="G28" s="4"/>
      <c r="H28" s="4"/>
      <c r="I28" s="4"/>
      <c r="J28" s="4"/>
      <c r="K28" s="4"/>
    </row>
    <row r="29" spans="1:13" x14ac:dyDescent="0.25">
      <c r="A29" s="4"/>
      <c r="B29" s="4"/>
      <c r="C29" t="s">
        <v>5</v>
      </c>
      <c r="D29" s="4"/>
      <c r="E29" s="4"/>
      <c r="F29" s="4"/>
      <c r="G29" s="4"/>
      <c r="H29" s="4"/>
      <c r="I29" s="4"/>
      <c r="J29" s="4"/>
      <c r="K29" s="4"/>
    </row>
    <row r="30" spans="1:13" ht="6" customHeight="1" x14ac:dyDescent="0.25"/>
    <row r="31" spans="1:13" x14ac:dyDescent="0.25">
      <c r="C31" s="153" t="s">
        <v>571</v>
      </c>
      <c r="D31" s="154"/>
      <c r="E31" s="154"/>
      <c r="F31" s="154"/>
      <c r="G31" s="154"/>
      <c r="H31" s="154"/>
      <c r="I31" s="154"/>
      <c r="J31" s="154"/>
      <c r="K31" s="154"/>
      <c r="L31" s="154"/>
      <c r="M31" s="155"/>
    </row>
    <row r="32" spans="1:13" x14ac:dyDescent="0.25">
      <c r="C32" s="156"/>
      <c r="D32" s="157"/>
      <c r="E32" s="157"/>
      <c r="F32" s="157"/>
      <c r="G32" s="157"/>
      <c r="H32" s="157"/>
      <c r="I32" s="157"/>
      <c r="J32" s="157"/>
      <c r="K32" s="157"/>
      <c r="L32" s="157"/>
      <c r="M32" s="158"/>
    </row>
    <row r="33" spans="3:13" x14ac:dyDescent="0.25">
      <c r="C33" s="156"/>
      <c r="D33" s="157"/>
      <c r="E33" s="157"/>
      <c r="F33" s="157"/>
      <c r="G33" s="157"/>
      <c r="H33" s="157"/>
      <c r="I33" s="157"/>
      <c r="J33" s="157"/>
      <c r="K33" s="157"/>
      <c r="L33" s="157"/>
      <c r="M33" s="158"/>
    </row>
    <row r="34" spans="3:13" x14ac:dyDescent="0.25">
      <c r="C34" s="159"/>
      <c r="D34" s="160"/>
      <c r="E34" s="160"/>
      <c r="F34" s="160"/>
      <c r="G34" s="160"/>
      <c r="H34" s="160"/>
      <c r="I34" s="160"/>
      <c r="J34" s="160"/>
      <c r="K34" s="160"/>
      <c r="L34" s="160"/>
      <c r="M34" s="161"/>
    </row>
  </sheetData>
  <mergeCells count="1">
    <mergeCell ref="C31:M34"/>
  </mergeCells>
  <pageMargins left="0.7" right="0.7" top="0.75" bottom="0.75" header="0.3" footer="0.3"/>
  <pageSetup scale="86"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2"/>
  <sheetViews>
    <sheetView workbookViewId="0">
      <selection activeCell="K6" sqref="K6"/>
    </sheetView>
  </sheetViews>
  <sheetFormatPr defaultRowHeight="15.75" x14ac:dyDescent="0.25"/>
  <cols>
    <col min="1" max="1" width="4.375" customWidth="1"/>
    <col min="2" max="2" width="1.625" customWidth="1"/>
    <col min="3" max="3" width="29.25" customWidth="1"/>
    <col min="4" max="4" width="1.5" customWidth="1"/>
    <col min="5" max="5" width="12.5" customWidth="1"/>
    <col min="6" max="6" width="1.25" customWidth="1"/>
    <col min="7" max="7" width="9.125" customWidth="1"/>
    <col min="8" max="8" width="1.25" customWidth="1"/>
    <col min="9" max="9" width="9.125" customWidth="1"/>
    <col min="10" max="10" width="1.75" customWidth="1"/>
    <col min="11" max="11" width="12.125" customWidth="1"/>
    <col min="12" max="12" width="1.875" customWidth="1"/>
    <col min="13" max="13" width="10.25" bestFit="1" customWidth="1"/>
  </cols>
  <sheetData>
    <row r="1" spans="1:13" x14ac:dyDescent="0.25">
      <c r="A1" s="7" t="s">
        <v>15</v>
      </c>
      <c r="K1" s="7" t="s">
        <v>230</v>
      </c>
    </row>
    <row r="2" spans="1:13" x14ac:dyDescent="0.25">
      <c r="A2" s="17" t="s">
        <v>13</v>
      </c>
      <c r="K2" t="s">
        <v>335</v>
      </c>
    </row>
    <row r="3" spans="1:13" x14ac:dyDescent="0.25">
      <c r="A3" s="5" t="s">
        <v>414</v>
      </c>
      <c r="K3" t="str">
        <f>'3.3'!J3</f>
        <v>Exhibit OCS 3.3D</v>
      </c>
    </row>
    <row r="4" spans="1:13" x14ac:dyDescent="0.25">
      <c r="A4" t="s">
        <v>334</v>
      </c>
      <c r="K4" s="5" t="s">
        <v>320</v>
      </c>
    </row>
    <row r="5" spans="1:13" x14ac:dyDescent="0.25">
      <c r="K5" t="s">
        <v>611</v>
      </c>
    </row>
    <row r="8" spans="1:13" x14ac:dyDescent="0.25">
      <c r="E8" s="1" t="s">
        <v>417</v>
      </c>
      <c r="F8" s="1"/>
      <c r="G8" s="1" t="s">
        <v>419</v>
      </c>
      <c r="H8" s="1"/>
      <c r="I8" s="1" t="s">
        <v>420</v>
      </c>
      <c r="J8" s="1"/>
      <c r="K8" s="1" t="s">
        <v>421</v>
      </c>
      <c r="M8" s="1" t="s">
        <v>423</v>
      </c>
    </row>
    <row r="9" spans="1:13" x14ac:dyDescent="0.25">
      <c r="C9" s="2" t="s">
        <v>416</v>
      </c>
      <c r="E9" s="10" t="s">
        <v>418</v>
      </c>
      <c r="F9" s="1"/>
      <c r="G9" s="10" t="s">
        <v>416</v>
      </c>
      <c r="H9" s="1"/>
      <c r="I9" s="10" t="s">
        <v>416</v>
      </c>
      <c r="J9" s="1"/>
      <c r="K9" s="10" t="s">
        <v>422</v>
      </c>
      <c r="M9" s="10" t="s">
        <v>424</v>
      </c>
    </row>
    <row r="11" spans="1:13" x14ac:dyDescent="0.25">
      <c r="A11">
        <v>1</v>
      </c>
      <c r="C11" t="s">
        <v>425</v>
      </c>
      <c r="E11" s="47">
        <v>27164</v>
      </c>
      <c r="G11" s="124">
        <v>20</v>
      </c>
      <c r="H11" s="124"/>
      <c r="I11" s="124">
        <v>12</v>
      </c>
      <c r="J11" s="124"/>
      <c r="K11" s="124">
        <f>I11-G11</f>
        <v>-8</v>
      </c>
      <c r="L11" s="124"/>
      <c r="M11" s="124">
        <f>E11*K11</f>
        <v>-217312</v>
      </c>
    </row>
    <row r="12" spans="1:13" x14ac:dyDescent="0.25">
      <c r="A12">
        <v>2</v>
      </c>
      <c r="C12" t="s">
        <v>426</v>
      </c>
      <c r="G12" s="124"/>
      <c r="H12" s="124"/>
      <c r="I12" s="124"/>
      <c r="J12" s="124"/>
      <c r="K12" s="124"/>
      <c r="L12" s="124"/>
      <c r="M12" s="124"/>
    </row>
    <row r="13" spans="1:13" x14ac:dyDescent="0.25">
      <c r="C13" t="s">
        <v>427</v>
      </c>
      <c r="E13" s="47">
        <v>19</v>
      </c>
      <c r="G13" s="124">
        <v>125</v>
      </c>
      <c r="H13" s="124"/>
      <c r="I13" s="124">
        <v>200</v>
      </c>
      <c r="J13" s="124"/>
      <c r="K13" s="124">
        <f t="shared" ref="K13:K15" si="0">I13-G13</f>
        <v>75</v>
      </c>
      <c r="L13" s="124"/>
      <c r="M13" s="124">
        <f t="shared" ref="M13:M15" si="1">E13*K13</f>
        <v>1425</v>
      </c>
    </row>
    <row r="14" spans="1:13" x14ac:dyDescent="0.25">
      <c r="A14">
        <v>3</v>
      </c>
      <c r="C14" t="s">
        <v>428</v>
      </c>
      <c r="E14" s="47">
        <v>7392</v>
      </c>
      <c r="G14" s="124">
        <v>85</v>
      </c>
      <c r="H14" s="124"/>
      <c r="I14" s="124">
        <v>215</v>
      </c>
      <c r="J14" s="124"/>
      <c r="K14" s="124">
        <f t="shared" si="0"/>
        <v>130</v>
      </c>
      <c r="L14" s="124"/>
      <c r="M14" s="124">
        <f t="shared" si="1"/>
        <v>960960</v>
      </c>
    </row>
    <row r="15" spans="1:13" x14ac:dyDescent="0.25">
      <c r="A15">
        <v>4</v>
      </c>
      <c r="C15" t="s">
        <v>429</v>
      </c>
      <c r="E15" s="47">
        <v>10</v>
      </c>
      <c r="G15" s="124">
        <v>115</v>
      </c>
      <c r="H15" s="124"/>
      <c r="I15" s="124">
        <v>215</v>
      </c>
      <c r="J15" s="124"/>
      <c r="K15" s="124">
        <f t="shared" si="0"/>
        <v>100</v>
      </c>
      <c r="L15" s="124"/>
      <c r="M15" s="125">
        <f t="shared" si="1"/>
        <v>1000</v>
      </c>
    </row>
    <row r="16" spans="1:13" x14ac:dyDescent="0.25">
      <c r="E16" s="47"/>
      <c r="G16" s="124"/>
      <c r="H16" s="124"/>
      <c r="I16" s="124"/>
      <c r="J16" s="124"/>
      <c r="K16" s="124"/>
      <c r="L16" s="124"/>
      <c r="M16" s="124"/>
    </row>
    <row r="17" spans="1:13" ht="16.5" thickBot="1" x14ac:dyDescent="0.3">
      <c r="A17">
        <v>5</v>
      </c>
      <c r="C17" t="s">
        <v>430</v>
      </c>
      <c r="M17" s="126">
        <f>SUM(M11:M15)</f>
        <v>746073</v>
      </c>
    </row>
    <row r="18" spans="1:13" ht="16.5" thickTop="1" x14ac:dyDescent="0.25"/>
    <row r="21" spans="1:13" x14ac:dyDescent="0.25">
      <c r="C21" s="3" t="s">
        <v>431</v>
      </c>
    </row>
    <row r="22" spans="1:13" x14ac:dyDescent="0.25">
      <c r="C22" t="s">
        <v>432</v>
      </c>
    </row>
  </sheetData>
  <pageMargins left="0.7" right="0.7" top="0.75" bottom="0.75" header="0.3" footer="0.3"/>
  <pageSetup scale="88" orientation="portrait"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2"/>
  <sheetViews>
    <sheetView workbookViewId="0">
      <selection activeCell="C33" sqref="C33"/>
    </sheetView>
  </sheetViews>
  <sheetFormatPr defaultRowHeight="15.75" x14ac:dyDescent="0.25"/>
  <cols>
    <col min="1" max="1" width="4.625" customWidth="1"/>
    <col min="2" max="2" width="1.625" customWidth="1"/>
    <col min="3" max="3" width="46.25" customWidth="1"/>
    <col min="4" max="4" width="3.75" customWidth="1"/>
    <col min="5" max="5" width="8" customWidth="1"/>
    <col min="6" max="6" width="1" customWidth="1"/>
    <col min="7" max="7" width="9.375" customWidth="1"/>
    <col min="8" max="8" width="0.875" customWidth="1"/>
    <col min="9" max="9" width="8.5" customWidth="1"/>
    <col min="10" max="10" width="1" customWidth="1"/>
    <col min="11" max="11" width="9.375" customWidth="1"/>
    <col min="12" max="12" width="1" customWidth="1"/>
    <col min="13" max="13" width="9.75" customWidth="1"/>
  </cols>
  <sheetData>
    <row r="1" spans="1:14" x14ac:dyDescent="0.25">
      <c r="A1" s="7" t="s">
        <v>15</v>
      </c>
      <c r="B1" s="7"/>
      <c r="C1" s="7"/>
      <c r="D1" s="7"/>
      <c r="E1" s="7"/>
      <c r="F1" s="7"/>
      <c r="G1" s="7"/>
      <c r="H1" s="7"/>
      <c r="I1" s="7" t="s">
        <v>230</v>
      </c>
      <c r="J1" s="7"/>
      <c r="K1" s="7"/>
      <c r="L1" s="7"/>
      <c r="M1" s="7"/>
    </row>
    <row r="2" spans="1:14" x14ac:dyDescent="0.25">
      <c r="A2" s="17" t="s">
        <v>13</v>
      </c>
      <c r="B2" s="7"/>
      <c r="C2" s="7"/>
      <c r="D2" s="7"/>
      <c r="E2" s="7"/>
      <c r="F2" s="7"/>
      <c r="G2" s="7"/>
      <c r="H2" s="7"/>
      <c r="I2" t="s">
        <v>335</v>
      </c>
      <c r="J2" s="7"/>
      <c r="K2" s="7"/>
      <c r="L2" s="7"/>
      <c r="M2" s="7"/>
    </row>
    <row r="3" spans="1:14" x14ac:dyDescent="0.25">
      <c r="A3" s="5" t="s">
        <v>433</v>
      </c>
      <c r="B3" s="7"/>
      <c r="C3" s="7"/>
      <c r="D3" s="7"/>
      <c r="E3" s="7"/>
      <c r="F3" s="7"/>
      <c r="G3" s="7"/>
      <c r="H3" s="7"/>
      <c r="I3" t="s">
        <v>570</v>
      </c>
      <c r="J3" s="7"/>
      <c r="K3" s="7"/>
      <c r="L3" s="7"/>
      <c r="M3" s="7"/>
    </row>
    <row r="4" spans="1:14" x14ac:dyDescent="0.25">
      <c r="A4" t="s">
        <v>334</v>
      </c>
      <c r="B4" s="7"/>
      <c r="C4" s="7"/>
      <c r="D4" s="7"/>
      <c r="E4" s="7"/>
      <c r="F4" s="7"/>
      <c r="G4" s="7"/>
      <c r="H4" s="7"/>
      <c r="I4" s="5" t="s">
        <v>320</v>
      </c>
      <c r="J4" s="7"/>
      <c r="K4" s="9"/>
      <c r="L4" s="7"/>
      <c r="M4" s="7"/>
    </row>
    <row r="5" spans="1:14" x14ac:dyDescent="0.25">
      <c r="B5" s="7"/>
      <c r="C5" s="7"/>
      <c r="D5" s="7"/>
      <c r="E5" s="7"/>
      <c r="F5" s="7"/>
      <c r="G5" s="7"/>
      <c r="H5" s="7"/>
      <c r="I5" s="7"/>
      <c r="J5" s="7"/>
      <c r="K5" s="7"/>
      <c r="L5" s="7"/>
      <c r="M5" s="7"/>
    </row>
    <row r="6" spans="1:14" x14ac:dyDescent="0.25">
      <c r="A6" s="7"/>
      <c r="B6" s="7"/>
      <c r="C6" s="7"/>
      <c r="D6" s="16"/>
      <c r="F6" s="7"/>
      <c r="G6" s="7"/>
      <c r="H6" s="7"/>
      <c r="I6" s="7"/>
      <c r="J6" s="7"/>
      <c r="K6" s="7"/>
      <c r="L6" s="7"/>
      <c r="M6" s="24"/>
    </row>
    <row r="7" spans="1:14" x14ac:dyDescent="0.25">
      <c r="A7" s="7"/>
      <c r="B7" s="7"/>
      <c r="C7" s="7"/>
      <c r="D7" s="7"/>
      <c r="E7" s="7"/>
      <c r="F7" s="7"/>
      <c r="G7" s="37"/>
      <c r="H7" s="37"/>
      <c r="I7" s="37"/>
      <c r="J7" s="37"/>
      <c r="K7" s="37"/>
      <c r="L7" s="38"/>
      <c r="M7" s="24"/>
    </row>
    <row r="8" spans="1:14" x14ac:dyDescent="0.25">
      <c r="A8" s="7"/>
      <c r="B8" s="7"/>
      <c r="C8" s="7"/>
      <c r="D8" s="7"/>
      <c r="E8" s="7"/>
      <c r="F8" s="7"/>
      <c r="G8" s="38"/>
      <c r="H8" s="38"/>
      <c r="I8" s="38"/>
      <c r="J8" s="38"/>
      <c r="K8" s="38"/>
      <c r="L8" s="38"/>
      <c r="M8" s="24"/>
    </row>
    <row r="9" spans="1:14" x14ac:dyDescent="0.25">
      <c r="A9" t="s">
        <v>0</v>
      </c>
      <c r="E9" s="8"/>
      <c r="F9" s="8"/>
      <c r="G9" s="8" t="s">
        <v>435</v>
      </c>
      <c r="H9" s="8"/>
      <c r="I9" s="8"/>
      <c r="J9" s="8"/>
      <c r="K9" s="8"/>
      <c r="L9" s="1"/>
      <c r="M9" s="1" t="s">
        <v>9</v>
      </c>
    </row>
    <row r="10" spans="1:14" x14ac:dyDescent="0.25">
      <c r="A10" s="2" t="s">
        <v>3</v>
      </c>
      <c r="C10" s="2" t="s">
        <v>1</v>
      </c>
      <c r="E10" s="10" t="s">
        <v>11</v>
      </c>
      <c r="F10" s="8"/>
      <c r="G10" s="10" t="s">
        <v>6</v>
      </c>
      <c r="H10" s="8"/>
      <c r="I10" s="10" t="s">
        <v>7</v>
      </c>
      <c r="J10" s="1"/>
      <c r="K10" s="11" t="s">
        <v>10</v>
      </c>
      <c r="L10" s="1"/>
      <c r="M10" s="10" t="s">
        <v>8</v>
      </c>
    </row>
    <row r="12" spans="1:14" x14ac:dyDescent="0.25">
      <c r="C12" s="3" t="s">
        <v>315</v>
      </c>
    </row>
    <row r="13" spans="1:14" x14ac:dyDescent="0.25">
      <c r="C13" s="3"/>
    </row>
    <row r="14" spans="1:14" x14ac:dyDescent="0.25">
      <c r="A14" s="24">
        <v>1</v>
      </c>
      <c r="B14" s="24"/>
      <c r="C14" t="s">
        <v>434</v>
      </c>
      <c r="D14" s="24"/>
      <c r="E14" s="44">
        <v>456</v>
      </c>
      <c r="F14" s="24"/>
      <c r="G14" s="45">
        <f>G24</f>
        <v>24012</v>
      </c>
      <c r="H14" s="42"/>
      <c r="I14" s="8" t="s">
        <v>375</v>
      </c>
      <c r="J14" s="43"/>
      <c r="K14" s="65" t="s">
        <v>311</v>
      </c>
      <c r="L14" s="42"/>
      <c r="M14" s="45">
        <f>G14</f>
        <v>24012</v>
      </c>
    </row>
    <row r="15" spans="1:14" x14ac:dyDescent="0.25">
      <c r="A15" s="42"/>
      <c r="B15" s="42"/>
      <c r="C15" s="4"/>
      <c r="D15" s="42"/>
      <c r="E15" s="44"/>
      <c r="F15" s="42"/>
      <c r="G15" s="45"/>
      <c r="H15" s="42"/>
      <c r="I15" s="8"/>
      <c r="J15" s="43"/>
      <c r="K15" s="52"/>
      <c r="L15" s="42"/>
      <c r="M15" s="45"/>
      <c r="N15" s="4"/>
    </row>
    <row r="16" spans="1:14" x14ac:dyDescent="0.25">
      <c r="A16" s="4"/>
      <c r="B16" s="4"/>
      <c r="C16" s="20"/>
      <c r="D16" s="4"/>
      <c r="E16" s="4"/>
      <c r="F16" s="4"/>
      <c r="G16" s="12"/>
      <c r="H16" s="4"/>
      <c r="I16" s="4"/>
      <c r="J16" s="4"/>
      <c r="K16" s="4"/>
      <c r="L16" s="4"/>
      <c r="M16" s="12"/>
      <c r="N16" s="4"/>
    </row>
    <row r="17" spans="1:13" x14ac:dyDescent="0.25">
      <c r="A17" s="4"/>
      <c r="B17" s="4"/>
      <c r="C17" s="4"/>
      <c r="D17" s="4"/>
      <c r="E17" s="4"/>
      <c r="F17" s="4"/>
      <c r="G17" s="4"/>
      <c r="H17" s="4"/>
      <c r="I17" s="4"/>
      <c r="J17" s="4"/>
      <c r="K17" s="4"/>
      <c r="L17" s="4"/>
      <c r="M17" s="4"/>
    </row>
    <row r="20" spans="1:13" x14ac:dyDescent="0.25">
      <c r="C20" s="3" t="s">
        <v>246</v>
      </c>
      <c r="G20" s="36" t="s">
        <v>2</v>
      </c>
    </row>
    <row r="21" spans="1:13" x14ac:dyDescent="0.25">
      <c r="A21" t="s">
        <v>237</v>
      </c>
      <c r="C21" t="s">
        <v>438</v>
      </c>
      <c r="G21" s="47">
        <v>600000</v>
      </c>
      <c r="K21" s="63"/>
    </row>
    <row r="22" spans="1:13" x14ac:dyDescent="0.25">
      <c r="A22" t="s">
        <v>238</v>
      </c>
      <c r="C22" t="s">
        <v>439</v>
      </c>
      <c r="G22" s="45">
        <v>-175988</v>
      </c>
      <c r="I22" s="13" t="s">
        <v>440</v>
      </c>
      <c r="M22" s="127"/>
    </row>
    <row r="23" spans="1:13" x14ac:dyDescent="0.25">
      <c r="A23" t="s">
        <v>239</v>
      </c>
      <c r="C23" t="s">
        <v>436</v>
      </c>
      <c r="G23" s="128">
        <v>-400000</v>
      </c>
      <c r="I23" s="13" t="s">
        <v>440</v>
      </c>
      <c r="M23" s="12"/>
    </row>
    <row r="24" spans="1:13" x14ac:dyDescent="0.25">
      <c r="A24" t="s">
        <v>240</v>
      </c>
      <c r="C24" t="s">
        <v>437</v>
      </c>
      <c r="G24" s="112">
        <f>SUM(G21:G23)</f>
        <v>24012</v>
      </c>
      <c r="M24" s="51"/>
    </row>
    <row r="26" spans="1:13" x14ac:dyDescent="0.25">
      <c r="C26" s="13" t="s">
        <v>441</v>
      </c>
    </row>
    <row r="27" spans="1:13" x14ac:dyDescent="0.25">
      <c r="C27" s="13"/>
    </row>
    <row r="28" spans="1:13" x14ac:dyDescent="0.25">
      <c r="C28" t="s">
        <v>5</v>
      </c>
    </row>
    <row r="29" spans="1:13" ht="3.75" customHeight="1" x14ac:dyDescent="0.25"/>
    <row r="30" spans="1:13" x14ac:dyDescent="0.25">
      <c r="C30" s="162" t="s">
        <v>710</v>
      </c>
      <c r="D30" s="163"/>
      <c r="E30" s="163"/>
      <c r="F30" s="163"/>
      <c r="G30" s="163"/>
      <c r="H30" s="163"/>
      <c r="I30" s="163"/>
      <c r="J30" s="163"/>
      <c r="K30" s="163"/>
      <c r="L30" s="163"/>
      <c r="M30" s="164"/>
    </row>
    <row r="31" spans="1:13" x14ac:dyDescent="0.25">
      <c r="C31" s="165"/>
      <c r="D31" s="166"/>
      <c r="E31" s="166"/>
      <c r="F31" s="166"/>
      <c r="G31" s="166"/>
      <c r="H31" s="166"/>
      <c r="I31" s="166"/>
      <c r="J31" s="166"/>
      <c r="K31" s="166"/>
      <c r="L31" s="166"/>
      <c r="M31" s="167"/>
    </row>
    <row r="32" spans="1:13" x14ac:dyDescent="0.25">
      <c r="C32" s="168"/>
      <c r="D32" s="169"/>
      <c r="E32" s="169"/>
      <c r="F32" s="169"/>
      <c r="G32" s="169"/>
      <c r="H32" s="169"/>
      <c r="I32" s="169"/>
      <c r="J32" s="169"/>
      <c r="K32" s="169"/>
      <c r="L32" s="169"/>
      <c r="M32" s="170"/>
    </row>
  </sheetData>
  <mergeCells count="1">
    <mergeCell ref="C30:M32"/>
  </mergeCells>
  <phoneticPr fontId="8" type="noConversion"/>
  <pageMargins left="0.75" right="0.75" top="1" bottom="1" header="0.5" footer="0.5"/>
  <pageSetup scale="7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2"/>
  <sheetViews>
    <sheetView workbookViewId="0">
      <selection activeCell="E25" sqref="E25"/>
    </sheetView>
  </sheetViews>
  <sheetFormatPr defaultRowHeight="15.75" x14ac:dyDescent="0.25"/>
  <cols>
    <col min="1" max="1" width="4.625" customWidth="1"/>
    <col min="2" max="2" width="1.125" customWidth="1"/>
    <col min="3" max="3" width="36.75" customWidth="1"/>
    <col min="4" max="4" width="2.25" customWidth="1"/>
    <col min="5" max="5" width="8" customWidth="1"/>
    <col min="6" max="6" width="1" customWidth="1"/>
    <col min="7" max="7" width="9.375" customWidth="1"/>
    <col min="8" max="8" width="0.875" customWidth="1"/>
    <col min="9" max="9" width="7.5" customWidth="1"/>
    <col min="10" max="10" width="1" customWidth="1"/>
    <col min="11" max="11" width="10.75" customWidth="1"/>
    <col min="12" max="12" width="1" customWidth="1"/>
    <col min="13" max="13" width="10.75" customWidth="1"/>
  </cols>
  <sheetData>
    <row r="1" spans="1:14" x14ac:dyDescent="0.25">
      <c r="A1" s="7" t="s">
        <v>15</v>
      </c>
      <c r="B1" s="7"/>
      <c r="C1" s="7"/>
      <c r="D1" s="7"/>
      <c r="E1" s="7"/>
      <c r="F1" s="7"/>
      <c r="G1" s="7"/>
      <c r="H1" s="7"/>
      <c r="J1" s="7"/>
      <c r="K1" s="7" t="s">
        <v>230</v>
      </c>
      <c r="L1" s="7"/>
      <c r="M1" s="7"/>
    </row>
    <row r="2" spans="1:14" x14ac:dyDescent="0.25">
      <c r="A2" s="17" t="s">
        <v>13</v>
      </c>
      <c r="B2" s="7"/>
      <c r="C2" s="7"/>
      <c r="D2" s="7"/>
      <c r="E2" s="7"/>
      <c r="F2" s="7"/>
      <c r="G2" s="7"/>
      <c r="H2" s="7"/>
      <c r="J2" s="7"/>
      <c r="K2" t="s">
        <v>335</v>
      </c>
      <c r="L2" s="7"/>
      <c r="M2" s="7"/>
    </row>
    <row r="3" spans="1:14" x14ac:dyDescent="0.25">
      <c r="A3" s="5" t="s">
        <v>442</v>
      </c>
      <c r="B3" s="7"/>
      <c r="C3" s="7"/>
      <c r="D3" s="7"/>
      <c r="E3" s="7"/>
      <c r="F3" s="7"/>
      <c r="G3" s="7"/>
      <c r="H3" s="7"/>
      <c r="J3" s="7"/>
      <c r="K3" t="s">
        <v>572</v>
      </c>
      <c r="L3" s="7"/>
      <c r="M3" s="7"/>
    </row>
    <row r="4" spans="1:14" x14ac:dyDescent="0.25">
      <c r="A4" t="s">
        <v>334</v>
      </c>
      <c r="B4" s="7"/>
      <c r="C4" s="7"/>
      <c r="D4" s="7"/>
      <c r="E4" s="7"/>
      <c r="F4" s="7"/>
      <c r="G4" s="7"/>
      <c r="H4" s="7"/>
      <c r="J4" s="7"/>
      <c r="K4" s="5" t="s">
        <v>320</v>
      </c>
      <c r="L4" s="7"/>
      <c r="M4" s="7"/>
    </row>
    <row r="5" spans="1:14" x14ac:dyDescent="0.25">
      <c r="B5" s="7"/>
      <c r="C5" s="7"/>
      <c r="D5" s="7"/>
      <c r="E5" s="7"/>
      <c r="F5" s="7"/>
      <c r="G5" s="7"/>
      <c r="H5" s="7"/>
      <c r="I5" s="7"/>
      <c r="J5" s="7"/>
      <c r="K5" s="7"/>
      <c r="L5" s="7"/>
      <c r="M5" s="7"/>
    </row>
    <row r="6" spans="1:14" x14ac:dyDescent="0.25">
      <c r="A6" s="7"/>
      <c r="B6" s="7"/>
      <c r="C6" s="7"/>
      <c r="D6" s="16"/>
      <c r="F6" s="7"/>
      <c r="G6" s="7"/>
      <c r="H6" s="7"/>
      <c r="I6" s="7"/>
      <c r="J6" s="7"/>
      <c r="K6" s="7"/>
      <c r="L6" s="7"/>
      <c r="M6" s="24"/>
    </row>
    <row r="7" spans="1:14" x14ac:dyDescent="0.25">
      <c r="A7" s="7"/>
      <c r="B7" s="7"/>
      <c r="C7" s="7"/>
      <c r="D7" s="7"/>
      <c r="E7" s="7"/>
      <c r="F7" s="7"/>
      <c r="G7" s="37"/>
      <c r="H7" s="37"/>
      <c r="I7" s="37"/>
      <c r="J7" s="37"/>
      <c r="K7" s="37"/>
      <c r="L7" s="38"/>
      <c r="M7" s="24"/>
    </row>
    <row r="8" spans="1:14" x14ac:dyDescent="0.25">
      <c r="A8" s="7"/>
      <c r="B8" s="7"/>
      <c r="C8" s="7"/>
      <c r="D8" s="7"/>
      <c r="E8" s="7"/>
      <c r="F8" s="7"/>
      <c r="G8" s="38"/>
      <c r="H8" s="38"/>
      <c r="I8" s="38"/>
      <c r="J8" s="38"/>
      <c r="K8" s="38"/>
      <c r="L8" s="38"/>
      <c r="M8" s="24"/>
    </row>
    <row r="9" spans="1:14" x14ac:dyDescent="0.25">
      <c r="A9" t="s">
        <v>0</v>
      </c>
      <c r="E9" s="8"/>
      <c r="F9" s="8"/>
      <c r="G9" s="8" t="s">
        <v>435</v>
      </c>
      <c r="H9" s="8"/>
      <c r="I9" s="8"/>
      <c r="J9" s="8"/>
      <c r="K9" s="8"/>
      <c r="L9" s="1"/>
      <c r="M9" s="1" t="s">
        <v>9</v>
      </c>
    </row>
    <row r="10" spans="1:14" x14ac:dyDescent="0.25">
      <c r="A10" s="2" t="s">
        <v>3</v>
      </c>
      <c r="C10" s="2" t="s">
        <v>1</v>
      </c>
      <c r="E10" s="10" t="s">
        <v>11</v>
      </c>
      <c r="F10" s="8"/>
      <c r="G10" s="10" t="s">
        <v>6</v>
      </c>
      <c r="H10" s="8"/>
      <c r="I10" s="10" t="s">
        <v>7</v>
      </c>
      <c r="J10" s="1"/>
      <c r="K10" s="11" t="s">
        <v>10</v>
      </c>
      <c r="L10" s="1"/>
      <c r="M10" s="10" t="s">
        <v>8</v>
      </c>
    </row>
    <row r="12" spans="1:14" x14ac:dyDescent="0.25">
      <c r="C12" s="3" t="s">
        <v>315</v>
      </c>
    </row>
    <row r="13" spans="1:14" x14ac:dyDescent="0.25">
      <c r="C13" s="3"/>
    </row>
    <row r="14" spans="1:14" x14ac:dyDescent="0.25">
      <c r="A14" s="24">
        <v>1</v>
      </c>
      <c r="B14" s="24"/>
      <c r="C14" t="s">
        <v>443</v>
      </c>
      <c r="D14" s="24"/>
      <c r="E14" s="44">
        <v>447</v>
      </c>
      <c r="F14" s="24"/>
      <c r="G14" s="45">
        <v>77250</v>
      </c>
      <c r="H14" s="42"/>
      <c r="I14" s="8" t="s">
        <v>375</v>
      </c>
      <c r="J14" s="43"/>
      <c r="K14" s="65" t="s">
        <v>311</v>
      </c>
      <c r="L14" s="42"/>
      <c r="M14" s="45">
        <f>G14</f>
        <v>77250</v>
      </c>
    </row>
    <row r="15" spans="1:14" x14ac:dyDescent="0.25">
      <c r="A15" s="42"/>
      <c r="B15" s="42"/>
      <c r="C15" s="4"/>
      <c r="D15" s="42"/>
      <c r="E15" s="44"/>
      <c r="F15" s="42"/>
      <c r="G15" s="45"/>
      <c r="H15" s="42"/>
      <c r="I15" s="8"/>
      <c r="J15" s="43"/>
      <c r="K15" s="52"/>
      <c r="L15" s="42"/>
      <c r="M15" s="45"/>
      <c r="N15" s="4"/>
    </row>
    <row r="16" spans="1:14" x14ac:dyDescent="0.25">
      <c r="A16" s="4"/>
      <c r="B16" s="4"/>
      <c r="C16" s="20"/>
      <c r="D16" s="4"/>
      <c r="E16" s="4"/>
      <c r="F16" s="4"/>
      <c r="G16" s="12"/>
      <c r="H16" s="4"/>
      <c r="I16" s="4"/>
      <c r="J16" s="4"/>
      <c r="K16" s="4"/>
      <c r="L16" s="4"/>
      <c r="M16" s="12"/>
      <c r="N16" s="4"/>
    </row>
    <row r="17" spans="1:13" x14ac:dyDescent="0.25">
      <c r="A17" s="4"/>
      <c r="B17" s="4"/>
      <c r="C17" s="4"/>
      <c r="D17" s="4"/>
      <c r="E17" s="4"/>
      <c r="F17" s="4"/>
      <c r="G17" s="4"/>
      <c r="H17" s="4"/>
      <c r="I17" s="4"/>
      <c r="J17" s="4"/>
      <c r="K17" s="4"/>
      <c r="L17" s="4"/>
      <c r="M17" s="4"/>
    </row>
    <row r="19" spans="1:13" x14ac:dyDescent="0.25">
      <c r="A19" s="4"/>
      <c r="B19" s="4"/>
      <c r="C19" s="4"/>
      <c r="D19" s="4"/>
      <c r="E19" s="4"/>
      <c r="F19" s="4"/>
      <c r="G19" s="4"/>
      <c r="H19" s="4"/>
      <c r="I19" s="4"/>
    </row>
    <row r="20" spans="1:13" x14ac:dyDescent="0.25">
      <c r="A20" s="4"/>
      <c r="B20" s="4"/>
      <c r="C20" s="39"/>
      <c r="D20" s="4"/>
      <c r="E20" s="4"/>
      <c r="F20" s="4"/>
      <c r="G20" s="15"/>
      <c r="H20" s="4"/>
      <c r="I20" s="4"/>
    </row>
    <row r="21" spans="1:13" x14ac:dyDescent="0.25">
      <c r="A21" s="4"/>
      <c r="B21" s="4"/>
      <c r="C21" s="4"/>
      <c r="D21" s="4"/>
      <c r="E21" s="4"/>
      <c r="F21" s="4"/>
      <c r="G21" s="51"/>
      <c r="H21" s="4"/>
      <c r="I21" s="4"/>
      <c r="K21" s="63"/>
    </row>
    <row r="22" spans="1:13" x14ac:dyDescent="0.25">
      <c r="A22" s="4"/>
      <c r="B22" s="4"/>
      <c r="C22" s="4"/>
      <c r="D22" s="4"/>
      <c r="E22" s="4"/>
      <c r="F22" s="4"/>
      <c r="G22" s="45"/>
      <c r="H22" s="4"/>
      <c r="I22" s="50"/>
      <c r="M22" s="127"/>
    </row>
    <row r="23" spans="1:13" x14ac:dyDescent="0.25">
      <c r="A23" s="4"/>
      <c r="B23" s="4"/>
      <c r="C23" s="4"/>
      <c r="D23" s="4"/>
      <c r="E23" s="4"/>
      <c r="F23" s="4"/>
      <c r="G23" s="97"/>
      <c r="H23" s="4"/>
      <c r="I23" s="50"/>
      <c r="M23" s="12"/>
    </row>
    <row r="24" spans="1:13" x14ac:dyDescent="0.25">
      <c r="A24" s="4"/>
      <c r="B24" s="4"/>
      <c r="C24" s="4"/>
      <c r="D24" s="4"/>
      <c r="E24" s="4"/>
      <c r="F24" s="4"/>
      <c r="G24" s="12"/>
      <c r="H24" s="4"/>
      <c r="I24" s="4"/>
      <c r="M24" s="51"/>
    </row>
    <row r="25" spans="1:13" x14ac:dyDescent="0.25">
      <c r="A25" s="4"/>
      <c r="B25" s="4"/>
      <c r="C25" s="4"/>
      <c r="D25" s="4"/>
      <c r="E25" s="4"/>
      <c r="F25" s="4"/>
      <c r="G25" s="4"/>
      <c r="H25" s="4"/>
      <c r="I25" s="4"/>
    </row>
    <row r="26" spans="1:13" x14ac:dyDescent="0.25">
      <c r="A26" s="4"/>
      <c r="B26" s="4"/>
      <c r="C26" s="50"/>
      <c r="D26" s="4"/>
      <c r="E26" s="4"/>
      <c r="F26" s="4"/>
      <c r="G26" s="4"/>
      <c r="H26" s="4"/>
      <c r="I26" s="4"/>
    </row>
    <row r="27" spans="1:13" x14ac:dyDescent="0.25">
      <c r="C27" s="13"/>
    </row>
    <row r="28" spans="1:13" x14ac:dyDescent="0.25">
      <c r="C28" t="s">
        <v>5</v>
      </c>
    </row>
    <row r="29" spans="1:13" ht="6.75" customHeight="1" x14ac:dyDescent="0.25"/>
    <row r="30" spans="1:13" ht="15.75" customHeight="1" x14ac:dyDescent="0.25">
      <c r="C30" s="162" t="s">
        <v>711</v>
      </c>
      <c r="D30" s="163"/>
      <c r="E30" s="163"/>
      <c r="F30" s="163"/>
      <c r="G30" s="163"/>
      <c r="H30" s="163"/>
      <c r="I30" s="163"/>
      <c r="J30" s="163"/>
      <c r="K30" s="163"/>
      <c r="L30" s="163"/>
      <c r="M30" s="164"/>
    </row>
    <row r="31" spans="1:13" x14ac:dyDescent="0.25">
      <c r="C31" s="165"/>
      <c r="D31" s="166"/>
      <c r="E31" s="166"/>
      <c r="F31" s="166"/>
      <c r="G31" s="166"/>
      <c r="H31" s="166"/>
      <c r="I31" s="166"/>
      <c r="J31" s="166"/>
      <c r="K31" s="166"/>
      <c r="L31" s="166"/>
      <c r="M31" s="167"/>
    </row>
    <row r="32" spans="1:13" x14ac:dyDescent="0.25">
      <c r="C32" s="168"/>
      <c r="D32" s="169"/>
      <c r="E32" s="169"/>
      <c r="F32" s="169"/>
      <c r="G32" s="169"/>
      <c r="H32" s="169"/>
      <c r="I32" s="169"/>
      <c r="J32" s="169"/>
      <c r="K32" s="169"/>
      <c r="L32" s="169"/>
      <c r="M32" s="170"/>
    </row>
  </sheetData>
  <mergeCells count="1">
    <mergeCell ref="C30:M32"/>
  </mergeCells>
  <pageMargins left="0.7" right="0.7" top="0.75" bottom="0.75" header="0.3" footer="0.3"/>
  <pageSetup scale="81" orientation="portrait" horizontalDpi="0"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9"/>
  <sheetViews>
    <sheetView topLeftCell="A5" workbookViewId="0">
      <selection activeCell="G25" sqref="G25"/>
    </sheetView>
  </sheetViews>
  <sheetFormatPr defaultRowHeight="15.75" x14ac:dyDescent="0.25"/>
  <cols>
    <col min="1" max="1" width="4.625" customWidth="1"/>
    <col min="2" max="2" width="1.625" customWidth="1"/>
    <col min="3" max="3" width="43.625" customWidth="1"/>
    <col min="4" max="4" width="3.75" customWidth="1"/>
    <col min="5" max="5" width="11.375" customWidth="1"/>
    <col min="6" max="6" width="1" customWidth="1"/>
    <col min="7" max="7" width="10.875" customWidth="1"/>
    <col min="8" max="8" width="0.875" customWidth="1"/>
    <col min="9" max="9" width="8.5" customWidth="1"/>
    <col min="10" max="10" width="1" customWidth="1"/>
    <col min="11" max="11" width="9.875" customWidth="1"/>
    <col min="12" max="12" width="1" customWidth="1"/>
    <col min="13" max="13" width="10.75" customWidth="1"/>
  </cols>
  <sheetData>
    <row r="1" spans="1:14" x14ac:dyDescent="0.25">
      <c r="A1" s="7" t="s">
        <v>15</v>
      </c>
      <c r="B1" s="7"/>
      <c r="C1" s="7"/>
      <c r="D1" s="7"/>
      <c r="E1" s="7"/>
      <c r="F1" s="7"/>
      <c r="G1" s="7"/>
      <c r="H1" s="7"/>
      <c r="I1" s="7" t="s">
        <v>230</v>
      </c>
      <c r="J1" s="7"/>
      <c r="L1" s="7"/>
      <c r="M1" s="7"/>
    </row>
    <row r="2" spans="1:14" x14ac:dyDescent="0.25">
      <c r="A2" s="17" t="s">
        <v>13</v>
      </c>
      <c r="B2" s="7"/>
      <c r="C2" s="7"/>
      <c r="D2" s="7"/>
      <c r="E2" s="7"/>
      <c r="F2" s="7"/>
      <c r="G2" s="7"/>
      <c r="H2" s="7"/>
      <c r="I2" t="s">
        <v>335</v>
      </c>
      <c r="J2" s="7"/>
      <c r="L2" s="7"/>
      <c r="M2" s="7"/>
    </row>
    <row r="3" spans="1:14" x14ac:dyDescent="0.25">
      <c r="A3" s="5" t="s">
        <v>576</v>
      </c>
      <c r="B3" s="7"/>
      <c r="C3" s="7"/>
      <c r="D3" s="7"/>
      <c r="E3" s="7"/>
      <c r="F3" s="7"/>
      <c r="G3" s="7"/>
      <c r="H3" s="7"/>
      <c r="I3" t="s">
        <v>573</v>
      </c>
      <c r="J3" s="7"/>
      <c r="L3" s="7"/>
      <c r="M3" s="7"/>
    </row>
    <row r="4" spans="1:14" x14ac:dyDescent="0.25">
      <c r="A4" t="s">
        <v>334</v>
      </c>
      <c r="B4" s="7"/>
      <c r="C4" s="7"/>
      <c r="D4" s="7"/>
      <c r="E4" s="7"/>
      <c r="F4" s="7"/>
      <c r="G4" s="7"/>
      <c r="H4" s="7"/>
      <c r="I4" s="5" t="s">
        <v>320</v>
      </c>
      <c r="J4" s="7"/>
      <c r="L4" s="7"/>
      <c r="M4" s="7"/>
    </row>
    <row r="5" spans="1:14" x14ac:dyDescent="0.25">
      <c r="B5" s="7"/>
      <c r="C5" s="7"/>
      <c r="D5" s="7"/>
      <c r="E5" s="7"/>
      <c r="F5" s="7"/>
      <c r="G5" s="7"/>
      <c r="H5" s="7"/>
      <c r="I5" s="7"/>
      <c r="J5" s="7"/>
      <c r="K5" s="7"/>
      <c r="L5" s="7"/>
      <c r="M5" s="7"/>
    </row>
    <row r="6" spans="1:14" x14ac:dyDescent="0.25">
      <c r="A6" s="7"/>
      <c r="B6" s="7"/>
      <c r="C6" s="7"/>
      <c r="D6" s="16"/>
      <c r="F6" s="7"/>
      <c r="G6" s="7"/>
      <c r="H6" s="7"/>
      <c r="I6" s="7"/>
      <c r="J6" s="7"/>
      <c r="K6" s="7"/>
      <c r="L6" s="7"/>
      <c r="M6" s="24"/>
    </row>
    <row r="7" spans="1:14" x14ac:dyDescent="0.25">
      <c r="A7" s="7"/>
      <c r="B7" s="7"/>
      <c r="C7" s="7"/>
      <c r="D7" s="7"/>
      <c r="E7" s="7"/>
      <c r="F7" s="7"/>
      <c r="G7" s="37"/>
      <c r="H7" s="37"/>
      <c r="I7" s="37"/>
      <c r="J7" s="37"/>
      <c r="K7" s="37"/>
      <c r="L7" s="38"/>
      <c r="M7" s="24"/>
    </row>
    <row r="8" spans="1:14" x14ac:dyDescent="0.25">
      <c r="A8" s="7"/>
      <c r="B8" s="7"/>
      <c r="C8" s="7"/>
      <c r="D8" s="7"/>
      <c r="E8" s="7"/>
      <c r="F8" s="7"/>
      <c r="G8" s="38"/>
      <c r="H8" s="38"/>
      <c r="I8" s="38"/>
      <c r="J8" s="38"/>
      <c r="K8" s="38"/>
      <c r="L8" s="38"/>
      <c r="M8" s="24"/>
    </row>
    <row r="9" spans="1:14" x14ac:dyDescent="0.25">
      <c r="A9" t="s">
        <v>0</v>
      </c>
      <c r="E9" s="8"/>
      <c r="F9" s="8"/>
      <c r="G9" s="8" t="s">
        <v>435</v>
      </c>
      <c r="H9" s="8"/>
      <c r="I9" s="8"/>
      <c r="J9" s="8"/>
      <c r="K9" s="8"/>
      <c r="L9" s="1"/>
      <c r="M9" s="1" t="s">
        <v>9</v>
      </c>
    </row>
    <row r="10" spans="1:14" x14ac:dyDescent="0.25">
      <c r="A10" s="2" t="s">
        <v>3</v>
      </c>
      <c r="C10" s="2" t="s">
        <v>1</v>
      </c>
      <c r="E10" s="10" t="s">
        <v>11</v>
      </c>
      <c r="F10" s="8"/>
      <c r="G10" s="10" t="s">
        <v>6</v>
      </c>
      <c r="H10" s="8"/>
      <c r="I10" s="10" t="s">
        <v>7</v>
      </c>
      <c r="J10" s="1"/>
      <c r="K10" s="11" t="s">
        <v>10</v>
      </c>
      <c r="L10" s="1"/>
      <c r="M10" s="10" t="s">
        <v>8</v>
      </c>
    </row>
    <row r="12" spans="1:14" x14ac:dyDescent="0.25">
      <c r="C12" s="3" t="s">
        <v>315</v>
      </c>
    </row>
    <row r="13" spans="1:14" x14ac:dyDescent="0.25">
      <c r="C13" s="3" t="s">
        <v>478</v>
      </c>
    </row>
    <row r="14" spans="1:14" x14ac:dyDescent="0.25">
      <c r="A14" s="24">
        <v>1</v>
      </c>
      <c r="B14" s="24"/>
      <c r="C14" t="s">
        <v>479</v>
      </c>
      <c r="D14" s="24"/>
      <c r="E14" s="44">
        <v>456</v>
      </c>
      <c r="F14" s="24"/>
      <c r="G14" s="45">
        <v>-4420000</v>
      </c>
      <c r="H14" s="42"/>
      <c r="I14" s="8" t="s">
        <v>231</v>
      </c>
      <c r="J14" s="43"/>
      <c r="K14" s="108">
        <v>0.43694520408491577</v>
      </c>
      <c r="L14" s="42"/>
      <c r="M14" s="45">
        <f>G14*K14</f>
        <v>-1931297.8020553277</v>
      </c>
    </row>
    <row r="15" spans="1:14" x14ac:dyDescent="0.25">
      <c r="A15" s="42">
        <v>2</v>
      </c>
      <c r="B15" s="42"/>
      <c r="C15" s="4" t="s">
        <v>480</v>
      </c>
      <c r="D15" s="42"/>
      <c r="E15" s="44">
        <v>456</v>
      </c>
      <c r="F15" s="42"/>
      <c r="G15" s="53">
        <v>4420000</v>
      </c>
      <c r="H15" s="42"/>
      <c r="I15" s="8" t="s">
        <v>375</v>
      </c>
      <c r="J15" s="43"/>
      <c r="K15" s="65" t="s">
        <v>311</v>
      </c>
      <c r="L15" s="42"/>
      <c r="M15" s="53">
        <f>G15</f>
        <v>4420000</v>
      </c>
      <c r="N15" s="4"/>
    </row>
    <row r="16" spans="1:14" x14ac:dyDescent="0.25">
      <c r="A16" s="4">
        <v>3</v>
      </c>
      <c r="B16" s="4"/>
      <c r="C16" s="20" t="s">
        <v>481</v>
      </c>
      <c r="D16" s="4"/>
      <c r="E16" s="4"/>
      <c r="F16" s="4"/>
      <c r="G16" s="12">
        <f>SUM(G14:G15)</f>
        <v>0</v>
      </c>
      <c r="H16" s="4"/>
      <c r="I16" s="4"/>
      <c r="J16" s="4"/>
      <c r="K16" s="4"/>
      <c r="L16" s="4"/>
      <c r="M16" s="12">
        <f>SUM(M14:M15)</f>
        <v>2488702.1979446723</v>
      </c>
      <c r="N16" s="4"/>
    </row>
    <row r="17" spans="1:13" x14ac:dyDescent="0.25">
      <c r="A17" s="4"/>
      <c r="B17" s="4"/>
      <c r="C17" s="4"/>
      <c r="D17" s="4"/>
      <c r="E17" s="4"/>
      <c r="F17" s="4"/>
      <c r="G17" s="4"/>
      <c r="H17" s="4"/>
      <c r="I17" s="4"/>
      <c r="J17" s="4"/>
      <c r="K17" s="4"/>
      <c r="L17" s="4"/>
      <c r="M17" s="4"/>
    </row>
    <row r="18" spans="1:13" x14ac:dyDescent="0.25">
      <c r="A18" s="20">
        <v>4</v>
      </c>
      <c r="C18" s="20" t="s">
        <v>487</v>
      </c>
      <c r="E18" s="1">
        <v>456</v>
      </c>
      <c r="G18" s="41">
        <f>E27</f>
        <v>332044</v>
      </c>
      <c r="I18" s="8" t="s">
        <v>375</v>
      </c>
      <c r="J18" s="43"/>
      <c r="K18" s="65" t="s">
        <v>311</v>
      </c>
      <c r="L18" s="42"/>
      <c r="M18" s="53">
        <f>G18</f>
        <v>332044</v>
      </c>
    </row>
    <row r="19" spans="1:13" ht="16.5" thickBot="1" x14ac:dyDescent="0.3">
      <c r="A19" s="20">
        <v>5</v>
      </c>
      <c r="C19" s="20" t="s">
        <v>488</v>
      </c>
      <c r="E19" s="1"/>
      <c r="G19" s="112">
        <f>SUM(G16:G18)</f>
        <v>332044</v>
      </c>
      <c r="I19" s="8"/>
      <c r="J19" s="43"/>
      <c r="K19" s="65"/>
      <c r="L19" s="42"/>
      <c r="M19" s="134">
        <f>SUM(M16:M18)</f>
        <v>2820746.1979446723</v>
      </c>
    </row>
    <row r="20" spans="1:13" ht="16.5" thickTop="1" x14ac:dyDescent="0.25">
      <c r="A20" s="4"/>
      <c r="B20" s="4"/>
      <c r="F20" s="4"/>
      <c r="G20" s="4"/>
      <c r="H20" s="4"/>
      <c r="I20" s="4"/>
    </row>
    <row r="21" spans="1:13" x14ac:dyDescent="0.25">
      <c r="A21" s="4"/>
      <c r="B21" s="4"/>
      <c r="C21" s="3" t="s">
        <v>246</v>
      </c>
      <c r="E21" s="36" t="s">
        <v>2</v>
      </c>
      <c r="F21" s="4"/>
      <c r="G21" s="15" t="s">
        <v>431</v>
      </c>
      <c r="H21" s="4"/>
      <c r="I21" s="4"/>
    </row>
    <row r="22" spans="1:13" x14ac:dyDescent="0.25">
      <c r="A22" s="4" t="s">
        <v>237</v>
      </c>
      <c r="B22" s="4"/>
      <c r="C22" s="4" t="s">
        <v>482</v>
      </c>
      <c r="D22" s="4"/>
      <c r="E22" s="45">
        <v>192650</v>
      </c>
      <c r="F22" s="4"/>
      <c r="G22" s="51" t="s">
        <v>734</v>
      </c>
      <c r="H22" s="4"/>
      <c r="I22" s="4"/>
      <c r="K22" s="63"/>
    </row>
    <row r="23" spans="1:13" x14ac:dyDescent="0.25">
      <c r="A23" s="4" t="s">
        <v>238</v>
      </c>
      <c r="B23" s="4"/>
      <c r="C23" s="4" t="s">
        <v>483</v>
      </c>
      <c r="D23" s="4"/>
      <c r="E23" s="53">
        <f>G15</f>
        <v>4420000</v>
      </c>
      <c r="F23" s="4"/>
      <c r="G23" s="51" t="s">
        <v>484</v>
      </c>
      <c r="H23" s="4"/>
      <c r="I23" s="4"/>
      <c r="K23" s="63"/>
    </row>
    <row r="24" spans="1:13" x14ac:dyDescent="0.25">
      <c r="A24" s="4" t="s">
        <v>239</v>
      </c>
      <c r="B24" s="4"/>
      <c r="C24" s="20" t="s">
        <v>485</v>
      </c>
      <c r="D24" s="4"/>
      <c r="E24" s="45">
        <f>SUM(E22:E23)</f>
        <v>4612650</v>
      </c>
      <c r="F24" s="4"/>
      <c r="G24" s="51"/>
      <c r="H24" s="4"/>
      <c r="I24" s="4"/>
      <c r="K24" s="63"/>
    </row>
    <row r="25" spans="1:13" x14ac:dyDescent="0.25">
      <c r="A25" s="20" t="s">
        <v>240</v>
      </c>
      <c r="B25" s="4"/>
      <c r="C25" s="98" t="s">
        <v>486</v>
      </c>
      <c r="D25" s="4"/>
      <c r="E25" s="53">
        <v>-4944694</v>
      </c>
      <c r="F25" s="4"/>
      <c r="G25" s="51" t="s">
        <v>734</v>
      </c>
      <c r="H25" s="4"/>
      <c r="I25" s="50"/>
      <c r="M25" s="127"/>
    </row>
    <row r="26" spans="1:13" x14ac:dyDescent="0.25">
      <c r="A26" s="20" t="s">
        <v>241</v>
      </c>
      <c r="B26" s="4"/>
      <c r="C26" s="129" t="s">
        <v>445</v>
      </c>
      <c r="D26" s="4"/>
      <c r="E26" s="130">
        <f>SUM(E24:E25)</f>
        <v>-332044</v>
      </c>
      <c r="F26" s="4"/>
      <c r="G26" s="97"/>
      <c r="H26" s="4"/>
      <c r="I26" s="50"/>
      <c r="M26" s="12"/>
    </row>
    <row r="27" spans="1:13" x14ac:dyDescent="0.25">
      <c r="A27" s="20" t="s">
        <v>306</v>
      </c>
      <c r="B27" s="4"/>
      <c r="C27" s="129" t="s">
        <v>446</v>
      </c>
      <c r="D27" s="4"/>
      <c r="E27" s="130">
        <f>-E26</f>
        <v>332044</v>
      </c>
      <c r="F27" s="4"/>
      <c r="G27" s="12"/>
      <c r="H27" s="4"/>
      <c r="I27" s="4"/>
      <c r="M27" s="51"/>
    </row>
    <row r="28" spans="1:13" x14ac:dyDescent="0.25">
      <c r="A28" s="4"/>
      <c r="B28" s="4"/>
      <c r="C28" s="4"/>
      <c r="D28" s="4"/>
      <c r="E28" s="4"/>
      <c r="F28" s="4"/>
      <c r="G28" s="4"/>
      <c r="H28" s="4"/>
      <c r="I28" s="4"/>
    </row>
    <row r="29" spans="1:13" x14ac:dyDescent="0.25">
      <c r="A29" s="4"/>
      <c r="B29" s="4"/>
      <c r="C29" s="50"/>
      <c r="D29" s="4"/>
      <c r="E29" s="4"/>
      <c r="F29" s="4"/>
      <c r="G29" s="4"/>
      <c r="H29" s="4"/>
      <c r="I29" s="4"/>
    </row>
    <row r="30" spans="1:13" x14ac:dyDescent="0.25">
      <c r="C30" s="13"/>
    </row>
    <row r="31" spans="1:13" x14ac:dyDescent="0.25">
      <c r="C31" t="s">
        <v>5</v>
      </c>
    </row>
    <row r="32" spans="1:13" ht="3" customHeight="1" x14ac:dyDescent="0.25"/>
    <row r="33" spans="3:13" ht="15.75" customHeight="1" x14ac:dyDescent="0.25">
      <c r="C33" s="162" t="s">
        <v>712</v>
      </c>
      <c r="D33" s="163"/>
      <c r="E33" s="163"/>
      <c r="F33" s="163"/>
      <c r="G33" s="163"/>
      <c r="H33" s="163"/>
      <c r="I33" s="163"/>
      <c r="J33" s="163"/>
      <c r="K33" s="163"/>
      <c r="L33" s="163"/>
      <c r="M33" s="164"/>
    </row>
    <row r="34" spans="3:13" ht="15.75" customHeight="1" x14ac:dyDescent="0.25">
      <c r="C34" s="165"/>
      <c r="D34" s="166"/>
      <c r="E34" s="166"/>
      <c r="F34" s="166"/>
      <c r="G34" s="166"/>
      <c r="H34" s="166"/>
      <c r="I34" s="166"/>
      <c r="J34" s="166"/>
      <c r="K34" s="166"/>
      <c r="L34" s="166"/>
      <c r="M34" s="167"/>
    </row>
    <row r="35" spans="3:13" ht="15.75" customHeight="1" x14ac:dyDescent="0.25">
      <c r="C35" s="165"/>
      <c r="D35" s="166"/>
      <c r="E35" s="166"/>
      <c r="F35" s="166"/>
      <c r="G35" s="166"/>
      <c r="H35" s="166"/>
      <c r="I35" s="166"/>
      <c r="J35" s="166"/>
      <c r="K35" s="166"/>
      <c r="L35" s="166"/>
      <c r="M35" s="167"/>
    </row>
    <row r="36" spans="3:13" ht="15.75" customHeight="1" x14ac:dyDescent="0.25">
      <c r="C36" s="165"/>
      <c r="D36" s="166"/>
      <c r="E36" s="166"/>
      <c r="F36" s="166"/>
      <c r="G36" s="166"/>
      <c r="H36" s="166"/>
      <c r="I36" s="166"/>
      <c r="J36" s="166"/>
      <c r="K36" s="166"/>
      <c r="L36" s="166"/>
      <c r="M36" s="167"/>
    </row>
    <row r="37" spans="3:13" ht="15.75" customHeight="1" x14ac:dyDescent="0.25">
      <c r="C37" s="165"/>
      <c r="D37" s="166"/>
      <c r="E37" s="166"/>
      <c r="F37" s="166"/>
      <c r="G37" s="166"/>
      <c r="H37" s="166"/>
      <c r="I37" s="166"/>
      <c r="J37" s="166"/>
      <c r="K37" s="166"/>
      <c r="L37" s="166"/>
      <c r="M37" s="167"/>
    </row>
    <row r="38" spans="3:13" x14ac:dyDescent="0.25">
      <c r="C38" s="165"/>
      <c r="D38" s="166"/>
      <c r="E38" s="166"/>
      <c r="F38" s="166"/>
      <c r="G38" s="166"/>
      <c r="H38" s="166"/>
      <c r="I38" s="166"/>
      <c r="J38" s="166"/>
      <c r="K38" s="166"/>
      <c r="L38" s="166"/>
      <c r="M38" s="167"/>
    </row>
    <row r="39" spans="3:13" x14ac:dyDescent="0.25">
      <c r="C39" s="168"/>
      <c r="D39" s="169"/>
      <c r="E39" s="169"/>
      <c r="F39" s="169"/>
      <c r="G39" s="169"/>
      <c r="H39" s="169"/>
      <c r="I39" s="169"/>
      <c r="J39" s="169"/>
      <c r="K39" s="169"/>
      <c r="L39" s="169"/>
      <c r="M39" s="170"/>
    </row>
  </sheetData>
  <mergeCells count="1">
    <mergeCell ref="C33:M39"/>
  </mergeCells>
  <pageMargins left="0.7" right="0.7" top="0.75" bottom="0.75" header="0.3" footer="0.3"/>
  <pageSetup scale="78"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34</vt:i4>
      </vt:variant>
      <vt:variant>
        <vt:lpstr>Named Ranges</vt:lpstr>
      </vt:variant>
      <vt:variant>
        <vt:i4>3</vt:i4>
      </vt:variant>
    </vt:vector>
  </HeadingPairs>
  <TitlesOfParts>
    <vt:vector size="37" baseType="lpstr">
      <vt:lpstr>3.1p1</vt:lpstr>
      <vt:lpstr>3.1p2</vt:lpstr>
      <vt:lpstr>3.1p3</vt:lpstr>
      <vt:lpstr>3.2</vt:lpstr>
      <vt:lpstr>3.3</vt:lpstr>
      <vt:lpstr>3.3.1</vt:lpstr>
      <vt:lpstr>3.4</vt:lpstr>
      <vt:lpstr>3.5</vt:lpstr>
      <vt:lpstr>3.6</vt:lpstr>
      <vt:lpstr>3.7</vt:lpstr>
      <vt:lpstr>3.7.1-4</vt:lpstr>
      <vt:lpstr>3.8</vt:lpstr>
      <vt:lpstr>3.8.1-4</vt:lpstr>
      <vt:lpstr>3.9</vt:lpstr>
      <vt:lpstr>3.10</vt:lpstr>
      <vt:lpstr>3.11</vt:lpstr>
      <vt:lpstr>3.11.1</vt:lpstr>
      <vt:lpstr>3.12</vt:lpstr>
      <vt:lpstr>3.12.1</vt:lpstr>
      <vt:lpstr>3.12.2</vt:lpstr>
      <vt:lpstr>3.12.3</vt:lpstr>
      <vt:lpstr>3.13</vt:lpstr>
      <vt:lpstr>3.14</vt:lpstr>
      <vt:lpstr>3.15</vt:lpstr>
      <vt:lpstr>3.16</vt:lpstr>
      <vt:lpstr>3.17</vt:lpstr>
      <vt:lpstr>3.18</vt:lpstr>
      <vt:lpstr>3.19</vt:lpstr>
      <vt:lpstr>3.19.1</vt:lpstr>
      <vt:lpstr>3.20</vt:lpstr>
      <vt:lpstr>3.20.1</vt:lpstr>
      <vt:lpstr>3.21p1</vt:lpstr>
      <vt:lpstr>3.21p2</vt:lpstr>
      <vt:lpstr>3.21p3</vt:lpstr>
      <vt:lpstr>'3.2'!Print_Titles</vt:lpstr>
      <vt:lpstr>'3.7.1-4'!Print_Titles</vt:lpstr>
      <vt:lpstr>'3.8.1-4'!Print_Titles</vt:lpstr>
    </vt:vector>
  </TitlesOfParts>
  <Company>la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Ramas</dc:creator>
  <cp:lastModifiedBy>Fred Nass</cp:lastModifiedBy>
  <cp:lastPrinted>2020-08-19T23:15:39Z</cp:lastPrinted>
  <dcterms:created xsi:type="dcterms:W3CDTF">1998-04-03T16:01:20Z</dcterms:created>
  <dcterms:modified xsi:type="dcterms:W3CDTF">2020-09-03T15:49:09Z</dcterms:modified>
</cp:coreProperties>
</file>