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8385"/>
  </bookViews>
  <sheets>
    <sheet name="Comparison 6 and 6A" sheetId="5" r:id="rId1"/>
    <sheet name="Sch6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G26" i="5"/>
  <c r="D26" i="5"/>
  <c r="C26" i="5"/>
  <c r="J17" i="5"/>
  <c r="G17" i="5"/>
  <c r="G9" i="5" s="1"/>
  <c r="D17" i="5"/>
  <c r="C17" i="5"/>
  <c r="C9" i="5" s="1"/>
  <c r="J16" i="5"/>
  <c r="C13" i="5"/>
  <c r="G12" i="5"/>
  <c r="M12" i="5"/>
  <c r="M13" i="5" s="1"/>
  <c r="M14" i="5" s="1"/>
  <c r="J9" i="5"/>
  <c r="D9" i="5"/>
  <c r="J8" i="5"/>
  <c r="C5" i="5"/>
  <c r="O5" i="5"/>
  <c r="O18" i="5" s="1"/>
  <c r="O14" i="5" l="1"/>
  <c r="O16" i="5"/>
  <c r="R16" i="5" s="1"/>
  <c r="O12" i="5"/>
  <c r="R12" i="5" s="1"/>
  <c r="R14" i="5"/>
  <c r="S14" i="5" s="1"/>
  <c r="Y14" i="5"/>
  <c r="Z14" i="5"/>
  <c r="P14" i="5"/>
  <c r="Q14" i="5" s="1"/>
  <c r="Z18" i="5"/>
  <c r="P18" i="5"/>
  <c r="Y18" i="5"/>
  <c r="U18" i="5"/>
  <c r="R18" i="5"/>
  <c r="T18" i="5"/>
  <c r="S16" i="5"/>
  <c r="P12" i="5"/>
  <c r="T14" i="5"/>
  <c r="T16" i="5"/>
  <c r="O17" i="5"/>
  <c r="T17" i="5" s="1"/>
  <c r="T12" i="5"/>
  <c r="O11" i="5"/>
  <c r="O13" i="5"/>
  <c r="U14" i="5"/>
  <c r="O15" i="5"/>
  <c r="T15" i="5" s="1"/>
  <c r="U16" i="5"/>
  <c r="Y12" i="5" l="1"/>
  <c r="P16" i="5"/>
  <c r="Q16" i="5" s="1"/>
  <c r="AE16" i="5"/>
  <c r="U12" i="5"/>
  <c r="V12" i="5" s="1"/>
  <c r="AI12" i="5" s="1"/>
  <c r="S12" i="5"/>
  <c r="AA18" i="5"/>
  <c r="AJ18" i="5" s="1"/>
  <c r="Y16" i="5"/>
  <c r="Q12" i="5"/>
  <c r="AC12" i="5" s="1"/>
  <c r="Z16" i="5"/>
  <c r="Z12" i="5"/>
  <c r="AA12" i="5" s="1"/>
  <c r="AJ12" i="5" s="1"/>
  <c r="U17" i="5"/>
  <c r="V17" i="5" s="1"/>
  <c r="AI17" i="5" s="1"/>
  <c r="V18" i="5"/>
  <c r="AI18" i="5" s="1"/>
  <c r="AF16" i="5"/>
  <c r="Z11" i="5"/>
  <c r="P11" i="5"/>
  <c r="Q11" i="5" s="1"/>
  <c r="U11" i="5"/>
  <c r="Y11" i="5"/>
  <c r="R11" i="5"/>
  <c r="S11" i="5" s="1"/>
  <c r="V16" i="5"/>
  <c r="AI16" i="5" s="1"/>
  <c r="Z13" i="5"/>
  <c r="P13" i="5"/>
  <c r="Q13" i="5" s="1"/>
  <c r="Y13" i="5"/>
  <c r="U13" i="5"/>
  <c r="R13" i="5"/>
  <c r="S13" i="5" s="1"/>
  <c r="T13" i="5"/>
  <c r="Z15" i="5"/>
  <c r="P15" i="5"/>
  <c r="Q15" i="5" s="1"/>
  <c r="Y15" i="5"/>
  <c r="U15" i="5"/>
  <c r="V15" i="5" s="1"/>
  <c r="AI15" i="5" s="1"/>
  <c r="R15" i="5"/>
  <c r="S15" i="5" s="1"/>
  <c r="AB16" i="5"/>
  <c r="AC16" i="5"/>
  <c r="S18" i="5"/>
  <c r="AB14" i="5"/>
  <c r="AC14" i="5"/>
  <c r="AA14" i="5"/>
  <c r="AJ14" i="5" s="1"/>
  <c r="T11" i="5"/>
  <c r="Z17" i="5"/>
  <c r="P17" i="5"/>
  <c r="Q17" i="5" s="1"/>
  <c r="Y17" i="5"/>
  <c r="R17" i="5"/>
  <c r="S17" i="5" s="1"/>
  <c r="V14" i="5"/>
  <c r="AI14" i="5" s="1"/>
  <c r="Q18" i="5"/>
  <c r="AC18" i="5" s="1"/>
  <c r="AF14" i="5"/>
  <c r="AE14" i="5"/>
  <c r="AE12" i="5" l="1"/>
  <c r="AB12" i="5"/>
  <c r="AG16" i="5"/>
  <c r="AL16" i="5" s="1"/>
  <c r="AF18" i="5"/>
  <c r="AA16" i="5"/>
  <c r="AJ16" i="5" s="1"/>
  <c r="AD12" i="5"/>
  <c r="AK12" i="5" s="1"/>
  <c r="AF12" i="5"/>
  <c r="AG12" i="5" s="1"/>
  <c r="AL12" i="5" s="1"/>
  <c r="AA11" i="5"/>
  <c r="AJ11" i="5" s="1"/>
  <c r="AA17" i="5"/>
  <c r="AJ17" i="5" s="1"/>
  <c r="V11" i="5"/>
  <c r="AI11" i="5" s="1"/>
  <c r="AD14" i="5"/>
  <c r="AK14" i="5" s="1"/>
  <c r="AD16" i="5"/>
  <c r="AK16" i="5" s="1"/>
  <c r="AA15" i="5"/>
  <c r="AJ15" i="5" s="1"/>
  <c r="V13" i="5"/>
  <c r="AI13" i="5" s="1"/>
  <c r="AF11" i="5"/>
  <c r="AE11" i="5"/>
  <c r="AG11" i="5" s="1"/>
  <c r="AL11" i="5" s="1"/>
  <c r="AC11" i="5"/>
  <c r="AB11" i="5"/>
  <c r="AD11" i="5" s="1"/>
  <c r="AK11" i="5" s="1"/>
  <c r="AB17" i="5"/>
  <c r="AC17" i="5"/>
  <c r="AB18" i="5"/>
  <c r="AD18" i="5" s="1"/>
  <c r="AK18" i="5" s="1"/>
  <c r="AE15" i="5"/>
  <c r="AF15" i="5"/>
  <c r="AA13" i="5"/>
  <c r="AJ13" i="5" s="1"/>
  <c r="AE18" i="5"/>
  <c r="AG14" i="5"/>
  <c r="AL14" i="5" s="1"/>
  <c r="AE17" i="5"/>
  <c r="AF17" i="5"/>
  <c r="AB15" i="5"/>
  <c r="AC15" i="5"/>
  <c r="AE13" i="5"/>
  <c r="AF13" i="5"/>
  <c r="AB13" i="5"/>
  <c r="AC13" i="5"/>
  <c r="L18" i="1"/>
  <c r="J18" i="1"/>
  <c r="H18" i="1"/>
  <c r="I18" i="1"/>
  <c r="K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K4" i="1"/>
  <c r="I4" i="1"/>
  <c r="J4" i="1"/>
  <c r="H4" i="1"/>
  <c r="AG18" i="5" l="1"/>
  <c r="AL18" i="5" s="1"/>
  <c r="AD13" i="5"/>
  <c r="AK13" i="5" s="1"/>
  <c r="AD15" i="5"/>
  <c r="AK15" i="5" s="1"/>
  <c r="AG13" i="5"/>
  <c r="AL13" i="5" s="1"/>
  <c r="AG17" i="5"/>
  <c r="AL17" i="5" s="1"/>
  <c r="AD17" i="5"/>
  <c r="AK17" i="5" s="1"/>
  <c r="AG15" i="5"/>
  <c r="AL15" i="5" s="1"/>
</calcChain>
</file>

<file path=xl/comments1.xml><?xml version="1.0" encoding="utf-8"?>
<comments xmlns="http://schemas.openxmlformats.org/spreadsheetml/2006/main">
  <authors>
    <author>tc={C8145451-418C-FC4C-9A9D-BCDF12699210}</author>
    <author>tc={5C12A862-9237-D94C-A9A2-2E11EFC3594B}</author>
    <author>tc={7038BACB-CFBA-FB4E-978C-595EF342A000}</author>
    <author>tc={6D192F04-F8F7-F145-A460-C7E11692945B}</author>
  </authors>
  <commentList>
    <comment ref="G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Source:  https://www.rockymountainpower.net/about/rates-regulation/utah-rates-tariffs.html</t>
        </r>
      </text>
    </comment>
    <comment ref="J2" authorId="1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Source: Exhibit RMM-14</t>
        </r>
      </text>
    </comment>
    <comment ref="G5" authorId="2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Min 5kw</t>
        </r>
      </text>
    </comment>
    <comment ref="G13" authorId="3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Min 5kw</t>
        </r>
      </text>
    </comment>
  </commentList>
</comments>
</file>

<file path=xl/sharedStrings.xml><?xml version="1.0" encoding="utf-8"?>
<sst xmlns="http://schemas.openxmlformats.org/spreadsheetml/2006/main" count="144" uniqueCount="57">
  <si>
    <t>Sch 6</t>
  </si>
  <si>
    <t>Present</t>
  </si>
  <si>
    <t>Proposed</t>
  </si>
  <si>
    <t>Summer</t>
  </si>
  <si>
    <t>Basic Charge</t>
  </si>
  <si>
    <t>Demand</t>
  </si>
  <si>
    <t>Voltage</t>
  </si>
  <si>
    <t>All kWh</t>
  </si>
  <si>
    <t>HELP</t>
  </si>
  <si>
    <t>DSM&amp;STEP</t>
  </si>
  <si>
    <t>Winter</t>
  </si>
  <si>
    <t>Sch 195 Solar</t>
  </si>
  <si>
    <t>Sch 197 TAA</t>
  </si>
  <si>
    <t>Sch 196 STEP</t>
  </si>
  <si>
    <t>Sch 193 DSM</t>
  </si>
  <si>
    <t>Sch 94 EBA</t>
  </si>
  <si>
    <t>Sch 98 REC</t>
  </si>
  <si>
    <t>Net (EBA+REC+TAA)</t>
  </si>
  <si>
    <t>Energy (kWh)</t>
  </si>
  <si>
    <t>Max Load (kW)</t>
  </si>
  <si>
    <t>Load Factor</t>
  </si>
  <si>
    <t>Monthly</t>
  </si>
  <si>
    <t>Reproduction of RMM Workpaper UT Pricing Model GRC2020, Tabl Sch6</t>
  </si>
  <si>
    <t>Sch 6A</t>
  </si>
  <si>
    <t>Facility Chg</t>
  </si>
  <si>
    <t>All kWh ONPK</t>
  </si>
  <si>
    <t>All kWh OFFPK</t>
  </si>
  <si>
    <t>Energy OFFPK</t>
  </si>
  <si>
    <t>kWh</t>
  </si>
  <si>
    <t>Basic Charging Unit</t>
  </si>
  <si>
    <t>8x75 kW (v2)</t>
  </si>
  <si>
    <t>Derating factor</t>
  </si>
  <si>
    <t>Max kWh per average month</t>
  </si>
  <si>
    <t>On Peak</t>
  </si>
  <si>
    <t>Off Peak</t>
  </si>
  <si>
    <t>kW</t>
  </si>
  <si>
    <t>On Peak kWh</t>
  </si>
  <si>
    <t>Off Peak kWh</t>
  </si>
  <si>
    <t>Adjustors</t>
  </si>
  <si>
    <t>Schedule 6</t>
  </si>
  <si>
    <t>Schedule 6A</t>
  </si>
  <si>
    <t>First 50 kwh per kw block (proposed 6A only)</t>
  </si>
  <si>
    <t>Energy first 50 kwh/kw</t>
  </si>
  <si>
    <t>Remaining energy</t>
  </si>
  <si>
    <t>Remaining  (proposed 6A only)</t>
  </si>
  <si>
    <t>Sch 6 current summer monthly bill</t>
  </si>
  <si>
    <t>Sch 6 current winter monthly bill</t>
  </si>
  <si>
    <t>Sch 6 proposed summer monthly bill</t>
  </si>
  <si>
    <t>Sch 6 proposed winter monthly bill</t>
  </si>
  <si>
    <t>Sch 6A current summer monthly bill</t>
  </si>
  <si>
    <t>Sch 6A current winter monthly bill</t>
  </si>
  <si>
    <t>Sch 6A proposed summer monthly bill</t>
  </si>
  <si>
    <t>Sch 6A proposed winter monthly bill</t>
  </si>
  <si>
    <t>Average Monthly Bill</t>
  </si>
  <si>
    <t>Average kWh Rate</t>
  </si>
  <si>
    <t>Current</t>
  </si>
  <si>
    <t>Note:  Adjustor values are taken from RMM-14 where those are explicitly identified.  Where they are not identified, it is assumed they will stay the same as the published on-line tariffs.  EBA methodology is changed, but actual values are not published in RMM-14.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</si>
</sst>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.0000"/>
    <numFmt numFmtId="167" formatCode="0.0%"/>
    <numFmt numFmtId="168" formatCode="_(* #,##0_);_(* \(#,##0\);_(* &quot;-&quot;??_);_(@_)"/>
    <numFmt numFmtId="169" formatCode="0.0000%"/>
    <numFmt numFmtId="170" formatCode="_(&quot;$&quot;* #,##0.000_);_(&quot;$&quot;* \(#,##0.0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10" fontId="0" fillId="0" borderId="0" xfId="0" applyNumberFormat="1"/>
    <xf numFmtId="0" fontId="0" fillId="0" borderId="1" xfId="0" applyBorder="1"/>
    <xf numFmtId="7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7" fontId="0" fillId="0" borderId="6" xfId="0" applyNumberFormat="1" applyBorder="1"/>
    <xf numFmtId="165" fontId="0" fillId="0" borderId="6" xfId="0" applyNumberFormat="1" applyBorder="1"/>
    <xf numFmtId="10" fontId="0" fillId="0" borderId="6" xfId="0" applyNumberFormat="1" applyBorder="1"/>
    <xf numFmtId="0" fontId="0" fillId="0" borderId="7" xfId="0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" xfId="3" applyNumberFormat="1" applyFont="1" applyBorder="1"/>
    <xf numFmtId="0" fontId="0" fillId="0" borderId="8" xfId="0" applyBorder="1"/>
    <xf numFmtId="10" fontId="0" fillId="0" borderId="8" xfId="3" applyNumberFormat="1" applyFont="1" applyBorder="1"/>
    <xf numFmtId="7" fontId="0" fillId="0" borderId="8" xfId="0" applyNumberFormat="1" applyBorder="1"/>
    <xf numFmtId="7" fontId="0" fillId="0" borderId="9" xfId="0" applyNumberFormat="1" applyBorder="1"/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167" fontId="0" fillId="0" borderId="0" xfId="0" applyNumberFormat="1"/>
    <xf numFmtId="168" fontId="0" fillId="0" borderId="0" xfId="1" applyNumberFormat="1" applyFont="1"/>
    <xf numFmtId="9" fontId="0" fillId="0" borderId="0" xfId="0" applyNumberFormat="1"/>
    <xf numFmtId="169" fontId="0" fillId="0" borderId="0" xfId="3" applyNumberFormat="1" applyFont="1"/>
    <xf numFmtId="0" fontId="0" fillId="2" borderId="5" xfId="0" applyFill="1" applyBorder="1"/>
    <xf numFmtId="0" fontId="0" fillId="2" borderId="7" xfId="0" applyFill="1" applyBorder="1"/>
    <xf numFmtId="0" fontId="0" fillId="3" borderId="5" xfId="0" applyFill="1" applyBorder="1"/>
    <xf numFmtId="7" fontId="0" fillId="3" borderId="6" xfId="0" applyNumberFormat="1" applyFill="1" applyBorder="1"/>
    <xf numFmtId="166" fontId="0" fillId="3" borderId="6" xfId="0" applyNumberFormat="1" applyFill="1" applyBorder="1"/>
    <xf numFmtId="44" fontId="0" fillId="3" borderId="6" xfId="2" applyFont="1" applyFill="1" applyBorder="1"/>
    <xf numFmtId="10" fontId="0" fillId="3" borderId="6" xfId="0" applyNumberFormat="1" applyFill="1" applyBorder="1"/>
    <xf numFmtId="7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166" fontId="0" fillId="0" borderId="0" xfId="0" applyNumberFormat="1" applyBorder="1"/>
    <xf numFmtId="0" fontId="0" fillId="0" borderId="0" xfId="0" applyBorder="1"/>
    <xf numFmtId="164" fontId="2" fillId="2" borderId="2" xfId="0" applyNumberFormat="1" applyFont="1" applyFill="1" applyBorder="1"/>
    <xf numFmtId="0" fontId="2" fillId="3" borderId="4" xfId="0" applyFont="1" applyFill="1" applyBorder="1"/>
    <xf numFmtId="0" fontId="0" fillId="0" borderId="0" xfId="0" applyAlignment="1"/>
    <xf numFmtId="168" fontId="0" fillId="0" borderId="1" xfId="1" applyNumberFormat="1" applyFont="1" applyBorder="1"/>
    <xf numFmtId="0" fontId="2" fillId="2" borderId="4" xfId="0" applyFont="1" applyFill="1" applyBorder="1"/>
    <xf numFmtId="7" fontId="0" fillId="2" borderId="6" xfId="0" applyNumberFormat="1" applyFill="1" applyBorder="1"/>
    <xf numFmtId="165" fontId="0" fillId="2" borderId="6" xfId="0" applyNumberFormat="1" applyFill="1" applyBorder="1"/>
    <xf numFmtId="10" fontId="0" fillId="2" borderId="6" xfId="0" applyNumberFormat="1" applyFill="1" applyBorder="1"/>
    <xf numFmtId="166" fontId="0" fillId="2" borderId="6" xfId="0" applyNumberFormat="1" applyFill="1" applyBorder="1"/>
    <xf numFmtId="0" fontId="0" fillId="0" borderId="0" xfId="0" applyFill="1" applyBorder="1"/>
    <xf numFmtId="7" fontId="0" fillId="0" borderId="0" xfId="0" applyNumberFormat="1" applyFill="1" applyBorder="1"/>
    <xf numFmtId="165" fontId="0" fillId="0" borderId="0" xfId="0" applyNumberFormat="1" applyFill="1" applyBorder="1"/>
    <xf numFmtId="10" fontId="0" fillId="0" borderId="0" xfId="0" applyNumberFormat="1" applyFill="1" applyBorder="1"/>
    <xf numFmtId="0" fontId="2" fillId="3" borderId="16" xfId="0" applyFont="1" applyFill="1" applyBorder="1"/>
    <xf numFmtId="7" fontId="0" fillId="3" borderId="12" xfId="0" applyNumberFormat="1" applyFill="1" applyBorder="1"/>
    <xf numFmtId="165" fontId="0" fillId="3" borderId="12" xfId="0" applyNumberFormat="1" applyFill="1" applyBorder="1"/>
    <xf numFmtId="165" fontId="0" fillId="3" borderId="5" xfId="0" applyNumberFormat="1" applyFill="1" applyBorder="1"/>
    <xf numFmtId="166" fontId="0" fillId="3" borderId="13" xfId="0" applyNumberFormat="1" applyFill="1" applyBorder="1"/>
    <xf numFmtId="164" fontId="2" fillId="4" borderId="2" xfId="0" applyNumberFormat="1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4" borderId="5" xfId="0" applyFill="1" applyBorder="1"/>
    <xf numFmtId="7" fontId="0" fillId="4" borderId="1" xfId="0" applyNumberFormat="1" applyFill="1" applyBorder="1"/>
    <xf numFmtId="7" fontId="0" fillId="4" borderId="6" xfId="0" applyNumberFormat="1" applyFill="1" applyBorder="1"/>
    <xf numFmtId="165" fontId="0" fillId="4" borderId="1" xfId="0" applyNumberFormat="1" applyFill="1" applyBorder="1"/>
    <xf numFmtId="165" fontId="0" fillId="4" borderId="6" xfId="0" applyNumberFormat="1" applyFill="1" applyBorder="1"/>
    <xf numFmtId="10" fontId="0" fillId="4" borderId="1" xfId="0" applyNumberFormat="1" applyFill="1" applyBorder="1"/>
    <xf numFmtId="10" fontId="0" fillId="4" borderId="6" xfId="0" applyNumberFormat="1" applyFill="1" applyBorder="1"/>
    <xf numFmtId="166" fontId="0" fillId="4" borderId="1" xfId="0" applyNumberFormat="1" applyFill="1" applyBorder="1"/>
    <xf numFmtId="0" fontId="0" fillId="4" borderId="7" xfId="0" applyFill="1" applyBorder="1"/>
    <xf numFmtId="10" fontId="0" fillId="4" borderId="9" xfId="0" applyNumberFormat="1" applyFill="1" applyBorder="1"/>
    <xf numFmtId="10" fontId="0" fillId="4" borderId="17" xfId="0" applyNumberFormat="1" applyFill="1" applyBorder="1"/>
    <xf numFmtId="10" fontId="0" fillId="2" borderId="15" xfId="0" applyNumberFormat="1" applyFill="1" applyBorder="1"/>
    <xf numFmtId="0" fontId="0" fillId="3" borderId="7" xfId="0" applyFill="1" applyBorder="1"/>
    <xf numFmtId="10" fontId="0" fillId="3" borderId="15" xfId="0" applyNumberFormat="1" applyFill="1" applyBorder="1"/>
    <xf numFmtId="166" fontId="0" fillId="0" borderId="0" xfId="0" applyNumberFormat="1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7" xfId="0" applyNumberFormat="1" applyBorder="1"/>
    <xf numFmtId="168" fontId="0" fillId="0" borderId="8" xfId="1" applyNumberFormat="1" applyFont="1" applyBorder="1"/>
    <xf numFmtId="7" fontId="0" fillId="0" borderId="14" xfId="0" applyNumberFormat="1" applyBorder="1"/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5" fontId="0" fillId="0" borderId="5" xfId="0" applyNumberFormat="1" applyBorder="1"/>
    <xf numFmtId="5" fontId="0" fillId="0" borderId="1" xfId="0" applyNumberFormat="1" applyBorder="1"/>
    <xf numFmtId="5" fontId="0" fillId="0" borderId="6" xfId="0" applyNumberFormat="1" applyBorder="1"/>
    <xf numFmtId="5" fontId="0" fillId="0" borderId="11" xfId="0" applyNumberFormat="1" applyBorder="1"/>
    <xf numFmtId="5" fontId="0" fillId="0" borderId="23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21" xfId="0" applyNumberFormat="1" applyBorder="1"/>
    <xf numFmtId="5" fontId="0" fillId="0" borderId="17" xfId="0" applyNumberFormat="1" applyBorder="1"/>
    <xf numFmtId="170" fontId="0" fillId="0" borderId="5" xfId="2" applyNumberFormat="1" applyFont="1" applyBorder="1"/>
    <xf numFmtId="170" fontId="0" fillId="0" borderId="6" xfId="2" applyNumberFormat="1" applyFont="1" applyBorder="1"/>
    <xf numFmtId="170" fontId="0" fillId="0" borderId="7" xfId="2" applyNumberFormat="1" applyFont="1" applyBorder="1"/>
    <xf numFmtId="170" fontId="0" fillId="0" borderId="9" xfId="2" applyNumberFormat="1" applyFont="1" applyBorder="1"/>
    <xf numFmtId="0" fontId="0" fillId="0" borderId="0" xfId="0" applyAlignment="1">
      <alignment wrapText="1"/>
    </xf>
    <xf numFmtId="0" fontId="0" fillId="4" borderId="27" xfId="0" applyFill="1" applyBorder="1"/>
    <xf numFmtId="10" fontId="0" fillId="4" borderId="28" xfId="0" applyNumberFormat="1" applyFill="1" applyBorder="1"/>
    <xf numFmtId="10" fontId="0" fillId="4" borderId="29" xfId="0" applyNumberFormat="1" applyFill="1" applyBorder="1"/>
    <xf numFmtId="0" fontId="2" fillId="4" borderId="10" xfId="0" applyFont="1" applyFill="1" applyBorder="1" applyAlignment="1"/>
    <xf numFmtId="0" fontId="0" fillId="2" borderId="27" xfId="0" applyFill="1" applyBorder="1"/>
    <xf numFmtId="10" fontId="0" fillId="2" borderId="29" xfId="0" applyNumberFormat="1" applyFill="1" applyBorder="1"/>
    <xf numFmtId="7" fontId="0" fillId="3" borderId="30" xfId="0" applyNumberFormat="1" applyFill="1" applyBorder="1"/>
    <xf numFmtId="10" fontId="0" fillId="3" borderId="29" xfId="0" applyNumberFormat="1" applyFill="1" applyBorder="1"/>
    <xf numFmtId="1" fontId="0" fillId="0" borderId="0" xfId="0" applyNumberFormat="1" applyAlignment="1"/>
    <xf numFmtId="0" fontId="0" fillId="0" borderId="0" xfId="0" applyAlignment="1">
      <alignment horizontal="left"/>
    </xf>
    <xf numFmtId="0" fontId="2" fillId="3" borderId="12" xfId="0" applyFont="1" applyFill="1" applyBorder="1" applyAlignment="1"/>
    <xf numFmtId="0" fontId="2" fillId="3" borderId="13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4" borderId="12" xfId="0" applyFont="1" applyFill="1" applyBorder="1" applyAlignment="1"/>
    <xf numFmtId="0" fontId="2" fillId="4" borderId="13" xfId="0" applyFont="1" applyFill="1" applyBorder="1" applyAlignment="1"/>
    <xf numFmtId="0" fontId="0" fillId="4" borderId="31" xfId="0" applyFill="1" applyBorder="1"/>
    <xf numFmtId="165" fontId="0" fillId="4" borderId="32" xfId="0" applyNumberFormat="1" applyFill="1" applyBorder="1"/>
    <xf numFmtId="165" fontId="0" fillId="4" borderId="33" xfId="0" applyNumberFormat="1" applyFill="1" applyBorder="1"/>
    <xf numFmtId="0" fontId="0" fillId="2" borderId="31" xfId="0" applyFill="1" applyBorder="1"/>
    <xf numFmtId="165" fontId="0" fillId="2" borderId="33" xfId="0" applyNumberFormat="1" applyFill="1" applyBorder="1"/>
    <xf numFmtId="0" fontId="0" fillId="3" borderId="31" xfId="0" applyFill="1" applyBorder="1"/>
    <xf numFmtId="165" fontId="0" fillId="3" borderId="33" xfId="0" applyNumberForma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ug Howe" id="{62312314-CCE8-3445-A3A2-993D09565D05}" userId="d371c06d47607f5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1"/>
  <sheetViews>
    <sheetView tabSelected="1" zoomScale="90" zoomScaleNormal="90" workbookViewId="0">
      <selection activeCell="N27" sqref="N27"/>
    </sheetView>
  </sheetViews>
  <sheetFormatPr defaultColWidth="11.125" defaultRowHeight="15.75" x14ac:dyDescent="0.25"/>
  <cols>
    <col min="1" max="1" width="2.5" customWidth="1"/>
    <col min="2" max="2" width="18.125" customWidth="1"/>
    <col min="5" max="5" width="2.375" customWidth="1"/>
    <col min="6" max="6" width="17.875" customWidth="1"/>
    <col min="8" max="8" width="3.125" customWidth="1"/>
    <col min="9" max="9" width="20.125" customWidth="1"/>
    <col min="11" max="11" width="5.125" customWidth="1"/>
    <col min="12" max="12" width="10.375" customWidth="1"/>
    <col min="13" max="13" width="10.875" customWidth="1"/>
    <col min="14" max="14" width="4" customWidth="1"/>
    <col min="15" max="15" width="11.875" customWidth="1"/>
    <col min="16" max="16" width="14.625" hidden="1" customWidth="1"/>
    <col min="17" max="17" width="13" hidden="1" customWidth="1"/>
    <col min="18" max="21" width="10.875" hidden="1" customWidth="1"/>
    <col min="22" max="22" width="8.125" bestFit="1" customWidth="1"/>
    <col min="23" max="25" width="0" hidden="1" customWidth="1"/>
    <col min="26" max="26" width="9.875" hidden="1" customWidth="1"/>
    <col min="27" max="27" width="8.875" bestFit="1" customWidth="1"/>
    <col min="28" max="29" width="0" hidden="1" customWidth="1"/>
    <col min="30" max="30" width="8.125" bestFit="1" customWidth="1"/>
    <col min="31" max="31" width="11.5" hidden="1" customWidth="1"/>
    <col min="32" max="32" width="0" hidden="1" customWidth="1"/>
    <col min="33" max="33" width="8.875" bestFit="1" customWidth="1"/>
    <col min="34" max="34" width="2.375" customWidth="1"/>
    <col min="35" max="35" width="7.75" bestFit="1" customWidth="1"/>
    <col min="36" max="36" width="8.875" bestFit="1" customWidth="1"/>
    <col min="37" max="37" width="7.75" bestFit="1" customWidth="1"/>
    <col min="38" max="38" width="8.875" bestFit="1" customWidth="1"/>
  </cols>
  <sheetData>
    <row r="1" spans="2:38" ht="15.95" customHeight="1" thickBot="1" x14ac:dyDescent="0.3">
      <c r="M1" s="105"/>
      <c r="N1" s="105"/>
      <c r="O1" s="105"/>
    </row>
    <row r="2" spans="2:38" ht="15.6" customHeight="1" x14ac:dyDescent="0.25">
      <c r="B2" s="60" t="s">
        <v>0</v>
      </c>
      <c r="C2" s="61" t="s">
        <v>1</v>
      </c>
      <c r="D2" s="62" t="s">
        <v>2</v>
      </c>
      <c r="F2" s="42" t="s">
        <v>23</v>
      </c>
      <c r="G2" s="46" t="s">
        <v>1</v>
      </c>
      <c r="H2" s="51"/>
      <c r="I2" s="55" t="s">
        <v>23</v>
      </c>
      <c r="J2" s="43" t="s">
        <v>2</v>
      </c>
    </row>
    <row r="3" spans="2:38" x14ac:dyDescent="0.25">
      <c r="B3" s="146" t="s">
        <v>3</v>
      </c>
      <c r="C3" s="147"/>
      <c r="D3" s="148"/>
      <c r="F3" s="144" t="s">
        <v>3</v>
      </c>
      <c r="G3" s="145"/>
      <c r="H3" s="51"/>
      <c r="I3" s="142" t="s">
        <v>3</v>
      </c>
      <c r="J3" s="143"/>
      <c r="L3" s="133" t="s">
        <v>29</v>
      </c>
      <c r="M3" s="133"/>
      <c r="N3" s="115"/>
      <c r="O3" s="105" t="s">
        <v>30</v>
      </c>
    </row>
    <row r="4" spans="2:38" ht="15.6" customHeight="1" x14ac:dyDescent="0.25">
      <c r="B4" s="63" t="s">
        <v>4</v>
      </c>
      <c r="C4" s="64">
        <v>54</v>
      </c>
      <c r="D4" s="65">
        <v>55</v>
      </c>
      <c r="F4" s="30" t="s">
        <v>4</v>
      </c>
      <c r="G4" s="47">
        <v>54</v>
      </c>
      <c r="H4" s="52"/>
      <c r="I4" s="32" t="s">
        <v>4</v>
      </c>
      <c r="J4" s="33">
        <v>55</v>
      </c>
      <c r="L4" s="134" t="s">
        <v>31</v>
      </c>
      <c r="M4" s="134"/>
      <c r="N4" s="115"/>
      <c r="O4" s="29">
        <v>1.3698630136986245E-2</v>
      </c>
    </row>
    <row r="5" spans="2:38" x14ac:dyDescent="0.25">
      <c r="B5" s="63" t="s">
        <v>5</v>
      </c>
      <c r="C5" s="64">
        <f>SUM(4.04,14.62)</f>
        <v>18.66</v>
      </c>
      <c r="D5" s="65">
        <v>17.8</v>
      </c>
      <c r="F5" s="30" t="s">
        <v>24</v>
      </c>
      <c r="G5" s="47">
        <v>6.52</v>
      </c>
      <c r="H5" s="52"/>
      <c r="I5" s="56" t="s">
        <v>42</v>
      </c>
      <c r="J5" s="34">
        <v>28.866099999999999</v>
      </c>
      <c r="L5" s="133" t="s">
        <v>32</v>
      </c>
      <c r="M5" s="133"/>
      <c r="N5" s="133"/>
      <c r="O5" s="114">
        <f>(8*75*8760/12)*(1-$O$4)</f>
        <v>432000</v>
      </c>
    </row>
    <row r="6" spans="2:38" x14ac:dyDescent="0.25">
      <c r="B6" s="63" t="s">
        <v>6</v>
      </c>
      <c r="C6" s="64">
        <v>-0.96</v>
      </c>
      <c r="D6" s="65">
        <v>-0.96</v>
      </c>
      <c r="F6" s="30" t="s">
        <v>25</v>
      </c>
      <c r="G6" s="48">
        <v>11.926600000000001</v>
      </c>
      <c r="H6" s="52"/>
      <c r="I6" s="56" t="s">
        <v>43</v>
      </c>
      <c r="J6" s="34">
        <v>10.572699999999999</v>
      </c>
      <c r="L6" s="115" t="s">
        <v>33</v>
      </c>
      <c r="M6" s="115"/>
      <c r="N6" s="115"/>
      <c r="O6" s="28">
        <v>0.9</v>
      </c>
    </row>
    <row r="7" spans="2:38" ht="16.5" thickBot="1" x14ac:dyDescent="0.3">
      <c r="B7" s="63" t="s">
        <v>7</v>
      </c>
      <c r="C7" s="66">
        <v>3.8127</v>
      </c>
      <c r="D7" s="67">
        <v>3.996211334706</v>
      </c>
      <c r="F7" s="30" t="s">
        <v>26</v>
      </c>
      <c r="G7" s="48">
        <v>3.5908000000000002</v>
      </c>
      <c r="H7" s="53"/>
      <c r="I7" s="58" t="s">
        <v>27</v>
      </c>
      <c r="J7" s="59">
        <v>-8.3358000000000008</v>
      </c>
      <c r="L7" s="115" t="s">
        <v>34</v>
      </c>
      <c r="M7" s="115"/>
      <c r="N7" s="115"/>
      <c r="O7" s="28">
        <v>0.1</v>
      </c>
    </row>
    <row r="8" spans="2:38" ht="16.5" thickBot="1" x14ac:dyDescent="0.3">
      <c r="B8" s="63" t="s">
        <v>8</v>
      </c>
      <c r="C8" s="64">
        <v>5.6</v>
      </c>
      <c r="D8" s="65">
        <v>5.6</v>
      </c>
      <c r="F8" s="30" t="s">
        <v>8</v>
      </c>
      <c r="G8" s="47">
        <v>5.6</v>
      </c>
      <c r="H8" s="53"/>
      <c r="I8" s="57" t="s">
        <v>8</v>
      </c>
      <c r="J8" s="35">
        <f>5.6</f>
        <v>5.6</v>
      </c>
      <c r="V8" s="129" t="s">
        <v>53</v>
      </c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1"/>
      <c r="AI8" s="129" t="s">
        <v>54</v>
      </c>
      <c r="AJ8" s="130"/>
      <c r="AK8" s="130"/>
      <c r="AL8" s="131"/>
    </row>
    <row r="9" spans="2:38" ht="16.5" thickBot="1" x14ac:dyDescent="0.3">
      <c r="B9" s="63" t="s">
        <v>9</v>
      </c>
      <c r="C9" s="68">
        <f>C17</f>
        <v>3.9899999999999998E-2</v>
      </c>
      <c r="D9" s="69">
        <f>D17</f>
        <v>3.9899999999999998E-2</v>
      </c>
      <c r="F9" s="30" t="s">
        <v>9</v>
      </c>
      <c r="G9" s="49">
        <f>G17</f>
        <v>4.0999999999999995E-2</v>
      </c>
      <c r="H9" s="52"/>
      <c r="I9" s="56" t="s">
        <v>9</v>
      </c>
      <c r="J9" s="36">
        <f>J17</f>
        <v>4.0999999999999995E-2</v>
      </c>
      <c r="M9" s="41"/>
      <c r="N9" s="41"/>
      <c r="O9" s="41"/>
      <c r="P9" s="41"/>
      <c r="Q9" s="41"/>
      <c r="R9" s="41"/>
      <c r="S9" s="41"/>
      <c r="V9" s="129" t="s">
        <v>39</v>
      </c>
      <c r="W9" s="130"/>
      <c r="X9" s="130"/>
      <c r="Y9" s="130"/>
      <c r="Z9" s="130"/>
      <c r="AA9" s="131"/>
      <c r="AC9" s="44"/>
      <c r="AD9" s="129" t="s">
        <v>40</v>
      </c>
      <c r="AE9" s="130"/>
      <c r="AF9" s="130"/>
      <c r="AG9" s="131"/>
      <c r="AI9" s="129" t="s">
        <v>39</v>
      </c>
      <c r="AJ9" s="131"/>
      <c r="AK9" s="129" t="s">
        <v>40</v>
      </c>
      <c r="AL9" s="131"/>
    </row>
    <row r="10" spans="2:38" ht="15.6" customHeight="1" x14ac:dyDescent="0.25">
      <c r="B10" s="135"/>
      <c r="C10" s="136"/>
      <c r="D10" s="137"/>
      <c r="F10" s="140"/>
      <c r="G10" s="141"/>
      <c r="H10" s="54"/>
      <c r="I10" s="138"/>
      <c r="J10" s="139"/>
      <c r="M10" s="81" t="s">
        <v>20</v>
      </c>
      <c r="N10" s="82" t="s">
        <v>35</v>
      </c>
      <c r="O10" s="82" t="s">
        <v>28</v>
      </c>
      <c r="P10" s="82" t="s">
        <v>36</v>
      </c>
      <c r="Q10" s="82" t="s">
        <v>37</v>
      </c>
      <c r="R10" s="82" t="s">
        <v>41</v>
      </c>
      <c r="S10" s="82" t="s">
        <v>44</v>
      </c>
      <c r="T10" s="83" t="s">
        <v>45</v>
      </c>
      <c r="U10" s="84" t="s">
        <v>46</v>
      </c>
      <c r="V10" s="78" t="s">
        <v>55</v>
      </c>
      <c r="W10" s="8"/>
      <c r="X10" s="8"/>
      <c r="Y10" s="79" t="s">
        <v>47</v>
      </c>
      <c r="Z10" s="79" t="s">
        <v>48</v>
      </c>
      <c r="AA10" s="80" t="s">
        <v>2</v>
      </c>
      <c r="AB10" s="89" t="s">
        <v>49</v>
      </c>
      <c r="AC10" s="90" t="s">
        <v>50</v>
      </c>
      <c r="AD10" s="78" t="s">
        <v>55</v>
      </c>
      <c r="AE10" s="79" t="s">
        <v>51</v>
      </c>
      <c r="AF10" s="79" t="s">
        <v>52</v>
      </c>
      <c r="AG10" s="80" t="s">
        <v>2</v>
      </c>
      <c r="AI10" s="78" t="s">
        <v>55</v>
      </c>
      <c r="AJ10" s="80" t="s">
        <v>2</v>
      </c>
      <c r="AK10" s="78" t="s">
        <v>55</v>
      </c>
      <c r="AL10" s="80" t="s">
        <v>2</v>
      </c>
    </row>
    <row r="11" spans="2:38" x14ac:dyDescent="0.25">
      <c r="B11" s="146" t="s">
        <v>10</v>
      </c>
      <c r="C11" s="147"/>
      <c r="D11" s="148"/>
      <c r="F11" s="144" t="s">
        <v>10</v>
      </c>
      <c r="G11" s="145"/>
      <c r="H11" s="51"/>
      <c r="I11" s="142" t="s">
        <v>10</v>
      </c>
      <c r="J11" s="143"/>
      <c r="M11" s="85">
        <v>2.5000000000000001E-2</v>
      </c>
      <c r="N11" s="2">
        <v>500</v>
      </c>
      <c r="O11" s="45">
        <f t="shared" ref="O11:O18" si="0">$O$5*M11</f>
        <v>10800</v>
      </c>
      <c r="P11" s="45">
        <f t="shared" ref="P11:P18" si="1">O11*$O$6</f>
        <v>9720</v>
      </c>
      <c r="Q11" s="45">
        <f t="shared" ref="Q11:Q18" si="2">O11-P11</f>
        <v>1080</v>
      </c>
      <c r="R11" s="45">
        <f t="shared" ref="R11:R18" si="3">MIN(50*N11,O11)</f>
        <v>10800</v>
      </c>
      <c r="S11" s="45">
        <f t="shared" ref="S11:S18" si="4">O11-R11</f>
        <v>0</v>
      </c>
      <c r="T11" s="37">
        <f t="shared" ref="T11:T18" si="5">($C$4+($C$5*N11)+($C$7/100)*O11)*(1+$C$26)*(1+$C$9)+$C$8</f>
        <v>9894.7734985442712</v>
      </c>
      <c r="U11" s="37">
        <f t="shared" ref="U11:U18" si="6">($C$12+($C$13*N11)+($C$15/100)*O11)*(1+$C$26)*(1+$C$17)+$C$16</f>
        <v>7989.5517381704485</v>
      </c>
      <c r="V11" s="91">
        <f>SUM(5*T11,7*U11)/12</f>
        <v>8783.3941383262081</v>
      </c>
      <c r="W11" s="92"/>
      <c r="X11" s="92"/>
      <c r="Y11" s="92">
        <f t="shared" ref="Y11:Y18" si="7">($D$4+($D$5*N11)+($D$7/100)*O11)*(1+$D$26)*(1+$D$9)+$D$8</f>
        <v>9627.1318421199103</v>
      </c>
      <c r="Z11" s="92">
        <f t="shared" ref="Z11:Z18" si="8">($D$12+($D$13*N11)+($D$15/100)*O11)*(1+$D$26)*(1+$D$17)+$D$16</f>
        <v>8771.5889355512008</v>
      </c>
      <c r="AA11" s="93">
        <f>SUM(4*Y11,8*Z11)/12</f>
        <v>9056.7699044074379</v>
      </c>
      <c r="AB11" s="94">
        <f t="shared" ref="AB11:AB18" si="9">($G$4+MAX(5,N11)*$G$5+($G$6/100)*P11+($G$7/100)*Q11)*(1+$G$26)*(1+$G$9)+$G$8</f>
        <v>4539.6527627361684</v>
      </c>
      <c r="AC11" s="95">
        <f t="shared" ref="AC11:AC18" si="10">($G$12+MAX(5,N11)*$G$13+($G$14/100)*P11+($G$15/100)*Q11)*(1+$G$26)*(1+$G$17)+$G$16</f>
        <v>3814.5680718107478</v>
      </c>
      <c r="AD11" s="91">
        <f>SUM(5*AB11,7*AC11)/12</f>
        <v>4116.6866930296737</v>
      </c>
      <c r="AE11" s="92">
        <f t="shared" ref="AE11:AE18" si="11">($J$4+($J$5/100)*R11+($J$6/100)*S11+($J$7/100)*Q11)*(1+$G$26)*(1+$G$17)+$G$8</f>
        <v>3103.1464965579676</v>
      </c>
      <c r="AF11" s="92">
        <f t="shared" ref="AF11:AF18" si="12">($J$12+($J$13/100)*R11+($J$14/100)*S11+($J$15/100)*Q11)*(1+$J$26)*(1+$J$17)+$J$16</f>
        <v>2894.7292124671758</v>
      </c>
      <c r="AG11" s="93">
        <f>SUM(4*AE11,8*AF11)/12</f>
        <v>2964.2016404974397</v>
      </c>
      <c r="AI11" s="101">
        <f t="shared" ref="AI11:AI18" si="13">V11/O11</f>
        <v>0.81327723503020444</v>
      </c>
      <c r="AJ11" s="102">
        <f t="shared" ref="AJ11:AJ18" si="14">AA11/O11</f>
        <v>0.83858980596365162</v>
      </c>
      <c r="AK11" s="101">
        <f t="shared" ref="AK11:AK18" si="15">AD11/O11</f>
        <v>0.38117469379904384</v>
      </c>
      <c r="AL11" s="102">
        <f t="shared" ref="AL11:AL18" si="16">AG11/O11</f>
        <v>0.27446311486087405</v>
      </c>
    </row>
    <row r="12" spans="2:38" x14ac:dyDescent="0.25">
      <c r="B12" s="63" t="s">
        <v>4</v>
      </c>
      <c r="C12" s="64">
        <v>54</v>
      </c>
      <c r="D12" s="65">
        <v>55</v>
      </c>
      <c r="F12" s="30" t="s">
        <v>4</v>
      </c>
      <c r="G12" s="47">
        <f>G4</f>
        <v>54</v>
      </c>
      <c r="H12" s="37"/>
      <c r="I12" s="32" t="s">
        <v>4</v>
      </c>
      <c r="J12" s="33">
        <v>55</v>
      </c>
      <c r="M12" s="85">
        <f>M11+0.025</f>
        <v>0.05</v>
      </c>
      <c r="N12" s="2">
        <v>500</v>
      </c>
      <c r="O12" s="45">
        <f t="shared" si="0"/>
        <v>21600</v>
      </c>
      <c r="P12" s="45">
        <f t="shared" si="1"/>
        <v>19440</v>
      </c>
      <c r="Q12" s="45">
        <f t="shared" si="2"/>
        <v>2160</v>
      </c>
      <c r="R12" s="45">
        <f t="shared" si="3"/>
        <v>21600</v>
      </c>
      <c r="S12" s="45">
        <f t="shared" si="4"/>
        <v>0</v>
      </c>
      <c r="T12" s="37">
        <f t="shared" si="5"/>
        <v>10310.471307808546</v>
      </c>
      <c r="U12" s="37">
        <f t="shared" si="6"/>
        <v>8372.7150636608967</v>
      </c>
      <c r="V12" s="91">
        <f t="shared" ref="V12:V18" si="17">SUM(5*T12,7*U12)/12</f>
        <v>9180.1134987224159</v>
      </c>
      <c r="W12" s="92"/>
      <c r="X12" s="92"/>
      <c r="Y12" s="92">
        <f t="shared" si="7"/>
        <v>10069.525138589821</v>
      </c>
      <c r="Z12" s="92">
        <f t="shared" si="8"/>
        <v>9163.0874280024018</v>
      </c>
      <c r="AA12" s="93">
        <f t="shared" ref="AA12:AA18" si="18">SUM(4*Y12,8*Z12)/12</f>
        <v>9465.2333315315409</v>
      </c>
      <c r="AB12" s="94">
        <f t="shared" si="9"/>
        <v>5743.5421532723358</v>
      </c>
      <c r="AC12" s="95">
        <f t="shared" si="10"/>
        <v>4820.9333539214967</v>
      </c>
      <c r="AD12" s="91">
        <f t="shared" ref="AD12:AD18" si="19">SUM(5*AB12,7*AC12)/12</f>
        <v>5205.3536869843456</v>
      </c>
      <c r="AE12" s="92">
        <f t="shared" si="11"/>
        <v>6145.4247416159351</v>
      </c>
      <c r="AF12" s="92">
        <f t="shared" si="12"/>
        <v>5727.2847594343521</v>
      </c>
      <c r="AG12" s="93">
        <f t="shared" ref="AG12:AG18" si="20">SUM(4*AE12,8*AF12)/12</f>
        <v>5866.6647534948797</v>
      </c>
      <c r="AI12" s="101">
        <f t="shared" si="13"/>
        <v>0.42500525457048222</v>
      </c>
      <c r="AJ12" s="102">
        <f t="shared" si="14"/>
        <v>0.43820524683016393</v>
      </c>
      <c r="AK12" s="101">
        <f t="shared" si="15"/>
        <v>0.24098859661964564</v>
      </c>
      <c r="AL12" s="102">
        <f t="shared" si="16"/>
        <v>0.27160484969883703</v>
      </c>
    </row>
    <row r="13" spans="2:38" x14ac:dyDescent="0.25">
      <c r="B13" s="63" t="s">
        <v>5</v>
      </c>
      <c r="C13" s="64">
        <f>SUM(4.04,10.91)</f>
        <v>14.95</v>
      </c>
      <c r="D13" s="65">
        <v>16.23</v>
      </c>
      <c r="F13" s="30" t="s">
        <v>24</v>
      </c>
      <c r="G13" s="47">
        <v>5.47</v>
      </c>
      <c r="H13" s="37"/>
      <c r="I13" s="56" t="s">
        <v>42</v>
      </c>
      <c r="J13" s="34">
        <v>26.235499999999998</v>
      </c>
      <c r="M13" s="85">
        <f t="shared" ref="M13:M14" si="21">M12+0.025</f>
        <v>7.5000000000000011E-2</v>
      </c>
      <c r="N13" s="2">
        <v>500</v>
      </c>
      <c r="O13" s="45">
        <f t="shared" si="0"/>
        <v>32400.000000000004</v>
      </c>
      <c r="P13" s="45">
        <f t="shared" si="1"/>
        <v>29160.000000000004</v>
      </c>
      <c r="Q13" s="45">
        <f t="shared" si="2"/>
        <v>3240</v>
      </c>
      <c r="R13" s="45">
        <f t="shared" si="3"/>
        <v>25000</v>
      </c>
      <c r="S13" s="45">
        <f t="shared" si="4"/>
        <v>7400.0000000000036</v>
      </c>
      <c r="T13" s="37">
        <f t="shared" si="5"/>
        <v>10726.169117072817</v>
      </c>
      <c r="U13" s="37">
        <f t="shared" si="6"/>
        <v>8755.8783891513449</v>
      </c>
      <c r="V13" s="91">
        <f t="shared" si="17"/>
        <v>9576.8328591186237</v>
      </c>
      <c r="W13" s="92"/>
      <c r="X13" s="92"/>
      <c r="Y13" s="92">
        <f t="shared" si="7"/>
        <v>10511.918435059728</v>
      </c>
      <c r="Z13" s="92">
        <f t="shared" si="8"/>
        <v>9554.5859204535991</v>
      </c>
      <c r="AA13" s="93">
        <f t="shared" si="18"/>
        <v>9873.696758655642</v>
      </c>
      <c r="AB13" s="94">
        <f t="shared" si="9"/>
        <v>6947.431543808505</v>
      </c>
      <c r="AC13" s="95">
        <f t="shared" si="10"/>
        <v>5827.2986360322438</v>
      </c>
      <c r="AD13" s="91">
        <f t="shared" si="19"/>
        <v>6294.0206809390193</v>
      </c>
      <c r="AE13" s="92">
        <f t="shared" si="11"/>
        <v>7827.3889290872248</v>
      </c>
      <c r="AF13" s="92">
        <f t="shared" si="12"/>
        <v>7327.5850229004682</v>
      </c>
      <c r="AG13" s="93">
        <f t="shared" si="20"/>
        <v>7494.1863249627204</v>
      </c>
      <c r="AI13" s="101">
        <f t="shared" si="13"/>
        <v>0.29558126108390809</v>
      </c>
      <c r="AJ13" s="102">
        <f t="shared" si="14"/>
        <v>0.30474372711900127</v>
      </c>
      <c r="AK13" s="101">
        <f t="shared" si="15"/>
        <v>0.19425989755984624</v>
      </c>
      <c r="AL13" s="102">
        <f t="shared" si="16"/>
        <v>0.23130204706675062</v>
      </c>
    </row>
    <row r="14" spans="2:38" x14ac:dyDescent="0.25">
      <c r="B14" s="63" t="s">
        <v>6</v>
      </c>
      <c r="C14" s="64">
        <v>-0.96</v>
      </c>
      <c r="D14" s="65">
        <v>-0.96</v>
      </c>
      <c r="F14" s="30" t="s">
        <v>25</v>
      </c>
      <c r="G14" s="50">
        <v>9.9693000000000005</v>
      </c>
      <c r="H14" s="37"/>
      <c r="I14" s="56" t="s">
        <v>43</v>
      </c>
      <c r="J14" s="34">
        <v>10.0466</v>
      </c>
      <c r="M14" s="85">
        <f t="shared" si="21"/>
        <v>0.1</v>
      </c>
      <c r="N14" s="2">
        <v>500</v>
      </c>
      <c r="O14" s="45">
        <f t="shared" si="0"/>
        <v>43200</v>
      </c>
      <c r="P14" s="45">
        <f t="shared" si="1"/>
        <v>38880</v>
      </c>
      <c r="Q14" s="45">
        <f t="shared" si="2"/>
        <v>4320</v>
      </c>
      <c r="R14" s="45">
        <f t="shared" si="3"/>
        <v>25000</v>
      </c>
      <c r="S14" s="45">
        <f t="shared" si="4"/>
        <v>18200</v>
      </c>
      <c r="T14" s="37">
        <f t="shared" si="5"/>
        <v>11141.866926337088</v>
      </c>
      <c r="U14" s="37">
        <f t="shared" si="6"/>
        <v>9139.0417146417913</v>
      </c>
      <c r="V14" s="91">
        <f t="shared" si="17"/>
        <v>9973.5522195148314</v>
      </c>
      <c r="W14" s="92"/>
      <c r="X14" s="92"/>
      <c r="Y14" s="92">
        <f t="shared" si="7"/>
        <v>10954.311731529637</v>
      </c>
      <c r="Z14" s="92">
        <f t="shared" si="8"/>
        <v>9946.0844129048</v>
      </c>
      <c r="AA14" s="93">
        <f t="shared" si="18"/>
        <v>10282.160185779745</v>
      </c>
      <c r="AB14" s="94">
        <f t="shared" si="9"/>
        <v>8151.3209343446724</v>
      </c>
      <c r="AC14" s="95">
        <f t="shared" si="10"/>
        <v>6833.6639181429928</v>
      </c>
      <c r="AD14" s="91">
        <f t="shared" si="19"/>
        <v>7382.687674893692</v>
      </c>
      <c r="AE14" s="92">
        <f t="shared" si="11"/>
        <v>8884.3439549646318</v>
      </c>
      <c r="AF14" s="92">
        <f t="shared" si="12"/>
        <v>8361.7139398931249</v>
      </c>
      <c r="AG14" s="93">
        <f t="shared" si="20"/>
        <v>8535.92394491696</v>
      </c>
      <c r="AI14" s="101">
        <f t="shared" si="13"/>
        <v>0.23086926434062111</v>
      </c>
      <c r="AJ14" s="102">
        <f t="shared" si="14"/>
        <v>0.23801296726342003</v>
      </c>
      <c r="AK14" s="101">
        <f t="shared" si="15"/>
        <v>0.17089554802994658</v>
      </c>
      <c r="AL14" s="102">
        <f t="shared" si="16"/>
        <v>0.19759083205826297</v>
      </c>
    </row>
    <row r="15" spans="2:38" x14ac:dyDescent="0.25">
      <c r="B15" s="63" t="s">
        <v>7</v>
      </c>
      <c r="C15" s="70">
        <v>3.5143</v>
      </c>
      <c r="D15" s="67">
        <v>3.5364702077039998</v>
      </c>
      <c r="F15" s="30" t="s">
        <v>26</v>
      </c>
      <c r="G15" s="50">
        <v>3.0059999999999998</v>
      </c>
      <c r="H15" s="37"/>
      <c r="I15" s="58" t="s">
        <v>27</v>
      </c>
      <c r="J15" s="59">
        <v>-7.3768000000000002</v>
      </c>
      <c r="M15" s="85">
        <v>0.15</v>
      </c>
      <c r="N15" s="2">
        <v>500</v>
      </c>
      <c r="O15" s="45">
        <f t="shared" si="0"/>
        <v>64800</v>
      </c>
      <c r="P15" s="45">
        <f t="shared" si="1"/>
        <v>58320</v>
      </c>
      <c r="Q15" s="45">
        <f t="shared" si="2"/>
        <v>6480</v>
      </c>
      <c r="R15" s="45">
        <f t="shared" si="3"/>
        <v>25000</v>
      </c>
      <c r="S15" s="45">
        <f t="shared" si="4"/>
        <v>39800</v>
      </c>
      <c r="T15" s="37">
        <f t="shared" si="5"/>
        <v>11973.262544865634</v>
      </c>
      <c r="U15" s="37">
        <f t="shared" si="6"/>
        <v>9905.3683656226895</v>
      </c>
      <c r="V15" s="91">
        <f t="shared" si="17"/>
        <v>10766.990940307251</v>
      </c>
      <c r="W15" s="92"/>
      <c r="X15" s="92"/>
      <c r="Y15" s="92">
        <f t="shared" si="7"/>
        <v>11839.098324469453</v>
      </c>
      <c r="Z15" s="92">
        <f t="shared" si="8"/>
        <v>10729.081397807198</v>
      </c>
      <c r="AA15" s="93">
        <f t="shared" si="18"/>
        <v>11099.087040027951</v>
      </c>
      <c r="AB15" s="94">
        <f t="shared" si="9"/>
        <v>10559.099715417009</v>
      </c>
      <c r="AC15" s="95">
        <f t="shared" si="10"/>
        <v>8846.394482364487</v>
      </c>
      <c r="AD15" s="91">
        <f t="shared" si="19"/>
        <v>9560.0216628030375</v>
      </c>
      <c r="AE15" s="92">
        <f t="shared" si="11"/>
        <v>10998.254006719446</v>
      </c>
      <c r="AF15" s="92">
        <f t="shared" si="12"/>
        <v>10429.971773878437</v>
      </c>
      <c r="AG15" s="93">
        <f t="shared" si="20"/>
        <v>10619.399184825439</v>
      </c>
      <c r="AI15" s="101">
        <f t="shared" si="13"/>
        <v>0.16615726759733412</v>
      </c>
      <c r="AJ15" s="102">
        <f t="shared" si="14"/>
        <v>0.17128220740783875</v>
      </c>
      <c r="AK15" s="101">
        <f t="shared" si="15"/>
        <v>0.14753119850004687</v>
      </c>
      <c r="AL15" s="102">
        <f t="shared" si="16"/>
        <v>0.1638796170497753</v>
      </c>
    </row>
    <row r="16" spans="2:38" x14ac:dyDescent="0.25">
      <c r="B16" s="63" t="s">
        <v>8</v>
      </c>
      <c r="C16" s="64">
        <v>5.6</v>
      </c>
      <c r="D16" s="65">
        <v>5.6</v>
      </c>
      <c r="F16" s="30" t="s">
        <v>8</v>
      </c>
      <c r="G16" s="47">
        <v>5.6</v>
      </c>
      <c r="H16" s="40"/>
      <c r="I16" s="57" t="s">
        <v>8</v>
      </c>
      <c r="J16" s="35">
        <f>5.6</f>
        <v>5.6</v>
      </c>
      <c r="M16" s="85">
        <v>0.2</v>
      </c>
      <c r="N16" s="2">
        <v>500</v>
      </c>
      <c r="O16" s="45">
        <f t="shared" si="0"/>
        <v>86400</v>
      </c>
      <c r="P16" s="45">
        <f t="shared" si="1"/>
        <v>77760</v>
      </c>
      <c r="Q16" s="45">
        <f t="shared" si="2"/>
        <v>8640</v>
      </c>
      <c r="R16" s="45">
        <f t="shared" si="3"/>
        <v>25000</v>
      </c>
      <c r="S16" s="45">
        <f t="shared" si="4"/>
        <v>61400</v>
      </c>
      <c r="T16" s="37">
        <f t="shared" si="5"/>
        <v>12804.658163394177</v>
      </c>
      <c r="U16" s="37">
        <f t="shared" si="6"/>
        <v>10671.695016603584</v>
      </c>
      <c r="V16" s="91">
        <f t="shared" si="17"/>
        <v>11560.429661099663</v>
      </c>
      <c r="W16" s="92"/>
      <c r="X16" s="92"/>
      <c r="Y16" s="92">
        <f t="shared" si="7"/>
        <v>12723.884917409272</v>
      </c>
      <c r="Z16" s="92">
        <f t="shared" si="8"/>
        <v>11512.0783827096</v>
      </c>
      <c r="AA16" s="93">
        <f t="shared" si="18"/>
        <v>11916.013894276157</v>
      </c>
      <c r="AB16" s="94">
        <f t="shared" si="9"/>
        <v>12966.878496489344</v>
      </c>
      <c r="AC16" s="95">
        <f t="shared" si="10"/>
        <v>10859.125046585987</v>
      </c>
      <c r="AD16" s="91">
        <f t="shared" si="19"/>
        <v>11737.355650712385</v>
      </c>
      <c r="AE16" s="92">
        <f t="shared" si="11"/>
        <v>13112.164058474262</v>
      </c>
      <c r="AF16" s="92">
        <f t="shared" si="12"/>
        <v>12498.229607863748</v>
      </c>
      <c r="AG16" s="93">
        <f t="shared" si="20"/>
        <v>12702.87442473392</v>
      </c>
      <c r="AI16" s="101">
        <f t="shared" si="13"/>
        <v>0.13380126922569055</v>
      </c>
      <c r="AJ16" s="102">
        <f t="shared" si="14"/>
        <v>0.1379168274800481</v>
      </c>
      <c r="AK16" s="101">
        <f t="shared" si="15"/>
        <v>0.13584902373509705</v>
      </c>
      <c r="AL16" s="102">
        <f t="shared" si="16"/>
        <v>0.14702400954553149</v>
      </c>
    </row>
    <row r="17" spans="2:38" x14ac:dyDescent="0.25">
      <c r="B17" s="106" t="s">
        <v>9</v>
      </c>
      <c r="C17" s="107">
        <f>SUM(C23,C22)</f>
        <v>3.9899999999999998E-2</v>
      </c>
      <c r="D17" s="108">
        <f>SUM(D23,D22)</f>
        <v>3.9899999999999998E-2</v>
      </c>
      <c r="F17" s="110" t="s">
        <v>9</v>
      </c>
      <c r="G17" s="111">
        <f>SUM(G23,G22)</f>
        <v>4.0999999999999995E-2</v>
      </c>
      <c r="H17" s="37"/>
      <c r="I17" s="112" t="s">
        <v>9</v>
      </c>
      <c r="J17" s="113">
        <f>SUM(J23,J22)</f>
        <v>4.0999999999999995E-2</v>
      </c>
      <c r="M17" s="85">
        <v>0.25</v>
      </c>
      <c r="N17" s="2">
        <v>500</v>
      </c>
      <c r="O17" s="45">
        <f t="shared" si="0"/>
        <v>108000</v>
      </c>
      <c r="P17" s="45">
        <f t="shared" si="1"/>
        <v>97200</v>
      </c>
      <c r="Q17" s="45">
        <f t="shared" si="2"/>
        <v>10800</v>
      </c>
      <c r="R17" s="45">
        <f t="shared" si="3"/>
        <v>25000</v>
      </c>
      <c r="S17" s="45">
        <f t="shared" si="4"/>
        <v>83000</v>
      </c>
      <c r="T17" s="37">
        <f t="shared" si="5"/>
        <v>13636.053781922721</v>
      </c>
      <c r="U17" s="37">
        <f t="shared" si="6"/>
        <v>11438.02166758448</v>
      </c>
      <c r="V17" s="91">
        <f t="shared" si="17"/>
        <v>12353.868381892078</v>
      </c>
      <c r="W17" s="92"/>
      <c r="X17" s="92"/>
      <c r="Y17" s="92">
        <f t="shared" si="7"/>
        <v>13608.671510349091</v>
      </c>
      <c r="Z17" s="92">
        <f t="shared" si="8"/>
        <v>12295.075367611998</v>
      </c>
      <c r="AA17" s="93">
        <f t="shared" si="18"/>
        <v>12732.940748524363</v>
      </c>
      <c r="AB17" s="94">
        <f t="shared" si="9"/>
        <v>15374.657277561681</v>
      </c>
      <c r="AC17" s="95">
        <f t="shared" si="10"/>
        <v>12871.855610807481</v>
      </c>
      <c r="AD17" s="91">
        <f t="shared" si="19"/>
        <v>13914.689638621732</v>
      </c>
      <c r="AE17" s="92">
        <f t="shared" si="11"/>
        <v>15226.074110229078</v>
      </c>
      <c r="AF17" s="92">
        <f t="shared" si="12"/>
        <v>14566.487441849058</v>
      </c>
      <c r="AG17" s="93">
        <f t="shared" si="20"/>
        <v>14786.349664642397</v>
      </c>
      <c r="AI17" s="101">
        <f t="shared" si="13"/>
        <v>0.11438767020270443</v>
      </c>
      <c r="AJ17" s="102">
        <f t="shared" si="14"/>
        <v>0.11789759952337373</v>
      </c>
      <c r="AK17" s="101">
        <f t="shared" si="15"/>
        <v>0.12883971887612716</v>
      </c>
      <c r="AL17" s="102">
        <f t="shared" si="16"/>
        <v>0.13691064504298517</v>
      </c>
    </row>
    <row r="18" spans="2:38" ht="16.5" thickBot="1" x14ac:dyDescent="0.3">
      <c r="B18" s="120"/>
      <c r="C18" s="109"/>
      <c r="D18" s="121"/>
      <c r="F18" s="118"/>
      <c r="G18" s="119"/>
      <c r="H18" s="41"/>
      <c r="I18" s="116"/>
      <c r="J18" s="117"/>
      <c r="K18" s="77"/>
      <c r="M18" s="86">
        <v>0.3</v>
      </c>
      <c r="N18" s="19">
        <v>500</v>
      </c>
      <c r="O18" s="87">
        <f t="shared" si="0"/>
        <v>129600</v>
      </c>
      <c r="P18" s="87">
        <f t="shared" si="1"/>
        <v>116640</v>
      </c>
      <c r="Q18" s="87">
        <f t="shared" si="2"/>
        <v>12960</v>
      </c>
      <c r="R18" s="87">
        <f t="shared" si="3"/>
        <v>25000</v>
      </c>
      <c r="S18" s="87">
        <f t="shared" si="4"/>
        <v>104600</v>
      </c>
      <c r="T18" s="88">
        <f t="shared" si="5"/>
        <v>14467.449400451265</v>
      </c>
      <c r="U18" s="88">
        <f t="shared" si="6"/>
        <v>12204.348318565379</v>
      </c>
      <c r="V18" s="96">
        <f t="shared" si="17"/>
        <v>13147.307102684499</v>
      </c>
      <c r="W18" s="97"/>
      <c r="X18" s="97"/>
      <c r="Y18" s="97">
        <f t="shared" si="7"/>
        <v>14493.458103288907</v>
      </c>
      <c r="Z18" s="97">
        <f t="shared" si="8"/>
        <v>13078.072352514399</v>
      </c>
      <c r="AA18" s="98">
        <f t="shared" si="18"/>
        <v>13549.867602772569</v>
      </c>
      <c r="AB18" s="99">
        <f t="shared" si="9"/>
        <v>17782.436058634015</v>
      </c>
      <c r="AC18" s="100">
        <f t="shared" si="10"/>
        <v>14884.586175028977</v>
      </c>
      <c r="AD18" s="96">
        <f t="shared" si="19"/>
        <v>16092.023626531076</v>
      </c>
      <c r="AE18" s="97">
        <f t="shared" si="11"/>
        <v>17339.984161983892</v>
      </c>
      <c r="AF18" s="97">
        <f t="shared" si="12"/>
        <v>16634.745275834372</v>
      </c>
      <c r="AG18" s="98">
        <f t="shared" si="20"/>
        <v>16869.824904550878</v>
      </c>
      <c r="AI18" s="103">
        <f t="shared" si="13"/>
        <v>0.10144527085404706</v>
      </c>
      <c r="AJ18" s="104">
        <f t="shared" si="14"/>
        <v>0.10455144755225748</v>
      </c>
      <c r="AK18" s="103">
        <f t="shared" si="15"/>
        <v>0.1241668489701472</v>
      </c>
      <c r="AL18" s="104">
        <f t="shared" si="16"/>
        <v>0.13016840204128763</v>
      </c>
    </row>
    <row r="19" spans="2:38" x14ac:dyDescent="0.25">
      <c r="B19" s="146" t="s">
        <v>38</v>
      </c>
      <c r="C19" s="147"/>
      <c r="D19" s="148"/>
      <c r="F19" s="144" t="s">
        <v>38</v>
      </c>
      <c r="G19" s="145"/>
      <c r="H19" s="41"/>
      <c r="I19" s="142" t="s">
        <v>38</v>
      </c>
      <c r="J19" s="143"/>
      <c r="M19" s="26"/>
      <c r="O19" s="27"/>
      <c r="P19" s="27"/>
      <c r="Q19" s="27"/>
      <c r="R19" s="27"/>
      <c r="S19" s="27"/>
    </row>
    <row r="20" spans="2:38" x14ac:dyDescent="0.25">
      <c r="B20" s="122" t="s">
        <v>11</v>
      </c>
      <c r="C20" s="123">
        <v>0</v>
      </c>
      <c r="D20" s="124">
        <v>0</v>
      </c>
      <c r="F20" s="125" t="s">
        <v>11</v>
      </c>
      <c r="G20" s="126">
        <v>0</v>
      </c>
      <c r="H20" s="38"/>
      <c r="I20" s="127" t="s">
        <v>11</v>
      </c>
      <c r="J20" s="128">
        <v>0</v>
      </c>
      <c r="M20" s="26"/>
      <c r="O20" s="27"/>
      <c r="P20" s="27"/>
      <c r="Q20" s="27"/>
      <c r="R20" s="27"/>
      <c r="S20" s="27"/>
    </row>
    <row r="21" spans="2:38" x14ac:dyDescent="0.25">
      <c r="B21" s="63" t="s">
        <v>12</v>
      </c>
      <c r="C21" s="68">
        <v>-3.9100000000000003E-2</v>
      </c>
      <c r="D21" s="69">
        <v>-2.4199999999999999E-2</v>
      </c>
      <c r="F21" s="30" t="s">
        <v>12</v>
      </c>
      <c r="G21" s="49">
        <v>-4.99E-2</v>
      </c>
      <c r="H21" s="39"/>
      <c r="I21" s="32" t="s">
        <v>12</v>
      </c>
      <c r="J21" s="36">
        <v>-2.7099999999999999E-2</v>
      </c>
      <c r="M21" s="26"/>
      <c r="O21" s="27"/>
      <c r="P21" s="27"/>
      <c r="Q21" s="27"/>
      <c r="R21" s="27"/>
      <c r="S21" s="27"/>
    </row>
    <row r="22" spans="2:38" x14ac:dyDescent="0.25">
      <c r="B22" s="63" t="s">
        <v>13</v>
      </c>
      <c r="C22" s="68">
        <v>3.8999999999999998E-3</v>
      </c>
      <c r="D22" s="69">
        <v>3.8999999999999998E-3</v>
      </c>
      <c r="F22" s="30" t="s">
        <v>13</v>
      </c>
      <c r="G22" s="49">
        <v>4.0000000000000001E-3</v>
      </c>
      <c r="H22" s="39"/>
      <c r="I22" s="32" t="s">
        <v>13</v>
      </c>
      <c r="J22" s="36">
        <v>4.0000000000000001E-3</v>
      </c>
      <c r="M22" s="26"/>
      <c r="O22" s="27"/>
      <c r="P22" s="27"/>
      <c r="Q22" s="27"/>
      <c r="R22" s="27"/>
      <c r="S22" s="27"/>
    </row>
    <row r="23" spans="2:38" x14ac:dyDescent="0.25">
      <c r="B23" s="63" t="s">
        <v>14</v>
      </c>
      <c r="C23" s="68">
        <v>3.5999999999999997E-2</v>
      </c>
      <c r="D23" s="69">
        <v>3.5999999999999997E-2</v>
      </c>
      <c r="F23" s="30" t="s">
        <v>14</v>
      </c>
      <c r="G23" s="49">
        <v>3.6999999999999998E-2</v>
      </c>
      <c r="H23" s="39"/>
      <c r="I23" s="32" t="s">
        <v>14</v>
      </c>
      <c r="J23" s="36">
        <v>3.6999999999999998E-2</v>
      </c>
    </row>
    <row r="24" spans="2:38" x14ac:dyDescent="0.25">
      <c r="B24" s="63" t="s">
        <v>15</v>
      </c>
      <c r="C24" s="68">
        <v>1.06E-2</v>
      </c>
      <c r="D24" s="69">
        <v>1.06E-2</v>
      </c>
      <c r="F24" s="30" t="s">
        <v>15</v>
      </c>
      <c r="G24" s="49">
        <v>1.61E-2</v>
      </c>
      <c r="H24" s="39"/>
      <c r="I24" s="32" t="s">
        <v>15</v>
      </c>
      <c r="J24" s="36">
        <v>1.61E-2</v>
      </c>
    </row>
    <row r="25" spans="2:38" x14ac:dyDescent="0.25">
      <c r="B25" s="63" t="s">
        <v>16</v>
      </c>
      <c r="C25" s="68">
        <v>-6.9999999999999999E-4</v>
      </c>
      <c r="D25" s="69">
        <v>-6.9999999999999999E-4</v>
      </c>
      <c r="F25" s="30" t="s">
        <v>16</v>
      </c>
      <c r="G25" s="49">
        <v>-8.9999999999999998E-4</v>
      </c>
      <c r="H25" s="39"/>
      <c r="I25" s="32" t="s">
        <v>16</v>
      </c>
      <c r="J25" s="36">
        <v>-8.9999999999999998E-4</v>
      </c>
    </row>
    <row r="26" spans="2:38" ht="16.5" thickBot="1" x14ac:dyDescent="0.3">
      <c r="B26" s="71" t="s">
        <v>17</v>
      </c>
      <c r="C26" s="73">
        <f>SUM(C24,C25,C21)</f>
        <v>-2.9200000000000004E-2</v>
      </c>
      <c r="D26" s="72">
        <f>SUM(D24,D25,D21)</f>
        <v>-1.4299999999999998E-2</v>
      </c>
      <c r="F26" s="31" t="s">
        <v>17</v>
      </c>
      <c r="G26" s="74">
        <f>SUM(G24,G25,G21)</f>
        <v>-3.4700000000000002E-2</v>
      </c>
      <c r="H26" s="39"/>
      <c r="I26" s="75" t="s">
        <v>17</v>
      </c>
      <c r="J26" s="76">
        <f>SUM(J24,J25,J21)</f>
        <v>-1.1899999999999999E-2</v>
      </c>
    </row>
    <row r="28" spans="2:38" ht="15.6" customHeight="1" x14ac:dyDescent="0.25">
      <c r="B28" s="132" t="s">
        <v>56</v>
      </c>
      <c r="C28" s="132"/>
      <c r="D28" s="132"/>
      <c r="E28" s="132"/>
      <c r="F28" s="132"/>
      <c r="G28" s="132"/>
      <c r="H28" s="132"/>
      <c r="I28" s="132"/>
      <c r="J28" s="132"/>
    </row>
    <row r="29" spans="2:38" x14ac:dyDescent="0.25">
      <c r="B29" s="132"/>
      <c r="C29" s="132"/>
      <c r="D29" s="132"/>
      <c r="E29" s="132"/>
      <c r="F29" s="132"/>
      <c r="G29" s="132"/>
      <c r="H29" s="132"/>
      <c r="I29" s="132"/>
      <c r="J29" s="132"/>
      <c r="R29" s="44"/>
    </row>
    <row r="30" spans="2:38" x14ac:dyDescent="0.25">
      <c r="B30" s="132"/>
      <c r="C30" s="132"/>
      <c r="D30" s="132"/>
      <c r="E30" s="132"/>
      <c r="F30" s="132"/>
      <c r="G30" s="132"/>
      <c r="H30" s="132"/>
      <c r="I30" s="132"/>
      <c r="J30" s="132"/>
    </row>
    <row r="31" spans="2:38" ht="51" customHeight="1" x14ac:dyDescent="0.25"/>
  </sheetData>
  <mergeCells count="22">
    <mergeCell ref="B28:J30"/>
    <mergeCell ref="L3:M3"/>
    <mergeCell ref="L4:M4"/>
    <mergeCell ref="L5:N5"/>
    <mergeCell ref="B10:D10"/>
    <mergeCell ref="I10:J10"/>
    <mergeCell ref="F10:G10"/>
    <mergeCell ref="I19:J19"/>
    <mergeCell ref="F19:G19"/>
    <mergeCell ref="B19:D19"/>
    <mergeCell ref="B11:D11"/>
    <mergeCell ref="F11:G11"/>
    <mergeCell ref="I11:J11"/>
    <mergeCell ref="I3:J3"/>
    <mergeCell ref="F3:G3"/>
    <mergeCell ref="B3:D3"/>
    <mergeCell ref="V8:AG8"/>
    <mergeCell ref="AI8:AL8"/>
    <mergeCell ref="V9:AA9"/>
    <mergeCell ref="AD9:AG9"/>
    <mergeCell ref="AI9:AJ9"/>
    <mergeCell ref="AK9:AL9"/>
  </mergeCells>
  <conditionalFormatting sqref="AI11:AJ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11:AL1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1:AA1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:AG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landscape" r:id="rId1"/>
  <headerFooter>
    <oddHeader>&amp;RWRA Exhibit__(AJK-2) Schedule 6 and 6A Computations
Docket No. 20-035-04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19" sqref="F19"/>
    </sheetView>
  </sheetViews>
  <sheetFormatPr defaultColWidth="11.125" defaultRowHeight="15.75" x14ac:dyDescent="0.25"/>
  <cols>
    <col min="2" max="2" width="13.125" customWidth="1"/>
  </cols>
  <sheetData>
    <row r="1" spans="1:12" ht="16.5" thickBot="1" x14ac:dyDescent="0.3">
      <c r="A1" t="s">
        <v>22</v>
      </c>
    </row>
    <row r="2" spans="1:12" ht="16.5" thickBot="1" x14ac:dyDescent="0.3">
      <c r="F2" s="149" t="s">
        <v>21</v>
      </c>
      <c r="G2" s="150"/>
      <c r="H2" s="150"/>
      <c r="I2" s="150" t="s">
        <v>1</v>
      </c>
      <c r="J2" s="150"/>
      <c r="K2" s="150" t="s">
        <v>2</v>
      </c>
      <c r="L2" s="151"/>
    </row>
    <row r="3" spans="1:12" x14ac:dyDescent="0.25">
      <c r="B3" s="7" t="s">
        <v>0</v>
      </c>
      <c r="C3" s="8" t="s">
        <v>1</v>
      </c>
      <c r="D3" s="9" t="s">
        <v>2</v>
      </c>
      <c r="F3" s="10" t="s">
        <v>18</v>
      </c>
      <c r="G3" s="2" t="s">
        <v>19</v>
      </c>
      <c r="H3" s="2" t="s">
        <v>20</v>
      </c>
      <c r="I3" s="2" t="s">
        <v>3</v>
      </c>
      <c r="J3" s="2" t="s">
        <v>10</v>
      </c>
      <c r="K3" s="2" t="s">
        <v>3</v>
      </c>
      <c r="L3" s="11" t="s">
        <v>10</v>
      </c>
    </row>
    <row r="4" spans="1:12" x14ac:dyDescent="0.25">
      <c r="B4" s="10" t="s">
        <v>3</v>
      </c>
      <c r="C4" s="2"/>
      <c r="D4" s="11"/>
      <c r="F4" s="10">
        <v>5000</v>
      </c>
      <c r="G4" s="2">
        <v>50</v>
      </c>
      <c r="H4" s="18">
        <f>F4/(G4*8760)</f>
        <v>1.1415525114155251E-2</v>
      </c>
      <c r="I4" s="3">
        <f>(($C$5+($C$6*$G4+($C$8/100)*$F4)*(1+$C$26)*(1+$C$10)+$C$16))</f>
        <v>1198.8563355874999</v>
      </c>
      <c r="J4" s="3">
        <f>(($C$12+($C$13*$G4+($C$15/100)*$F4)*(1+$C$26)*(1+$C$17))+$C$16)</f>
        <v>995.6499965375001</v>
      </c>
      <c r="K4" s="3">
        <f>(($D$5+($D$6*$G4+($D$8/100)*$F4)*(1+$D$26)*(1+$D$10)+$D$16))</f>
        <v>1179.0478568386791</v>
      </c>
      <c r="L4" s="12">
        <f>(($D$12+($D$13*$G4+($D$15/100)*$F4)*(1+$D$26)*(1+$D$17))+$D$16)</f>
        <v>1074.8939936478801</v>
      </c>
    </row>
    <row r="5" spans="1:12" x14ac:dyDescent="0.25">
      <c r="B5" s="10" t="s">
        <v>4</v>
      </c>
      <c r="C5" s="3">
        <v>54</v>
      </c>
      <c r="D5" s="12">
        <v>55</v>
      </c>
      <c r="F5" s="10">
        <v>10000</v>
      </c>
      <c r="G5" s="2">
        <v>50</v>
      </c>
      <c r="H5" s="18">
        <f t="shared" ref="H5:H18" si="0">F5/(G5*8760)</f>
        <v>2.2831050228310501E-2</v>
      </c>
      <c r="I5" s="3">
        <f t="shared" ref="I5:I18" si="1">(($C$5+($C$6*$G5+($C$8/100)*$F5)*(1+$C$26)*(1+$C$10)+$C$16))</f>
        <v>1392.141638675</v>
      </c>
      <c r="J5" s="3">
        <f t="shared" ref="J5:J18" si="2">(($C$12+($C$13*$G5+($C$15/100)*$F5)*(1+$C$26)*(1+$C$17))+$C$16)</f>
        <v>1173.8078743250001</v>
      </c>
      <c r="K5" s="3">
        <f t="shared" ref="K5:K18" si="3">(($D$5+($D$6*$G5+($D$8/100)*$F5)*(1+$D$26)*(1+$D$10)+$D$16))</f>
        <v>1384.1089077773584</v>
      </c>
      <c r="L5" s="12">
        <f t="shared" ref="L5:L18" si="4">(($D$12+($D$13*$G5+($D$15/100)*$F5)*(1+$D$26)*(1+$D$17))+$D$16)</f>
        <v>1256.3639502307603</v>
      </c>
    </row>
    <row r="6" spans="1:12" x14ac:dyDescent="0.25">
      <c r="B6" s="10" t="s">
        <v>5</v>
      </c>
      <c r="C6" s="3">
        <v>18.66</v>
      </c>
      <c r="D6" s="12">
        <v>17.8</v>
      </c>
      <c r="F6" s="10">
        <v>20000</v>
      </c>
      <c r="G6" s="2">
        <v>50</v>
      </c>
      <c r="H6" s="18">
        <f t="shared" si="0"/>
        <v>4.5662100456621002E-2</v>
      </c>
      <c r="I6" s="3">
        <f t="shared" si="1"/>
        <v>1778.7122448499999</v>
      </c>
      <c r="J6" s="3">
        <f t="shared" si="2"/>
        <v>1530.1236299000002</v>
      </c>
      <c r="K6" s="3">
        <f t="shared" si="3"/>
        <v>1794.2310096547164</v>
      </c>
      <c r="L6" s="12">
        <f t="shared" si="4"/>
        <v>1619.3038633965205</v>
      </c>
    </row>
    <row r="7" spans="1:12" x14ac:dyDescent="0.25">
      <c r="B7" s="10" t="s">
        <v>6</v>
      </c>
      <c r="C7" s="3">
        <v>-0.96</v>
      </c>
      <c r="D7" s="12">
        <v>-0.96</v>
      </c>
      <c r="F7" s="10">
        <v>20000</v>
      </c>
      <c r="G7" s="2">
        <v>100</v>
      </c>
      <c r="H7" s="18">
        <f t="shared" si="0"/>
        <v>2.2831050228310501E-2</v>
      </c>
      <c r="I7" s="3">
        <f t="shared" si="1"/>
        <v>2724.68327735</v>
      </c>
      <c r="J7" s="3">
        <f t="shared" si="2"/>
        <v>2288.0157486500002</v>
      </c>
      <c r="K7" s="3">
        <f t="shared" si="3"/>
        <v>2707.6178155547168</v>
      </c>
      <c r="L7" s="12">
        <f t="shared" si="4"/>
        <v>2452.1279004615208</v>
      </c>
    </row>
    <row r="8" spans="1:12" x14ac:dyDescent="0.25">
      <c r="B8" s="10" t="s">
        <v>7</v>
      </c>
      <c r="C8" s="4">
        <v>3.8127</v>
      </c>
      <c r="D8" s="13">
        <v>3.996211334706</v>
      </c>
      <c r="F8" s="10">
        <v>40000</v>
      </c>
      <c r="G8" s="2">
        <v>100</v>
      </c>
      <c r="H8" s="18">
        <f t="shared" si="0"/>
        <v>4.5662100456621002E-2</v>
      </c>
      <c r="I8" s="3">
        <f t="shared" si="1"/>
        <v>3497.8244897</v>
      </c>
      <c r="J8" s="3">
        <f t="shared" si="2"/>
        <v>3000.6472598000005</v>
      </c>
      <c r="K8" s="3">
        <f t="shared" si="3"/>
        <v>3527.862019309433</v>
      </c>
      <c r="L8" s="12">
        <f t="shared" si="4"/>
        <v>3178.007726793041</v>
      </c>
    </row>
    <row r="9" spans="1:12" x14ac:dyDescent="0.25">
      <c r="B9" s="10" t="s">
        <v>8</v>
      </c>
      <c r="C9" s="3">
        <v>5.6</v>
      </c>
      <c r="D9" s="12">
        <v>5.6</v>
      </c>
      <c r="F9" s="10">
        <v>60000</v>
      </c>
      <c r="G9" s="2">
        <v>100</v>
      </c>
      <c r="H9" s="18">
        <f t="shared" si="0"/>
        <v>6.8493150684931503E-2</v>
      </c>
      <c r="I9" s="3">
        <f t="shared" si="1"/>
        <v>4270.9657020499999</v>
      </c>
      <c r="J9" s="3">
        <f t="shared" si="2"/>
        <v>3713.2787709499999</v>
      </c>
      <c r="K9" s="3">
        <f t="shared" si="3"/>
        <v>4348.1062230641519</v>
      </c>
      <c r="L9" s="12">
        <f t="shared" si="4"/>
        <v>3903.8875531245612</v>
      </c>
    </row>
    <row r="10" spans="1:12" x14ac:dyDescent="0.25">
      <c r="B10" s="10" t="s">
        <v>9</v>
      </c>
      <c r="C10" s="5">
        <v>3.9899999999999998E-2</v>
      </c>
      <c r="D10" s="14">
        <v>3.9899999999999998E-2</v>
      </c>
      <c r="F10" s="10">
        <v>40000</v>
      </c>
      <c r="G10" s="2">
        <v>200</v>
      </c>
      <c r="H10" s="18">
        <f t="shared" si="0"/>
        <v>2.2831050228310501E-2</v>
      </c>
      <c r="I10" s="3">
        <f t="shared" si="1"/>
        <v>5389.7665547000006</v>
      </c>
      <c r="J10" s="3">
        <f t="shared" si="2"/>
        <v>4516.431497300001</v>
      </c>
      <c r="K10" s="3">
        <f t="shared" si="3"/>
        <v>5354.6356311094341</v>
      </c>
      <c r="L10" s="12">
        <f t="shared" si="4"/>
        <v>4843.6558009230421</v>
      </c>
    </row>
    <row r="11" spans="1:12" x14ac:dyDescent="0.25">
      <c r="B11" s="10" t="s">
        <v>10</v>
      </c>
      <c r="C11" s="2"/>
      <c r="D11" s="11"/>
      <c r="F11" s="10">
        <v>80000</v>
      </c>
      <c r="G11" s="2">
        <v>200</v>
      </c>
      <c r="H11" s="18">
        <f t="shared" si="0"/>
        <v>4.5662100456621002E-2</v>
      </c>
      <c r="I11" s="3">
        <f t="shared" si="1"/>
        <v>6936.0489794000005</v>
      </c>
      <c r="J11" s="3">
        <f t="shared" si="2"/>
        <v>5941.6945196000015</v>
      </c>
      <c r="K11" s="3">
        <f t="shared" si="3"/>
        <v>6995.1240386188665</v>
      </c>
      <c r="L11" s="12">
        <f t="shared" si="4"/>
        <v>6295.4154535860825</v>
      </c>
    </row>
    <row r="12" spans="1:12" x14ac:dyDescent="0.25">
      <c r="B12" s="10" t="s">
        <v>4</v>
      </c>
      <c r="C12" s="3">
        <v>54</v>
      </c>
      <c r="D12" s="12">
        <v>55</v>
      </c>
      <c r="F12" s="10">
        <v>120000</v>
      </c>
      <c r="G12" s="2">
        <v>200</v>
      </c>
      <c r="H12" s="18">
        <f t="shared" si="0"/>
        <v>6.8493150684931503E-2</v>
      </c>
      <c r="I12" s="3">
        <f t="shared" si="1"/>
        <v>8482.3314040999994</v>
      </c>
      <c r="J12" s="3">
        <f t="shared" si="2"/>
        <v>7366.9575419000003</v>
      </c>
      <c r="K12" s="3">
        <f t="shared" si="3"/>
        <v>8635.6124461283034</v>
      </c>
      <c r="L12" s="12">
        <f t="shared" si="4"/>
        <v>7747.175106249123</v>
      </c>
    </row>
    <row r="13" spans="1:12" x14ac:dyDescent="0.25">
      <c r="B13" s="10" t="s">
        <v>5</v>
      </c>
      <c r="C13" s="3">
        <v>14.95</v>
      </c>
      <c r="D13" s="12">
        <v>16.23</v>
      </c>
      <c r="F13" s="10">
        <v>100000</v>
      </c>
      <c r="G13" s="2">
        <v>500</v>
      </c>
      <c r="H13" s="18">
        <f t="shared" si="0"/>
        <v>2.2831050228310501E-2</v>
      </c>
      <c r="I13" s="3">
        <f t="shared" si="1"/>
        <v>13385.016386750001</v>
      </c>
      <c r="J13" s="3">
        <f t="shared" si="2"/>
        <v>11201.67874325</v>
      </c>
      <c r="K13" s="3">
        <f t="shared" si="3"/>
        <v>13295.689077773584</v>
      </c>
      <c r="L13" s="12">
        <f t="shared" si="4"/>
        <v>12018.239502307604</v>
      </c>
    </row>
    <row r="14" spans="1:12" x14ac:dyDescent="0.25">
      <c r="B14" s="10" t="s">
        <v>6</v>
      </c>
      <c r="C14" s="3">
        <v>-0.96</v>
      </c>
      <c r="D14" s="12">
        <v>-0.96</v>
      </c>
      <c r="F14" s="10">
        <v>200000</v>
      </c>
      <c r="G14" s="2">
        <v>500</v>
      </c>
      <c r="H14" s="18">
        <f t="shared" si="0"/>
        <v>4.5662100456621002E-2</v>
      </c>
      <c r="I14" s="3">
        <f t="shared" si="1"/>
        <v>17250.722448499997</v>
      </c>
      <c r="J14" s="3">
        <f t="shared" si="2"/>
        <v>14764.836299000001</v>
      </c>
      <c r="K14" s="3">
        <f t="shared" si="3"/>
        <v>17396.910096547166</v>
      </c>
      <c r="L14" s="12">
        <f t="shared" si="4"/>
        <v>15647.638633965207</v>
      </c>
    </row>
    <row r="15" spans="1:12" x14ac:dyDescent="0.25">
      <c r="B15" s="10" t="s">
        <v>7</v>
      </c>
      <c r="C15" s="6">
        <v>3.5143</v>
      </c>
      <c r="D15" s="13">
        <v>3.5364702077039998</v>
      </c>
      <c r="F15" s="10">
        <v>300000</v>
      </c>
      <c r="G15" s="2">
        <v>500</v>
      </c>
      <c r="H15" s="18">
        <f t="shared" si="0"/>
        <v>6.8493150684931503E-2</v>
      </c>
      <c r="I15" s="3">
        <f t="shared" si="1"/>
        <v>21116.42851025</v>
      </c>
      <c r="J15" s="3">
        <f t="shared" si="2"/>
        <v>18327.993854749999</v>
      </c>
      <c r="K15" s="3">
        <f t="shared" si="3"/>
        <v>21498.13111532075</v>
      </c>
      <c r="L15" s="12">
        <f t="shared" si="4"/>
        <v>19277.037765622808</v>
      </c>
    </row>
    <row r="16" spans="1:12" x14ac:dyDescent="0.25">
      <c r="B16" s="10" t="s">
        <v>8</v>
      </c>
      <c r="C16" s="3">
        <v>5.6</v>
      </c>
      <c r="D16" s="12">
        <v>5.6</v>
      </c>
      <c r="F16" s="10">
        <v>200000</v>
      </c>
      <c r="G16" s="2">
        <v>1000</v>
      </c>
      <c r="H16" s="18">
        <f t="shared" si="0"/>
        <v>2.2831050228310501E-2</v>
      </c>
      <c r="I16" s="3">
        <f t="shared" si="1"/>
        <v>26710.432773500001</v>
      </c>
      <c r="J16" s="3">
        <f t="shared" si="2"/>
        <v>22343.757486499999</v>
      </c>
      <c r="K16" s="3">
        <f t="shared" si="3"/>
        <v>26530.778155547167</v>
      </c>
      <c r="L16" s="12">
        <f t="shared" si="4"/>
        <v>23975.879004615206</v>
      </c>
    </row>
    <row r="17" spans="2:12" ht="16.5" thickBot="1" x14ac:dyDescent="0.3">
      <c r="B17" s="15" t="s">
        <v>9</v>
      </c>
      <c r="C17" s="16">
        <v>3.9899999999999998E-2</v>
      </c>
      <c r="D17" s="17">
        <v>3.9899999999999998E-2</v>
      </c>
      <c r="F17" s="10">
        <v>400000</v>
      </c>
      <c r="G17" s="2">
        <v>1000</v>
      </c>
      <c r="H17" s="18">
        <f t="shared" si="0"/>
        <v>4.5662100456621002E-2</v>
      </c>
      <c r="I17" s="3">
        <f t="shared" si="1"/>
        <v>34441.844896999995</v>
      </c>
      <c r="J17" s="3">
        <f t="shared" si="2"/>
        <v>29470.072597999999</v>
      </c>
      <c r="K17" s="3">
        <f t="shared" si="3"/>
        <v>34733.220193094334</v>
      </c>
      <c r="L17" s="12">
        <f t="shared" si="4"/>
        <v>31234.677267930412</v>
      </c>
    </row>
    <row r="18" spans="2:12" ht="16.5" thickBot="1" x14ac:dyDescent="0.3">
      <c r="F18" s="15">
        <v>600000</v>
      </c>
      <c r="G18" s="19">
        <v>1000</v>
      </c>
      <c r="H18" s="20">
        <f t="shared" si="0"/>
        <v>6.8493150684931503E-2</v>
      </c>
      <c r="I18" s="21">
        <f t="shared" si="1"/>
        <v>42173.257020500001</v>
      </c>
      <c r="J18" s="21">
        <f t="shared" si="2"/>
        <v>36596.387709499999</v>
      </c>
      <c r="K18" s="21">
        <f t="shared" si="3"/>
        <v>42935.662230641501</v>
      </c>
      <c r="L18" s="22">
        <f t="shared" si="4"/>
        <v>38493.475531245618</v>
      </c>
    </row>
    <row r="19" spans="2:12" ht="16.5" thickBot="1" x14ac:dyDescent="0.3">
      <c r="D19" s="1"/>
    </row>
    <row r="20" spans="2:12" x14ac:dyDescent="0.25">
      <c r="B20" s="23" t="s">
        <v>11</v>
      </c>
      <c r="C20" s="24">
        <v>0</v>
      </c>
      <c r="D20" s="25">
        <v>0</v>
      </c>
    </row>
    <row r="21" spans="2:12" x14ac:dyDescent="0.25">
      <c r="B21" s="10" t="s">
        <v>12</v>
      </c>
      <c r="C21" s="5">
        <v>-3.61E-2</v>
      </c>
      <c r="D21" s="14">
        <v>-2.4199999999999999E-2</v>
      </c>
    </row>
    <row r="22" spans="2:12" x14ac:dyDescent="0.25">
      <c r="B22" s="10" t="s">
        <v>13</v>
      </c>
      <c r="C22" s="5">
        <v>3.8999999999999998E-3</v>
      </c>
      <c r="D22" s="14">
        <v>3.8999999999999998E-3</v>
      </c>
    </row>
    <row r="23" spans="2:12" x14ac:dyDescent="0.25">
      <c r="B23" s="10" t="s">
        <v>14</v>
      </c>
      <c r="C23" s="5">
        <v>3.5999999999999997E-2</v>
      </c>
      <c r="D23" s="14">
        <v>3.5999999999999997E-2</v>
      </c>
    </row>
    <row r="24" spans="2:12" x14ac:dyDescent="0.25">
      <c r="B24" s="10" t="s">
        <v>15</v>
      </c>
      <c r="C24" s="5">
        <v>1.06E-2</v>
      </c>
      <c r="D24" s="14">
        <v>1.06E-2</v>
      </c>
    </row>
    <row r="25" spans="2:12" x14ac:dyDescent="0.25">
      <c r="B25" s="10" t="s">
        <v>16</v>
      </c>
      <c r="C25" s="5">
        <v>5.0000000000000001E-4</v>
      </c>
      <c r="D25" s="14">
        <v>5.0000000000000001E-4</v>
      </c>
    </row>
    <row r="26" spans="2:12" ht="16.5" thickBot="1" x14ac:dyDescent="0.3">
      <c r="B26" s="15" t="s">
        <v>17</v>
      </c>
      <c r="C26" s="16">
        <v>-2.5000000000000001E-2</v>
      </c>
      <c r="D26" s="17">
        <v>-1.3099999999999999E-2</v>
      </c>
    </row>
  </sheetData>
  <mergeCells count="3">
    <mergeCell ref="F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 6 and 6A</vt:lpstr>
      <vt:lpstr>Sch6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Howe</dc:creator>
  <cp:lastModifiedBy>Fred Nass</cp:lastModifiedBy>
  <cp:lastPrinted>2020-09-14T22:44:41Z</cp:lastPrinted>
  <dcterms:created xsi:type="dcterms:W3CDTF">2020-09-11T16:21:28Z</dcterms:created>
  <dcterms:modified xsi:type="dcterms:W3CDTF">2020-09-15T20:50:40Z</dcterms:modified>
</cp:coreProperties>
</file>