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0\"/>
    </mc:Choice>
  </mc:AlternateContent>
  <bookViews>
    <workbookView xWindow="0" yWindow="0" windowWidth="19080" windowHeight="11520" activeTab="5"/>
  </bookViews>
  <sheets>
    <sheet name="Appendix B.1" sheetId="82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UT CP Wind_2023" sheetId="81" state="hidden" r:id="rId7"/>
    <sheet name="Table 3 WYAE Wind_2024" sheetId="43" state="hidden" r:id="rId8"/>
    <sheet name="Table 3 ID Wind_2030" sheetId="75" state="hidden" r:id="rId9"/>
    <sheet name="Table 3 PV wS UTS_2024" sheetId="67" state="hidden" r:id="rId10"/>
    <sheet name="Table 3 PV wS UTS_2030" sheetId="80" state="hidden" r:id="rId11"/>
    <sheet name="Table 3 PV wS JB_2024" sheetId="71" state="hidden" r:id="rId12"/>
    <sheet name="Table 3 PV wS JB_2029" sheetId="78" state="hidden" r:id="rId13"/>
    <sheet name="Table 3 PV wS SO_2024" sheetId="72" state="hidden" r:id="rId14"/>
    <sheet name="Table 3 PV wS YK_2024" sheetId="73" state="hidden" r:id="rId15"/>
    <sheet name="Table 3 PV wS UTN_2024" sheetId="70" state="hidden" r:id="rId16"/>
    <sheet name="Table 3 185 MW (NTN) 2026)" sheetId="68" r:id="rId17"/>
    <sheet name="Table 3 YK Wind wS_2029" sheetId="76" state="hidden" r:id="rId18"/>
    <sheet name="Table 3 ID Wind wS_2032" sheetId="79" state="hidden" r:id="rId19"/>
    <sheet name="Table 3 TransCost" sheetId="47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16">'Table 1'!$I$17</definedName>
    <definedName name="_30_Geo_West" localSheetId="19">'Table 1'!$I$17</definedName>
    <definedName name="_30_Geo_West" localSheetId="6">'[3]Table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16">'Table 1'!$I$18</definedName>
    <definedName name="_436_CCCT_WestMain" localSheetId="19">'Table 1'!$I$18</definedName>
    <definedName name="_436_CCCT_WestMain" localSheetId="6">'[3]Table 1'!$I$18</definedName>
    <definedName name="_436_CCCT_WestMain">'Table 1'!$I$18</definedName>
    <definedName name="_477_CCCT_WestMain" localSheetId="0">'[2]Table 1'!$I$18</definedName>
    <definedName name="_477_CCCT_WestMain" localSheetId="2">'Table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'Table 1'!$I$19</definedName>
    <definedName name="_635_CCCT_UtahS">'[4]Table 1'!$I$19</definedName>
    <definedName name="_635_CCCT_WyoNE" localSheetId="0">'[2]Table 1'!$I$17</definedName>
    <definedName name="_635_CCCT_WyoNE" localSheetId="2">'Table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 localSheetId="2">'[1]Table 1'!#REF!</definedName>
    <definedName name="_Percent_Last_CCCT" localSheetId="18">'[5]Table 1'!#REF!</definedName>
    <definedName name="_Percent_Last_CCCT" localSheetId="8">'[5]Table 1'!#REF!</definedName>
    <definedName name="_Percent_Last_CCCT" localSheetId="11">'[5]Table 1'!#REF!</definedName>
    <definedName name="_Percent_Last_CCCT" localSheetId="12">'[5]Table 1'!#REF!</definedName>
    <definedName name="_Percent_Last_CCCT" localSheetId="13">'[5]Table 1'!#REF!</definedName>
    <definedName name="_Percent_Last_CCCT" localSheetId="15">'[5]Table 1'!#REF!</definedName>
    <definedName name="_Percent_Last_CCCT" localSheetId="9">'[5]Table 1'!#REF!</definedName>
    <definedName name="_Percent_Last_CCCT" localSheetId="10">'[5]Table 1'!#REF!</definedName>
    <definedName name="_Percent_Last_CCCT" localSheetId="14">'[5]Table 1'!#REF!</definedName>
    <definedName name="_Percent_Last_CCCT" localSheetId="6">'[5]Table 1'!#REF!</definedName>
    <definedName name="_Percent_Last_CCCT" localSheetId="17">'[5]Table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'[6]on off peak hours'!$C$15:$ED$15</definedName>
    <definedName name="dateTable" localSheetId="16">'[6]on off peak hours'!$C$15:$ED$15</definedName>
    <definedName name="dateTable">'[6]on off peak hours'!$C$15:$ED$15</definedName>
    <definedName name="Discount_Rate" localSheetId="0">'[2]Table 1'!$I$39</definedName>
    <definedName name="Discount_Rate">'Table 1'!$I$43</definedName>
    <definedName name="Discount_Rate_2015_IRP" localSheetId="0">'[7]Table 7 to 8'!$AE$43</definedName>
    <definedName name="Discount_Rate_2015_IRP" localSheetId="16">'[8]Table 7 to 8'!$AE$43</definedName>
    <definedName name="Discount_Rate_2015_IRP" localSheetId="18">'[9]Table 7 to 8'!$AE$43</definedName>
    <definedName name="Discount_Rate_2015_IRP" localSheetId="8">'[9]Table 7 to 8'!$AE$43</definedName>
    <definedName name="Discount_Rate_2015_IRP" localSheetId="11">'[9]Table 7 to 8'!$AE$43</definedName>
    <definedName name="Discount_Rate_2015_IRP" localSheetId="12">'[9]Table 7 to 8'!$AE$43</definedName>
    <definedName name="Discount_Rate_2015_IRP" localSheetId="13">'[9]Table 7 to 8'!$AE$43</definedName>
    <definedName name="Discount_Rate_2015_IRP" localSheetId="15">'[9]Table 7 to 8'!$AE$43</definedName>
    <definedName name="Discount_Rate_2015_IRP" localSheetId="9">'[9]Table 7 to 8'!$AE$43</definedName>
    <definedName name="Discount_Rate_2015_IRP" localSheetId="10">'[9]Table 7 to 8'!$AE$43</definedName>
    <definedName name="Discount_Rate_2015_IRP" localSheetId="14">'[9]Table 7 to 8'!$AE$43</definedName>
    <definedName name="Discount_Rate_2015_IRP" localSheetId="19">'[9]Table 7 to 8'!$AE$43</definedName>
    <definedName name="Discount_Rate_2015_IRP" localSheetId="6">'[9]Table 7 to 8'!$AE$43</definedName>
    <definedName name="Discount_Rate_2015_IRP" localSheetId="7">'[9]Table 7 to 8'!$AE$43</definedName>
    <definedName name="Discount_Rate_2015_IRP" localSheetId="17">'[9]Table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 localSheetId="16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 localSheetId="16">'[6]on off peak hours'!$C$16:$ED$20</definedName>
    <definedName name="HoursHoliday">'[6]on off peak hours'!$C$16:$ED$20</definedName>
    <definedName name="Market" localSheetId="0">'[8]OFPC Source'!$J$8:$M$295</definedName>
    <definedName name="Market" localSheetId="16">'[8]OFPC Source'!$J$8:$M$295</definedName>
    <definedName name="Market" localSheetId="18">'[10]OFPC Source'!$J$8:$M$295</definedName>
    <definedName name="Market" localSheetId="8">'[10]OFPC Source'!$J$8:$M$295</definedName>
    <definedName name="Market" localSheetId="11">'[10]OFPC Source'!$J$8:$M$295</definedName>
    <definedName name="Market" localSheetId="12">'[10]OFPC Source'!$J$8:$M$295</definedName>
    <definedName name="Market" localSheetId="13">'[10]OFPC Source'!$J$8:$M$295</definedName>
    <definedName name="Market" localSheetId="15">'[10]OFPC Source'!$J$8:$M$295</definedName>
    <definedName name="Market" localSheetId="9">'[10]OFPC Source'!$J$8:$M$295</definedName>
    <definedName name="Market" localSheetId="10">'[10]OFPC Source'!$J$8:$M$295</definedName>
    <definedName name="Market" localSheetId="14">'[10]OFPC Source'!$J$8:$M$295</definedName>
    <definedName name="Market" localSheetId="19">'[10]OFPC Source'!$J$8:$M$295</definedName>
    <definedName name="Market" localSheetId="6">'[10]OFPC Source'!$J$8:$M$295</definedName>
    <definedName name="Market" localSheetId="7">'[10]OFPC Source'!$J$8:$M$295</definedName>
    <definedName name="Market" localSheetId="17">'[10]OFPC Source'!$J$8:$M$295</definedName>
    <definedName name="Market">'[8]OFPC Source'!$J$8:$M$295</definedName>
    <definedName name="MidC_Flat" localSheetId="0">[11]Market_Price!#REF!</definedName>
    <definedName name="MidC_Flat" localSheetId="2">[11]Market_Price!#REF!</definedName>
    <definedName name="MidC_Flat" localSheetId="18">[11]Market_Price!#REF!</definedName>
    <definedName name="MidC_Flat" localSheetId="8">[11]Market_Price!#REF!</definedName>
    <definedName name="MidC_Flat" localSheetId="11">[11]Market_Price!#REF!</definedName>
    <definedName name="MidC_Flat" localSheetId="12">[11]Market_Price!#REF!</definedName>
    <definedName name="MidC_Flat" localSheetId="13">[11]Market_Price!#REF!</definedName>
    <definedName name="MidC_Flat" localSheetId="15">[11]Market_Price!#REF!</definedName>
    <definedName name="MidC_Flat" localSheetId="9">[11]Market_Price!#REF!</definedName>
    <definedName name="MidC_Flat" localSheetId="10">[11]Market_Price!#REF!</definedName>
    <definedName name="MidC_Flat" localSheetId="14">[11]Market_Price!#REF!</definedName>
    <definedName name="MidC_Flat" localSheetId="6">[11]Market_Price!#REF!</definedName>
    <definedName name="MidC_Flat" localSheetId="17">[11]Market_Price!#REF!</definedName>
    <definedName name="MidC_Flat">[11]Market_Price!#REF!</definedName>
    <definedName name="OR_AC_price" localSheetId="0">#REF!</definedName>
    <definedName name="OR_AC_price" localSheetId="2">#REF!</definedName>
    <definedName name="OR_AC_price" localSheetId="18">#REF!</definedName>
    <definedName name="OR_AC_price" localSheetId="8">#REF!</definedName>
    <definedName name="OR_AC_price" localSheetId="11">#REF!</definedName>
    <definedName name="OR_AC_price" localSheetId="12">#REF!</definedName>
    <definedName name="OR_AC_price" localSheetId="13">#REF!</definedName>
    <definedName name="OR_AC_price" localSheetId="15">#REF!</definedName>
    <definedName name="OR_AC_price" localSheetId="9">#REF!</definedName>
    <definedName name="OR_AC_price" localSheetId="10">#REF!</definedName>
    <definedName name="OR_AC_price" localSheetId="14">#REF!</definedName>
    <definedName name="OR_AC_price" localSheetId="6">#REF!</definedName>
    <definedName name="OR_AC_price" localSheetId="17">#REF!</definedName>
    <definedName name="OR_AC_price">#REF!</definedName>
    <definedName name="_xlnm.Print_Area" localSheetId="0">'Appendix B.1'!$A$1:$M$38</definedName>
    <definedName name="_xlnm.Print_Area" localSheetId="1">'Table 1'!$A$1:$H$70</definedName>
    <definedName name="_xlnm.Print_Area" localSheetId="2">'Table 2'!$B$1:$P$36</definedName>
    <definedName name="_xlnm.Print_Area" localSheetId="16">'Table 3 185 MW (NTN) 2026)'!$A$1:$K$87</definedName>
    <definedName name="_xlnm.Print_Area" localSheetId="18">'Table 3 ID Wind wS_2032'!$A$1:$P$74</definedName>
    <definedName name="_xlnm.Print_Area" localSheetId="8">'Table 3 ID Wind_2030'!$A$1:$P$74</definedName>
    <definedName name="_xlnm.Print_Area" localSheetId="11">'Table 3 PV wS JB_2024'!$A$1:$P$74</definedName>
    <definedName name="_xlnm.Print_Area" localSheetId="12">'Table 3 PV wS JB_2029'!$A$1:$P$74</definedName>
    <definedName name="_xlnm.Print_Area" localSheetId="13">'Table 3 PV wS SO_2024'!$A$1:$P$74</definedName>
    <definedName name="_xlnm.Print_Area" localSheetId="15">'Table 3 PV wS UTN_2024'!$A$1:$P$77</definedName>
    <definedName name="_xlnm.Print_Area" localSheetId="9">'Table 3 PV wS UTS_2024'!$A$1:$P$74</definedName>
    <definedName name="_xlnm.Print_Area" localSheetId="10">'Table 3 PV wS UTS_2030'!$A$1:$P$74</definedName>
    <definedName name="_xlnm.Print_Area" localSheetId="14">'Table 3 PV wS YK_2024'!$A$1:$P$74</definedName>
    <definedName name="_xlnm.Print_Area" localSheetId="19">'Table 3 TransCost'!$A$1:$BD$50</definedName>
    <definedName name="_xlnm.Print_Area" localSheetId="6">'Table 3 UT CP Wind_2023'!$A$1:$N$74</definedName>
    <definedName name="_xlnm.Print_Area" localSheetId="7">'Table 3 WYAE Wind_2024'!$A$1:$Q$74</definedName>
    <definedName name="_xlnm.Print_Area" localSheetId="17">'Table 3 YK Wind wS_2029'!$A$1:$P$74</definedName>
    <definedName name="_xlnm.Print_Area" localSheetId="3">'Table 4'!$A$1:$F$44</definedName>
    <definedName name="_xlnm.Print_Area" localSheetId="5">'Table 5'!$A$1:$H$266</definedName>
    <definedName name="_xlnm.Print_Area" localSheetId="4">Table3ACsummary!$A$1:$M$50</definedName>
    <definedName name="_xlnm.Print_Titles" localSheetId="2">'Table 2'!$1:$9</definedName>
    <definedName name="_xlnm.Print_Titles" localSheetId="16">'Table 3 185 MW (NTN) 2026)'!$1:$6</definedName>
    <definedName name="_xlnm.Print_Titles" localSheetId="5">'Table 5'!$11:$12</definedName>
    <definedName name="RenewableMarketShape" localSheetId="0">'[8]OFPC Source'!$P$5:$U$33</definedName>
    <definedName name="RenewableMarketShape" localSheetId="16">'[8]OFPC Source'!$P$5:$U$33</definedName>
    <definedName name="RenewableMarketShape" localSheetId="18">'[10]OFPC Source'!$P$5:$U$28</definedName>
    <definedName name="RenewableMarketShape" localSheetId="8">'[10]OFPC Source'!$P$5:$U$28</definedName>
    <definedName name="RenewableMarketShape" localSheetId="11">'[10]OFPC Source'!$P$5:$U$28</definedName>
    <definedName name="RenewableMarketShape" localSheetId="12">'[10]OFPC Source'!$P$5:$U$28</definedName>
    <definedName name="RenewableMarketShape" localSheetId="13">'[10]OFPC Source'!$P$5:$U$28</definedName>
    <definedName name="RenewableMarketShape" localSheetId="15">'[10]OFPC Source'!$P$5:$U$28</definedName>
    <definedName name="RenewableMarketShape" localSheetId="9">'[10]OFPC Source'!$P$5:$U$28</definedName>
    <definedName name="RenewableMarketShape" localSheetId="10">'[10]OFPC Source'!$P$5:$U$28</definedName>
    <definedName name="RenewableMarketShape" localSheetId="14">'[10]OFPC Source'!$P$5:$U$28</definedName>
    <definedName name="RenewableMarketShape" localSheetId="19">'[10]OFPC Source'!$P$5:$U$28</definedName>
    <definedName name="RenewableMarketShape" localSheetId="6">'[10]OFPC Source'!$P$5:$U$28</definedName>
    <definedName name="RenewableMarketShape" localSheetId="7">'[10]OFPC Source'!$P$5:$U$28</definedName>
    <definedName name="RenewableMarketShape" localSheetId="17">'[10]OFPC Source'!$P$5:$U$28</definedName>
    <definedName name="RenewableMarketShape">'[8]OFPC Source'!$P$5:$U$33</definedName>
    <definedName name="RevenueSum">"GRID Thermal Revenue!R2C1:R4C2"</definedName>
    <definedName name="Solar_Fixed_integr_cost" localSheetId="0">'[12]Table 10'!$B$46</definedName>
    <definedName name="Solar_Fixed_integr_cost" localSheetId="16">'[12]Table 10'!$B$46</definedName>
    <definedName name="Solar_Fixed_integr_cost">'[12]Table 10'!$B$46</definedName>
    <definedName name="Solar_HLH" localSheetId="0">'[8]OFPC Source'!$U$48</definedName>
    <definedName name="Solar_HLH" localSheetId="16">'[8]OFPC Source'!$U$48</definedName>
    <definedName name="Solar_HLH" localSheetId="18">'[10]OFPC Source'!$U$47</definedName>
    <definedName name="Solar_HLH" localSheetId="8">'[10]OFPC Source'!$U$47</definedName>
    <definedName name="Solar_HLH" localSheetId="11">'[10]OFPC Source'!$U$47</definedName>
    <definedName name="Solar_HLH" localSheetId="12">'[10]OFPC Source'!$U$47</definedName>
    <definedName name="Solar_HLH" localSheetId="13">'[10]OFPC Source'!$U$47</definedName>
    <definedName name="Solar_HLH" localSheetId="15">'[10]OFPC Source'!$U$47</definedName>
    <definedName name="Solar_HLH" localSheetId="9">'[10]OFPC Source'!$U$47</definedName>
    <definedName name="Solar_HLH" localSheetId="10">'[10]OFPC Source'!$U$47</definedName>
    <definedName name="Solar_HLH" localSheetId="14">'[10]OFPC Source'!$U$47</definedName>
    <definedName name="Solar_HLH" localSheetId="19">'[10]OFPC Source'!$U$47</definedName>
    <definedName name="Solar_HLH" localSheetId="6">'[10]OFPC Source'!$U$47</definedName>
    <definedName name="Solar_HLH" localSheetId="7">'[10]OFPC Source'!$U$47</definedName>
    <definedName name="Solar_HLH" localSheetId="17">'[10]OFPC Source'!$U$47</definedName>
    <definedName name="Solar_HLH">'[8]OFPC Source'!$U$48</definedName>
    <definedName name="Solar_LLH" localSheetId="0">'[8]OFPC Source'!$V$48</definedName>
    <definedName name="Solar_LLH" localSheetId="16">'[8]OFPC Source'!$V$48</definedName>
    <definedName name="Solar_LLH" localSheetId="18">'[10]OFPC Source'!$V$47</definedName>
    <definedName name="Solar_LLH" localSheetId="8">'[10]OFPC Source'!$V$47</definedName>
    <definedName name="Solar_LLH" localSheetId="11">'[10]OFPC Source'!$V$47</definedName>
    <definedName name="Solar_LLH" localSheetId="12">'[10]OFPC Source'!$V$47</definedName>
    <definedName name="Solar_LLH" localSheetId="13">'[10]OFPC Source'!$V$47</definedName>
    <definedName name="Solar_LLH" localSheetId="15">'[10]OFPC Source'!$V$47</definedName>
    <definedName name="Solar_LLH" localSheetId="9">'[10]OFPC Source'!$V$47</definedName>
    <definedName name="Solar_LLH" localSheetId="10">'[10]OFPC Source'!$V$47</definedName>
    <definedName name="Solar_LLH" localSheetId="14">'[10]OFPC Source'!$V$47</definedName>
    <definedName name="Solar_LLH" localSheetId="19">'[10]OFPC Source'!$V$47</definedName>
    <definedName name="Solar_LLH" localSheetId="6">'[10]OFPC Source'!$V$47</definedName>
    <definedName name="Solar_LLH" localSheetId="7">'[10]OFPC Source'!$V$47</definedName>
    <definedName name="Solar_LLH" localSheetId="17">'[10]OFPC Source'!$V$47</definedName>
    <definedName name="Solar_LLH">'[8]OFPC Source'!$V$48</definedName>
    <definedName name="Solar_Tracking_integr_cost" localSheetId="0">'[12]Table 10'!$B$45</definedName>
    <definedName name="Solar_Tracking_integr_cost" localSheetId="16">'[12]Table 10'!$B$45</definedName>
    <definedName name="Solar_Tracking_integr_cost">'[12]Table 10'!$B$45</definedName>
    <definedName name="Study_Cap_Adj" localSheetId="0">'[2]Table 1'!$I$8</definedName>
    <definedName name="Study_Cap_Adj" localSheetId="2">'Table 1'!$I$8</definedName>
    <definedName name="Study_Cap_Adj" localSheetId="16">'Table 1'!$I$8</definedName>
    <definedName name="Study_Cap_Adj" localSheetId="19">'Table 1'!$I$8</definedName>
    <definedName name="Study_Cap_Adj" localSheetId="6">'[3]Table 1'!$I$8</definedName>
    <definedName name="Study_Cap_Adj">'Table 1'!$I$8</definedName>
    <definedName name="Study_CF" localSheetId="0">'[2]Table 5'!$M$7</definedName>
    <definedName name="Study_CF">'Table 5'!$M$7</definedName>
    <definedName name="Study_MW" localSheetId="0">'[2]Table 5'!$M$6</definedName>
    <definedName name="Study_MW">'Table 5'!$M$6</definedName>
    <definedName name="Study_Name" localSheetId="18">[6]ImportData!$D$7</definedName>
    <definedName name="Study_Name" localSheetId="8">[6]ImportData!$D$7</definedName>
    <definedName name="Study_Name" localSheetId="11">[6]ImportData!$D$7</definedName>
    <definedName name="Study_Name" localSheetId="12">[6]ImportData!$D$7</definedName>
    <definedName name="Study_Name" localSheetId="13">[6]ImportData!$D$7</definedName>
    <definedName name="Study_Name" localSheetId="15">[6]ImportData!$D$7</definedName>
    <definedName name="Study_Name" localSheetId="9">[6]ImportData!$D$7</definedName>
    <definedName name="Study_Name" localSheetId="10">[6]ImportData!$D$7</definedName>
    <definedName name="Study_Name" localSheetId="14">[6]ImportData!$D$7</definedName>
    <definedName name="Study_Name" localSheetId="19">[6]ImportData!$D$7</definedName>
    <definedName name="Study_Name" localSheetId="6">[6]ImportData!$D$7</definedName>
    <definedName name="Study_Name" localSheetId="7">[6]ImportData!$D$7</definedName>
    <definedName name="Study_Name" localSheetId="17">[6]ImportData!$D$7</definedName>
    <definedName name="ValuationDate" localSheetId="0">#REF!</definedName>
    <definedName name="ValuationDate" localSheetId="2">#REF!</definedName>
    <definedName name="ValuationDate" localSheetId="18">#REF!</definedName>
    <definedName name="ValuationDate" localSheetId="8">#REF!</definedName>
    <definedName name="ValuationDate" localSheetId="11">#REF!</definedName>
    <definedName name="ValuationDate" localSheetId="12">#REF!</definedName>
    <definedName name="ValuationDate" localSheetId="13">#REF!</definedName>
    <definedName name="ValuationDate" localSheetId="15">#REF!</definedName>
    <definedName name="ValuationDate" localSheetId="9">#REF!</definedName>
    <definedName name="ValuationDate" localSheetId="10">#REF!</definedName>
    <definedName name="ValuationDate" localSheetId="14">#REF!</definedName>
    <definedName name="ValuationDate" localSheetId="6">#REF!</definedName>
    <definedName name="ValuationDate" localSheetId="17">#REF!</definedName>
    <definedName name="ValuationDate">#REF!</definedName>
    <definedName name="Wind_Capacity_Contr" localSheetId="0">'[8]Exhibit 2- Std Wind QF '!$E$57</definedName>
    <definedName name="Wind_Capacity_Contr" localSheetId="16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 localSheetId="16">'[8]Exhibit 2- Std Wind QF '!$E$45</definedName>
    <definedName name="Wind_Integration_Charge">'[8]Exhibit 2- Std Wind QF '!$E$45</definedName>
  </definedNames>
  <calcPr calcId="152511"/>
</workbook>
</file>

<file path=xl/calcChain.xml><?xml version="1.0" encoding="utf-8"?>
<calcChain xmlns="http://schemas.openxmlformats.org/spreadsheetml/2006/main">
  <c r="F6" i="82" l="1"/>
  <c r="E6" i="82" l="1"/>
  <c r="D6" i="82"/>
  <c r="G26" i="82"/>
  <c r="I26" i="82"/>
  <c r="H26" i="82"/>
  <c r="B32" i="82"/>
  <c r="B23" i="82"/>
  <c r="B22" i="82"/>
  <c r="B21" i="82"/>
  <c r="B20" i="82"/>
  <c r="B19" i="82"/>
  <c r="B18" i="82"/>
  <c r="B17" i="82"/>
  <c r="B16" i="82"/>
  <c r="B15" i="82"/>
  <c r="B14" i="82"/>
  <c r="B13" i="82"/>
  <c r="B12" i="82"/>
  <c r="B11" i="82"/>
  <c r="B10" i="82"/>
  <c r="L5" i="82"/>
  <c r="K5" i="82"/>
  <c r="J5" i="82"/>
  <c r="A55" i="25"/>
  <c r="B56" i="25"/>
  <c r="B46" i="25"/>
  <c r="A10" i="31"/>
  <c r="A9" i="31"/>
  <c r="A7" i="31"/>
  <c r="R6" i="31"/>
  <c r="Q6" i="31"/>
  <c r="S5" i="31"/>
  <c r="S6" i="31" s="1"/>
  <c r="Q5" i="31"/>
  <c r="P5" i="31"/>
  <c r="P6" i="31" s="1"/>
  <c r="I10" i="82" l="1"/>
  <c r="I18" i="82"/>
  <c r="I22" i="82"/>
  <c r="H12" i="82"/>
  <c r="H20" i="82"/>
  <c r="I14" i="82"/>
  <c r="H16" i="82"/>
  <c r="H23" i="82"/>
  <c r="H10" i="82"/>
  <c r="I11" i="82"/>
  <c r="G13" i="82"/>
  <c r="H14" i="82"/>
  <c r="I15" i="82"/>
  <c r="G17" i="82"/>
  <c r="H18" i="82"/>
  <c r="I19" i="82"/>
  <c r="G21" i="82"/>
  <c r="H22" i="82"/>
  <c r="I23" i="82"/>
  <c r="G10" i="82"/>
  <c r="H11" i="82"/>
  <c r="I12" i="82"/>
  <c r="G14" i="82"/>
  <c r="H15" i="82"/>
  <c r="I16" i="82"/>
  <c r="G18" i="82"/>
  <c r="H19" i="82"/>
  <c r="I20" i="82"/>
  <c r="G22" i="82"/>
  <c r="G12" i="82"/>
  <c r="H13" i="82"/>
  <c r="G16" i="82"/>
  <c r="H17" i="82"/>
  <c r="G20" i="82"/>
  <c r="H21" i="82"/>
  <c r="G11" i="82"/>
  <c r="I13" i="82"/>
  <c r="G15" i="82"/>
  <c r="I17" i="82"/>
  <c r="G19" i="82"/>
  <c r="I21" i="82"/>
  <c r="G23" i="82"/>
  <c r="CX38" i="25" l="1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B41" i="70"/>
  <c r="CE9" i="25" l="1"/>
  <c r="BI9" i="25"/>
  <c r="AM9" i="25"/>
  <c r="C67" i="81"/>
  <c r="C68" i="81" s="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2" i="81"/>
  <c r="B13" i="81" s="1"/>
  <c r="B11" i="81"/>
  <c r="B3" i="81"/>
  <c r="C52" i="81" s="1"/>
  <c r="B9" i="81" s="1"/>
  <c r="B14" i="81" l="1"/>
  <c r="B15" i="81" s="1"/>
  <c r="B16" i="81" s="1"/>
  <c r="B17" i="81" s="1"/>
  <c r="C69" i="81"/>
  <c r="C70" i="81" l="1"/>
  <c r="D17" i="81"/>
  <c r="B18" i="81"/>
  <c r="B19" i="81" l="1"/>
  <c r="C71" i="81"/>
  <c r="C72" i="81" l="1"/>
  <c r="B20" i="81"/>
  <c r="B21" i="81" l="1"/>
  <c r="C73" i="81"/>
  <c r="C74" i="81" l="1"/>
  <c r="B22" i="81"/>
  <c r="B23" i="81" l="1"/>
  <c r="F66" i="81"/>
  <c r="F67" i="81" l="1"/>
  <c r="B24" i="81"/>
  <c r="B25" i="81" l="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50" i="25" l="1"/>
  <c r="A45" i="25"/>
  <c r="B51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AA31" i="47"/>
  <c r="AF31" i="47"/>
  <c r="AF32" i="47" s="1"/>
  <c r="AK31" i="47"/>
  <c r="AP31" i="47"/>
  <c r="AU31" i="47"/>
  <c r="AZ31" i="47"/>
  <c r="AZ32" i="47" s="1"/>
  <c r="BE31" i="47"/>
  <c r="AA32" i="47"/>
  <c r="AK32" i="47"/>
  <c r="AP32" i="47"/>
  <c r="AU32" i="47"/>
  <c r="BE32" i="47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38" i="28" l="1"/>
  <c r="B37" i="68"/>
  <c r="B38" i="68" l="1"/>
  <c r="BX9" i="25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B39" i="68" l="1"/>
  <c r="B40" i="68" l="1"/>
  <c r="AZ9" i="47" l="1"/>
  <c r="BE9" i="47"/>
  <c r="BH10" i="47"/>
  <c r="BB39" i="47"/>
  <c r="BG39" i="47"/>
  <c r="BF11" i="47" s="1"/>
  <c r="C45" i="47"/>
  <c r="C46" i="47" s="1"/>
  <c r="C47" i="47" s="1"/>
  <c r="C48" i="47" s="1"/>
  <c r="C49" i="47" s="1"/>
  <c r="C50" i="47" s="1"/>
  <c r="C51" i="47" s="1"/>
  <c r="C52" i="47" s="1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L17" i="47" l="1"/>
  <c r="AL13" i="47"/>
  <c r="AL16" i="47"/>
  <c r="AL12" i="47"/>
  <c r="AL19" i="47"/>
  <c r="AL15" i="47"/>
  <c r="AL11" i="47"/>
  <c r="AL18" i="47"/>
  <c r="AL14" i="47"/>
  <c r="AL10" i="47"/>
  <c r="AQ21" i="47"/>
  <c r="AQ17" i="47"/>
  <c r="AQ13" i="47"/>
  <c r="AQ20" i="47"/>
  <c r="AQ16" i="47"/>
  <c r="AQ12" i="47"/>
  <c r="AQ23" i="47"/>
  <c r="AQ19" i="47"/>
  <c r="AQ15" i="47"/>
  <c r="AQ11" i="47"/>
  <c r="AQ22" i="47"/>
  <c r="AQ18" i="47"/>
  <c r="AQ14" i="47"/>
  <c r="AQ10" i="47"/>
  <c r="AS10" i="47" s="1"/>
  <c r="BA13" i="47"/>
  <c r="BA16" i="47"/>
  <c r="BA12" i="47"/>
  <c r="BA15" i="47"/>
  <c r="BA11" i="47"/>
  <c r="BA14" i="47"/>
  <c r="BA10" i="47"/>
  <c r="BC10" i="47" s="1"/>
  <c r="M20" i="47"/>
  <c r="M16" i="47"/>
  <c r="M12" i="47"/>
  <c r="M19" i="47"/>
  <c r="M15" i="47"/>
  <c r="M11" i="47"/>
  <c r="M22" i="47"/>
  <c r="M18" i="47"/>
  <c r="M14" i="47"/>
  <c r="M10" i="47"/>
  <c r="O10" i="47" s="1"/>
  <c r="M21" i="47"/>
  <c r="M17" i="47"/>
  <c r="M13" i="47"/>
  <c r="AV21" i="47"/>
  <c r="AV17" i="47"/>
  <c r="AV13" i="47"/>
  <c r="AV20" i="47"/>
  <c r="AV16" i="47"/>
  <c r="AV12" i="47"/>
  <c r="AV23" i="47"/>
  <c r="AV19" i="47"/>
  <c r="AV15" i="47"/>
  <c r="AV11" i="47"/>
  <c r="AV22" i="47"/>
  <c r="AV18" i="47"/>
  <c r="AV14" i="47"/>
  <c r="AV10" i="47"/>
  <c r="AX10" i="47" s="1"/>
  <c r="AW39" i="47"/>
  <c r="AV24" i="47" s="1"/>
  <c r="AR39" i="47"/>
  <c r="AQ24" i="47" s="1"/>
  <c r="N39" i="47"/>
  <c r="M23" i="47" s="1"/>
  <c r="AM39" i="47"/>
  <c r="AN10" i="47" l="1"/>
  <c r="AL2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10" i="47" l="1"/>
  <c r="R10" i="47"/>
  <c r="W10" i="47"/>
  <c r="Y10" i="47" s="1"/>
  <c r="AG13" i="47"/>
  <c r="AG16" i="47"/>
  <c r="AG12" i="47"/>
  <c r="AG15" i="47"/>
  <c r="AG11" i="47"/>
  <c r="AG14" i="47"/>
  <c r="AG10" i="47"/>
  <c r="H16" i="47"/>
  <c r="H12" i="47"/>
  <c r="H15" i="47"/>
  <c r="H11" i="47"/>
  <c r="H14" i="47"/>
  <c r="H10" i="47"/>
  <c r="J10" i="47" s="1"/>
  <c r="H13" i="47"/>
  <c r="X39" i="47"/>
  <c r="W11" i="47" s="1"/>
  <c r="AH39" i="47"/>
  <c r="AG17" i="47" s="1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S39" i="47"/>
  <c r="R11" i="47" s="1"/>
  <c r="AC39" i="47"/>
  <c r="AB10" i="47" s="1"/>
  <c r="I39" i="47"/>
  <c r="H17" i="47" s="1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11" i="47" s="1"/>
  <c r="AI10" i="47" l="1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D47" i="80" l="1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69" i="80" l="1"/>
  <c r="B14" i="80"/>
  <c r="B15" i="80" s="1"/>
  <c r="B16" i="80" s="1"/>
  <c r="B17" i="80" s="1"/>
  <c r="B18" i="80" s="1"/>
  <c r="B19" i="79"/>
  <c r="C68" i="79"/>
  <c r="C70" i="80" l="1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17" i="77" l="1"/>
  <c r="J24" i="80"/>
  <c r="E26" i="80"/>
  <c r="K25" i="80"/>
  <c r="G25" i="80"/>
  <c r="I25" i="80" s="1"/>
  <c r="D33" i="79"/>
  <c r="D28" i="80"/>
  <c r="E27" i="80" l="1"/>
  <c r="K26" i="80"/>
  <c r="G26" i="80"/>
  <c r="I26" i="80" s="1"/>
  <c r="J18" i="77"/>
  <c r="J25" i="80"/>
  <c r="D34" i="79"/>
  <c r="D29" i="80"/>
  <c r="J19" i="77" l="1"/>
  <c r="J26" i="80"/>
  <c r="E28" i="80"/>
  <c r="K27" i="80"/>
  <c r="G27" i="80"/>
  <c r="I27" i="80" s="1"/>
  <c r="D35" i="79"/>
  <c r="D30" i="80"/>
  <c r="E29" i="80" l="1"/>
  <c r="G28" i="80"/>
  <c r="I28" i="80" s="1"/>
  <c r="K28" i="80"/>
  <c r="J20" i="77"/>
  <c r="J27" i="80"/>
  <c r="D36" i="79"/>
  <c r="D31" i="80"/>
  <c r="J21" i="77" l="1"/>
  <c r="J28" i="80"/>
  <c r="E30" i="80"/>
  <c r="G29" i="80"/>
  <c r="I29" i="80" s="1"/>
  <c r="K29" i="80"/>
  <c r="D37" i="79"/>
  <c r="D32" i="80"/>
  <c r="E31" i="80" l="1"/>
  <c r="G30" i="80"/>
  <c r="I30" i="80" s="1"/>
  <c r="K30" i="80"/>
  <c r="J22" i="77"/>
  <c r="J29" i="80"/>
  <c r="D33" i="80"/>
  <c r="J23" i="77" l="1"/>
  <c r="J30" i="80"/>
  <c r="E32" i="80"/>
  <c r="K31" i="80"/>
  <c r="G31" i="80"/>
  <c r="I31" i="80" s="1"/>
  <c r="D34" i="80"/>
  <c r="J24" i="77" l="1"/>
  <c r="J31" i="80"/>
  <c r="E33" i="80"/>
  <c r="K32" i="80"/>
  <c r="G32" i="80"/>
  <c r="I32" i="80" s="1"/>
  <c r="D35" i="80"/>
  <c r="E34" i="80" l="1"/>
  <c r="G33" i="80"/>
  <c r="I33" i="80" s="1"/>
  <c r="J33" i="80" s="1"/>
  <c r="K33" i="80"/>
  <c r="J25" i="77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s="1"/>
  <c r="J31" i="78" l="1"/>
  <c r="E33" i="78"/>
  <c r="G32" i="78"/>
  <c r="I32" i="78" s="1"/>
  <c r="K32" i="78"/>
  <c r="A18" i="77"/>
  <c r="H18" i="77" s="1"/>
  <c r="J32" i="78" l="1"/>
  <c r="E34" i="78"/>
  <c r="G33" i="78"/>
  <c r="I33" i="78" s="1"/>
  <c r="K33" i="78"/>
  <c r="A19" i="77"/>
  <c r="E35" i="78" l="1"/>
  <c r="G34" i="78"/>
  <c r="I34" i="78" s="1"/>
  <c r="K34" i="78"/>
  <c r="J33" i="78"/>
  <c r="H19" i="77"/>
  <c r="A20" i="77"/>
  <c r="J34" i="78" l="1"/>
  <c r="E36" i="78"/>
  <c r="G35" i="78"/>
  <c r="I35" i="78" s="1"/>
  <c r="K35" i="78"/>
  <c r="H20" i="77"/>
  <c r="A21" i="77"/>
  <c r="E37" i="78" l="1"/>
  <c r="G36" i="78"/>
  <c r="I36" i="78" s="1"/>
  <c r="K36" i="78"/>
  <c r="J35" i="78"/>
  <c r="H21" i="77"/>
  <c r="A22" i="77"/>
  <c r="J36" i="78" l="1"/>
  <c r="G37" i="78"/>
  <c r="I37" i="78" s="1"/>
  <c r="K37" i="78"/>
  <c r="H22" i="77"/>
  <c r="A23" i="77"/>
  <c r="J37" i="78" l="1"/>
  <c r="H23" i="77"/>
  <c r="A24" i="77"/>
  <c r="H24" i="77" l="1"/>
  <c r="A25" i="77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C68" i="72" s="1"/>
  <c r="C69" i="72" s="1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B3" i="71" l="1"/>
  <c r="C52" i="71" s="1"/>
  <c r="B9" i="71" s="1"/>
  <c r="D47" i="75"/>
  <c r="D47" i="73"/>
  <c r="C70" i="72"/>
  <c r="C71" i="72" s="1"/>
  <c r="D47" i="72"/>
  <c r="H12" i="76"/>
  <c r="B3" i="76"/>
  <c r="C52" i="76" s="1"/>
  <c r="B9" i="76" s="1"/>
  <c r="B15" i="76"/>
  <c r="C68" i="76"/>
  <c r="B17" i="75"/>
  <c r="C68" i="75"/>
  <c r="B13" i="73"/>
  <c r="C68" i="73"/>
  <c r="C72" i="72"/>
  <c r="B13" i="72"/>
  <c r="B13" i="71"/>
  <c r="C68" i="71"/>
  <c r="C69" i="76" l="1"/>
  <c r="B16" i="76"/>
  <c r="C69" i="75"/>
  <c r="B18" i="75"/>
  <c r="C69" i="73"/>
  <c r="B14" i="73"/>
  <c r="B15" i="73" s="1"/>
  <c r="B16" i="73" s="1"/>
  <c r="B17" i="73" s="1"/>
  <c r="B18" i="73" s="1"/>
  <c r="C73" i="72"/>
  <c r="B14" i="72"/>
  <c r="C69" i="71"/>
  <c r="B14" i="71"/>
  <c r="B15" i="71" l="1"/>
  <c r="C70" i="76"/>
  <c r="B17" i="76"/>
  <c r="B19" i="75"/>
  <c r="C70" i="75"/>
  <c r="B19" i="73"/>
  <c r="C70" i="73"/>
  <c r="B15" i="72"/>
  <c r="C74" i="72"/>
  <c r="C70" i="71"/>
  <c r="B16" i="71" l="1"/>
  <c r="B18" i="76"/>
  <c r="C71" i="76"/>
  <c r="C71" i="75"/>
  <c r="B20" i="75"/>
  <c r="C71" i="73"/>
  <c r="B20" i="73"/>
  <c r="F66" i="72"/>
  <c r="B16" i="72"/>
  <c r="C71" i="71"/>
  <c r="B17" i="71" l="1"/>
  <c r="C72" i="76"/>
  <c r="B19" i="76"/>
  <c r="C72" i="75"/>
  <c r="B21" i="75"/>
  <c r="C72" i="73"/>
  <c r="B21" i="73"/>
  <c r="B17" i="72"/>
  <c r="F67" i="72"/>
  <c r="C72" i="71"/>
  <c r="B18" i="71" l="1"/>
  <c r="B20" i="76"/>
  <c r="C73" i="76"/>
  <c r="B22" i="75"/>
  <c r="C73" i="75"/>
  <c r="C73" i="73"/>
  <c r="B22" i="73"/>
  <c r="B18" i="72"/>
  <c r="F68" i="72"/>
  <c r="C73" i="71"/>
  <c r="B19" i="71" l="1"/>
  <c r="C74" i="76"/>
  <c r="B21" i="76"/>
  <c r="B23" i="75"/>
  <c r="C74" i="75"/>
  <c r="C74" i="73"/>
  <c r="B23" i="73"/>
  <c r="F69" i="72"/>
  <c r="B19" i="72"/>
  <c r="C74" i="71"/>
  <c r="B20" i="71" l="1"/>
  <c r="B22" i="76"/>
  <c r="F66" i="76"/>
  <c r="F66" i="75"/>
  <c r="B24" i="75"/>
  <c r="B24" i="73"/>
  <c r="F66" i="73"/>
  <c r="B20" i="72"/>
  <c r="F70" i="72"/>
  <c r="F66" i="71"/>
  <c r="B21" i="71" l="1"/>
  <c r="B23" i="76"/>
  <c r="F67" i="76"/>
  <c r="F67" i="75"/>
  <c r="B25" i="75"/>
  <c r="F67" i="73"/>
  <c r="B25" i="73"/>
  <c r="F71" i="72"/>
  <c r="B21" i="72"/>
  <c r="F67" i="71"/>
  <c r="B22" i="71" l="1"/>
  <c r="B24" i="76"/>
  <c r="F68" i="76"/>
  <c r="F68" i="75"/>
  <c r="B26" i="75"/>
  <c r="F68" i="73"/>
  <c r="B26" i="73"/>
  <c r="B22" i="72"/>
  <c r="F72" i="72"/>
  <c r="F68" i="71"/>
  <c r="B23" i="71" l="1"/>
  <c r="F69" i="76"/>
  <c r="B25" i="76"/>
  <c r="F69" i="75"/>
  <c r="B27" i="75"/>
  <c r="F69" i="73"/>
  <c r="B27" i="73"/>
  <c r="B23" i="72"/>
  <c r="F73" i="72"/>
  <c r="F69" i="71"/>
  <c r="B24" i="71" l="1"/>
  <c r="B26" i="76"/>
  <c r="F70" i="76"/>
  <c r="B28" i="75"/>
  <c r="F70" i="75"/>
  <c r="B28" i="73"/>
  <c r="F70" i="73"/>
  <c r="F74" i="72"/>
  <c r="B24" i="72"/>
  <c r="F70" i="71"/>
  <c r="B25" i="71" l="1"/>
  <c r="F71" i="76"/>
  <c r="B27" i="76"/>
  <c r="F71" i="75"/>
  <c r="B29" i="75"/>
  <c r="F71" i="73"/>
  <c r="B29" i="73"/>
  <c r="B25" i="72"/>
  <c r="I66" i="72"/>
  <c r="F71" i="71"/>
  <c r="B26" i="71" l="1"/>
  <c r="B28" i="76"/>
  <c r="F72" i="76"/>
  <c r="B30" i="75"/>
  <c r="F72" i="75"/>
  <c r="B30" i="73"/>
  <c r="F72" i="73"/>
  <c r="I67" i="72"/>
  <c r="B26" i="72"/>
  <c r="F72" i="71"/>
  <c r="B27" i="71" l="1"/>
  <c r="B29" i="76"/>
  <c r="F73" i="76"/>
  <c r="F73" i="75"/>
  <c r="B31" i="75"/>
  <c r="F73" i="73"/>
  <c r="B31" i="73"/>
  <c r="B27" i="72"/>
  <c r="I68" i="72"/>
  <c r="F73" i="71"/>
  <c r="B28" i="71" l="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I69" i="72"/>
  <c r="B28" i="72"/>
  <c r="F74" i="71"/>
  <c r="B33" i="73" l="1"/>
  <c r="B29" i="71"/>
  <c r="B31" i="76"/>
  <c r="I66" i="76"/>
  <c r="I66" i="75"/>
  <c r="I66" i="73"/>
  <c r="B29" i="72"/>
  <c r="I70" i="72"/>
  <c r="I66" i="71"/>
  <c r="B34" i="73" l="1"/>
  <c r="B30" i="71"/>
  <c r="B32" i="76"/>
  <c r="B33" i="76" s="1"/>
  <c r="B34" i="76" s="1"/>
  <c r="B35" i="76" s="1"/>
  <c r="B36" i="76" s="1"/>
  <c r="B37" i="76" s="1"/>
  <c r="I67" i="76"/>
  <c r="I67" i="75"/>
  <c r="I67" i="73"/>
  <c r="I71" i="72"/>
  <c r="B30" i="72"/>
  <c r="I67" i="71"/>
  <c r="B35" i="73" l="1"/>
  <c r="B31" i="71"/>
  <c r="I68" i="76"/>
  <c r="I68" i="75"/>
  <c r="I68" i="73"/>
  <c r="B31" i="72"/>
  <c r="I72" i="72"/>
  <c r="I68" i="71"/>
  <c r="B36" i="73" l="1"/>
  <c r="B32" i="71"/>
  <c r="B33" i="71" s="1"/>
  <c r="I69" i="76"/>
  <c r="I69" i="75"/>
  <c r="I69" i="73"/>
  <c r="I73" i="72"/>
  <c r="B32" i="72"/>
  <c r="B33" i="72" s="1"/>
  <c r="I69" i="71"/>
  <c r="B37" i="73" l="1"/>
  <c r="B34" i="72"/>
  <c r="B34" i="71"/>
  <c r="I70" i="76"/>
  <c r="I70" i="75"/>
  <c r="I70" i="73"/>
  <c r="I74" i="72"/>
  <c r="I70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B35" i="72"/>
  <c r="B35" i="71"/>
  <c r="E13" i="72"/>
  <c r="I71" i="76"/>
  <c r="I71" i="75"/>
  <c r="I71" i="73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I71" i="71"/>
  <c r="F35" i="72" l="1"/>
  <c r="E14" i="72"/>
  <c r="K13" i="72"/>
  <c r="B36" i="72"/>
  <c r="B36" i="71"/>
  <c r="I72" i="76"/>
  <c r="I72" i="75"/>
  <c r="I72" i="73"/>
  <c r="I72" i="71"/>
  <c r="F36" i="72" l="1"/>
  <c r="E15" i="72"/>
  <c r="K14" i="72"/>
  <c r="H36" i="72"/>
  <c r="B37" i="72"/>
  <c r="B37" i="71"/>
  <c r="I73" i="76"/>
  <c r="I73" i="75"/>
  <c r="I73" i="73"/>
  <c r="I73" i="71"/>
  <c r="E16" i="72" l="1"/>
  <c r="K15" i="72"/>
  <c r="F37" i="72"/>
  <c r="H37" i="72"/>
  <c r="I74" i="76"/>
  <c r="I74" i="75"/>
  <c r="I74" i="73"/>
  <c r="I74" i="71"/>
  <c r="E13" i="73" l="1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E17" i="72"/>
  <c r="K16" i="72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K13" i="73" l="1"/>
  <c r="F26" i="79"/>
  <c r="G26" i="79" s="1"/>
  <c r="I26" i="79" s="1"/>
  <c r="E15" i="73"/>
  <c r="K14" i="73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K17" i="72"/>
  <c r="E14" i="71"/>
  <c r="K13" i="71"/>
  <c r="F24" i="73"/>
  <c r="F23" i="76"/>
  <c r="F28" i="75"/>
  <c r="F27" i="79"/>
  <c r="F37" i="71"/>
  <c r="H37" i="75"/>
  <c r="K26" i="79" l="1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J27" i="79" l="1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K17" i="73" l="1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F32" i="75" l="1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12" i="77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E12" i="70"/>
  <c r="K12" i="70" s="1"/>
  <c r="D50" i="70"/>
  <c r="C70" i="70"/>
  <c r="C71" i="70" s="1"/>
  <c r="T60" i="70"/>
  <c r="Q60" i="70"/>
  <c r="T59" i="70"/>
  <c r="T58" i="70"/>
  <c r="D52" i="70"/>
  <c r="C52" i="70"/>
  <c r="C51" i="70"/>
  <c r="C50" i="70"/>
  <c r="C49" i="70"/>
  <c r="C48" i="70"/>
  <c r="H12" i="70"/>
  <c r="B11" i="70"/>
  <c r="B12" i="70" s="1"/>
  <c r="I35" i="75" l="1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s="1"/>
  <c r="F69" i="70" l="1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I74" i="70"/>
  <c r="F89" i="68"/>
  <c r="I75" i="70" l="1"/>
  <c r="I81" i="68"/>
  <c r="I76" i="70" l="1"/>
  <c r="I82" i="68"/>
  <c r="I77" i="70" l="1"/>
  <c r="I78" i="70" s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9" i="70" l="1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H62" i="68" s="1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B17" i="68" l="1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L36" i="68"/>
  <c r="E40" i="68"/>
  <c r="G37" i="68"/>
  <c r="H37" i="68" s="1"/>
  <c r="F38" i="68"/>
  <c r="F11" i="77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J23" i="70"/>
  <c r="F17" i="77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D30" i="70"/>
  <c r="F22" i="77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BH11" i="47" l="1"/>
  <c r="BC11" i="47"/>
  <c r="AS11" i="47"/>
  <c r="AX11" i="47"/>
  <c r="O11" i="47"/>
  <c r="J11" i="47"/>
  <c r="B12" i="47"/>
  <c r="BC12" i="47" l="1"/>
  <c r="AS12" i="47"/>
  <c r="AX12" i="47"/>
  <c r="O12" i="47"/>
  <c r="B13" i="47"/>
  <c r="E10" i="47"/>
  <c r="BC13" i="47" l="1"/>
  <c r="O13" i="47"/>
  <c r="AX13" i="47"/>
  <c r="AS13" i="47"/>
  <c r="B14" i="47"/>
  <c r="BC14" i="47" l="1"/>
  <c r="AX14" i="47"/>
  <c r="O14" i="47"/>
  <c r="AS14" i="47"/>
  <c r="B15" i="47"/>
  <c r="BC15" i="47" l="1"/>
  <c r="AX15" i="47"/>
  <c r="O15" i="47"/>
  <c r="AS15" i="47"/>
  <c r="B16" i="47"/>
  <c r="C10" i="25"/>
  <c r="BC16" i="47" l="1"/>
  <c r="AX16" i="47"/>
  <c r="O16" i="47"/>
  <c r="AS16" i="47"/>
  <c r="B17" i="47"/>
  <c r="B18" i="47" l="1"/>
  <c r="AX17" i="47"/>
  <c r="AS17" i="47"/>
  <c r="O17" i="47"/>
  <c r="F44" i="47"/>
  <c r="B19" i="47" l="1"/>
  <c r="AX18" i="47"/>
  <c r="AS18" i="47"/>
  <c r="AI11" i="47"/>
  <c r="F45" i="47"/>
  <c r="B20" i="47" l="1"/>
  <c r="AS19" i="47"/>
  <c r="AX19" i="47"/>
  <c r="AN11" i="47"/>
  <c r="AI12" i="47"/>
  <c r="Y11" i="47"/>
  <c r="F46" i="47"/>
  <c r="D46" i="43"/>
  <c r="C67" i="43"/>
  <c r="C49" i="43"/>
  <c r="C48" i="43"/>
  <c r="C47" i="43"/>
  <c r="C46" i="43"/>
  <c r="C45" i="43"/>
  <c r="B21" i="47" l="1"/>
  <c r="AX20" i="47"/>
  <c r="AS20" i="47"/>
  <c r="AN12" i="47"/>
  <c r="AI13" i="47"/>
  <c r="J12" i="47"/>
  <c r="C68" i="43"/>
  <c r="F47" i="47"/>
  <c r="D47" i="43"/>
  <c r="B3" i="43"/>
  <c r="C52" i="43" s="1"/>
  <c r="B9" i="43" s="1"/>
  <c r="C69" i="43" l="1"/>
  <c r="B22" i="47"/>
  <c r="AX21" i="47"/>
  <c r="AN13" i="47"/>
  <c r="AI14" i="47"/>
  <c r="J13" i="47"/>
  <c r="F48" i="47"/>
  <c r="C70" i="43"/>
  <c r="B23" i="47" l="1"/>
  <c r="AX22" i="47"/>
  <c r="AN14" i="47"/>
  <c r="AI15" i="47"/>
  <c r="J14" i="47"/>
  <c r="F49" i="47"/>
  <c r="C71" i="43"/>
  <c r="B14" i="43"/>
  <c r="B24" i="47" l="1"/>
  <c r="AX23" i="47"/>
  <c r="AN15" i="47"/>
  <c r="AI16" i="47"/>
  <c r="J15" i="47"/>
  <c r="F50" i="47"/>
  <c r="B15" i="43"/>
  <c r="C72" i="43"/>
  <c r="B25" i="47" l="1"/>
  <c r="AX24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H18" i="47" s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F74" i="43"/>
  <c r="B26" i="43"/>
  <c r="AL21" i="47" l="1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N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277" i="31" s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289" i="31" s="1"/>
  <c r="I61" i="31"/>
  <c r="I136" i="31"/>
  <c r="I256" i="31" s="1"/>
  <c r="I17" i="31"/>
  <c r="I28" i="31"/>
  <c r="I158" i="31"/>
  <c r="I278" i="31" s="1"/>
  <c r="I50" i="31"/>
  <c r="I170" i="31" l="1"/>
  <c r="I290" i="31" s="1"/>
  <c r="I62" i="31"/>
  <c r="I148" i="31"/>
  <c r="I268" i="31" s="1"/>
  <c r="I40" i="31"/>
  <c r="I159" i="31"/>
  <c r="I279" i="31" s="1"/>
  <c r="I51" i="31"/>
  <c r="I137" i="31"/>
  <c r="I257" i="31" s="1"/>
  <c r="I29" i="31"/>
  <c r="I18" i="31"/>
  <c r="I181" i="31"/>
  <c r="I301" i="31" s="1"/>
  <c r="I73" i="31"/>
  <c r="I193" i="31" s="1"/>
  <c r="I313" i="31" s="1"/>
  <c r="I138" i="31" l="1"/>
  <c r="I258" i="31" s="1"/>
  <c r="I19" i="31"/>
  <c r="I30" i="31"/>
  <c r="I182" i="31"/>
  <c r="I302" i="31" s="1"/>
  <c r="I74" i="31"/>
  <c r="I194" i="31" s="1"/>
  <c r="I314" i="31" s="1"/>
  <c r="I85" i="31"/>
  <c r="I205" i="31" s="1"/>
  <c r="I149" i="31"/>
  <c r="I269" i="31" s="1"/>
  <c r="I41" i="31"/>
  <c r="I171" i="31"/>
  <c r="I291" i="31" s="1"/>
  <c r="I63" i="31"/>
  <c r="I160" i="31"/>
  <c r="I280" i="31" s="1"/>
  <c r="I52" i="31"/>
  <c r="I172" i="31" l="1"/>
  <c r="I292" i="31" s="1"/>
  <c r="I64" i="31"/>
  <c r="I161" i="31"/>
  <c r="I281" i="31" s="1"/>
  <c r="I53" i="31"/>
  <c r="I97" i="31"/>
  <c r="I217" i="31" s="1"/>
  <c r="I150" i="31"/>
  <c r="I270" i="31" s="1"/>
  <c r="I42" i="31"/>
  <c r="I183" i="31"/>
  <c r="I303" i="31" s="1"/>
  <c r="I75" i="31"/>
  <c r="I195" i="31" s="1"/>
  <c r="I315" i="31" s="1"/>
  <c r="I86" i="31"/>
  <c r="I206" i="31" s="1"/>
  <c r="I139" i="31"/>
  <c r="I259" i="31" s="1"/>
  <c r="I31" i="31"/>
  <c r="I20" i="31"/>
  <c r="I151" i="31" l="1"/>
  <c r="I271" i="31" s="1"/>
  <c r="I43" i="31"/>
  <c r="I87" i="31"/>
  <c r="I207" i="31" s="1"/>
  <c r="I162" i="31"/>
  <c r="I282" i="31" s="1"/>
  <c r="I54" i="31"/>
  <c r="I109" i="31"/>
  <c r="I229" i="31" s="1"/>
  <c r="I184" i="31"/>
  <c r="I304" i="31" s="1"/>
  <c r="I76" i="31"/>
  <c r="I196" i="31" s="1"/>
  <c r="I316" i="31" s="1"/>
  <c r="I140" i="31"/>
  <c r="I260" i="31" s="1"/>
  <c r="I21" i="31"/>
  <c r="I32" i="31"/>
  <c r="I98" i="31"/>
  <c r="I218" i="31" s="1"/>
  <c r="I173" i="31"/>
  <c r="I293" i="31" s="1"/>
  <c r="I65" i="31"/>
  <c r="I152" i="31" l="1"/>
  <c r="I272" i="31" s="1"/>
  <c r="I44" i="31"/>
  <c r="I174" i="31"/>
  <c r="I294" i="31" s="1"/>
  <c r="I66" i="31"/>
  <c r="I185" i="31"/>
  <c r="I305" i="31" s="1"/>
  <c r="I77" i="31"/>
  <c r="I197" i="31" s="1"/>
  <c r="I317" i="31" s="1"/>
  <c r="I110" i="31"/>
  <c r="I230" i="31" s="1"/>
  <c r="I141" i="31"/>
  <c r="I261" i="31" s="1"/>
  <c r="I33" i="31"/>
  <c r="I22" i="31"/>
  <c r="I88" i="31"/>
  <c r="I208" i="31" s="1"/>
  <c r="I121" i="31"/>
  <c r="I99" i="31"/>
  <c r="I219" i="31" s="1"/>
  <c r="I163" i="31"/>
  <c r="I283" i="31" s="1"/>
  <c r="I55" i="31"/>
  <c r="I241" i="31" l="1"/>
  <c r="I175" i="31"/>
  <c r="I295" i="31" s="1"/>
  <c r="I67" i="31"/>
  <c r="I100" i="31"/>
  <c r="I220" i="31" s="1"/>
  <c r="I153" i="31"/>
  <c r="I273" i="31" s="1"/>
  <c r="I45" i="31"/>
  <c r="I122" i="31"/>
  <c r="I164" i="31"/>
  <c r="I284" i="31" s="1"/>
  <c r="I56" i="31"/>
  <c r="I111" i="31"/>
  <c r="I231" i="31" s="1"/>
  <c r="I142" i="31"/>
  <c r="I262" i="31" s="1"/>
  <c r="I23" i="31"/>
  <c r="I34" i="31"/>
  <c r="I89" i="31"/>
  <c r="I209" i="31" s="1"/>
  <c r="I186" i="31"/>
  <c r="I306" i="31" s="1"/>
  <c r="I78" i="31"/>
  <c r="I198" i="31" s="1"/>
  <c r="I318" i="31" s="1"/>
  <c r="I242" i="31" l="1"/>
  <c r="I90" i="31"/>
  <c r="I210" i="31" s="1"/>
  <c r="I143" i="31"/>
  <c r="I263" i="31" s="1"/>
  <c r="I35" i="31"/>
  <c r="I24" i="31"/>
  <c r="I123" i="31"/>
  <c r="I187" i="31"/>
  <c r="I307" i="31" s="1"/>
  <c r="I79" i="31"/>
  <c r="I199" i="31" s="1"/>
  <c r="I319" i="31" s="1"/>
  <c r="I101" i="31"/>
  <c r="I221" i="31" s="1"/>
  <c r="I154" i="31"/>
  <c r="I274" i="31" s="1"/>
  <c r="I46" i="31"/>
  <c r="I176" i="31"/>
  <c r="I296" i="31" s="1"/>
  <c r="I68" i="31"/>
  <c r="I165" i="31"/>
  <c r="I285" i="31" s="1"/>
  <c r="I57" i="31"/>
  <c r="I112" i="31"/>
  <c r="I232" i="31" s="1"/>
  <c r="I243" i="31" l="1"/>
  <c r="I177" i="31"/>
  <c r="I297" i="31" s="1"/>
  <c r="I69" i="31"/>
  <c r="I188" i="31"/>
  <c r="I308" i="31" s="1"/>
  <c r="I80" i="31"/>
  <c r="I200" i="31" s="1"/>
  <c r="I320" i="31" s="1"/>
  <c r="I113" i="31"/>
  <c r="I233" i="31" s="1"/>
  <c r="I91" i="31"/>
  <c r="I211" i="31" s="1"/>
  <c r="I155" i="31"/>
  <c r="I275" i="31" s="1"/>
  <c r="I47" i="31"/>
  <c r="I124" i="31"/>
  <c r="I166" i="31"/>
  <c r="I286" i="31" s="1"/>
  <c r="I58" i="31"/>
  <c r="I144" i="31"/>
  <c r="I264" i="31" s="1"/>
  <c r="I36" i="31"/>
  <c r="I102" i="31"/>
  <c r="I222" i="31" s="1"/>
  <c r="I244" i="31" l="1"/>
  <c r="I114" i="31"/>
  <c r="I234" i="31" s="1"/>
  <c r="I103" i="31"/>
  <c r="I223" i="31" s="1"/>
  <c r="I189" i="31"/>
  <c r="I309" i="31" s="1"/>
  <c r="I81" i="31"/>
  <c r="I201" i="31" s="1"/>
  <c r="I321" i="31" s="1"/>
  <c r="I156" i="31"/>
  <c r="I276" i="31" s="1"/>
  <c r="I48" i="31"/>
  <c r="I178" i="31"/>
  <c r="I298" i="31" s="1"/>
  <c r="I70" i="31"/>
  <c r="I167" i="31"/>
  <c r="I287" i="31" s="1"/>
  <c r="I59" i="31"/>
  <c r="I125" i="31"/>
  <c r="I92" i="31"/>
  <c r="I212" i="31" s="1"/>
  <c r="I245" i="31" l="1"/>
  <c r="I104" i="31"/>
  <c r="I224" i="31" s="1"/>
  <c r="I190" i="31"/>
  <c r="I310" i="31" s="1"/>
  <c r="I82" i="31"/>
  <c r="I202" i="31" s="1"/>
  <c r="I322" i="31" s="1"/>
  <c r="I93" i="31"/>
  <c r="I213" i="31" s="1"/>
  <c r="I179" i="31"/>
  <c r="I299" i="31" s="1"/>
  <c r="I71" i="31"/>
  <c r="I168" i="31"/>
  <c r="I288" i="31" s="1"/>
  <c r="I60" i="31"/>
  <c r="I115" i="31"/>
  <c r="I235" i="31" s="1"/>
  <c r="I126" i="31"/>
  <c r="I246" i="31" l="1"/>
  <c r="I127" i="31"/>
  <c r="I191" i="31"/>
  <c r="I311" i="31" s="1"/>
  <c r="I83" i="31"/>
  <c r="I203" i="31" s="1"/>
  <c r="I323" i="31" s="1"/>
  <c r="I105" i="31"/>
  <c r="I225" i="31" s="1"/>
  <c r="I94" i="31"/>
  <c r="I214" i="31" s="1"/>
  <c r="I180" i="31"/>
  <c r="I300" i="31" s="1"/>
  <c r="I72" i="31"/>
  <c r="I116" i="31"/>
  <c r="I236" i="31" s="1"/>
  <c r="I247" i="31" l="1"/>
  <c r="I117" i="31"/>
  <c r="I237" i="31" s="1"/>
  <c r="I95" i="31"/>
  <c r="I215" i="31" s="1"/>
  <c r="I128" i="31"/>
  <c r="I192" i="31"/>
  <c r="I312" i="31" s="1"/>
  <c r="I84" i="31"/>
  <c r="I204" i="31" s="1"/>
  <c r="I324" i="31" s="1"/>
  <c r="I106" i="31"/>
  <c r="I226" i="31" s="1"/>
  <c r="I248" i="31" l="1"/>
  <c r="I118" i="31"/>
  <c r="I238" i="31" s="1"/>
  <c r="I107" i="31"/>
  <c r="I227" i="31" s="1"/>
  <c r="I96" i="31"/>
  <c r="I216" i="31" s="1"/>
  <c r="I129" i="31"/>
  <c r="I249" i="31" l="1"/>
  <c r="I119" i="31"/>
  <c r="I239" i="31" s="1"/>
  <c r="I108" i="31"/>
  <c r="I228" i="31" s="1"/>
  <c r="I130" i="31"/>
  <c r="I250" i="31" l="1"/>
  <c r="I131" i="31"/>
  <c r="I120" i="31"/>
  <c r="I240" i="31" s="1"/>
  <c r="I251" i="31" l="1"/>
  <c r="I132" i="31"/>
  <c r="I252" i="31" l="1"/>
  <c r="O16" i="28" l="1"/>
  <c r="C9" i="28" l="1"/>
  <c r="C38" i="28" l="1"/>
  <c r="C34" i="28"/>
  <c r="C27" i="28"/>
  <c r="C17" i="28"/>
  <c r="C33" i="28"/>
  <c r="C23" i="28"/>
  <c r="C25" i="28"/>
  <c r="C29" i="28"/>
  <c r="C19" i="28"/>
  <c r="C18" i="28"/>
  <c r="C35" i="28"/>
  <c r="C24" i="28"/>
  <c r="C28" i="28"/>
  <c r="C20" i="28"/>
  <c r="C30" i="28"/>
  <c r="C26" i="28"/>
  <c r="C21" i="28"/>
  <c r="C31" i="28"/>
  <c r="C37" i="28"/>
  <c r="C32" i="28"/>
  <c r="C36" i="28"/>
  <c r="C22" i="28"/>
  <c r="J13" i="31" l="1"/>
  <c r="B13" i="25" s="1"/>
  <c r="B14" i="31"/>
  <c r="L16" i="31"/>
  <c r="B9" i="82" l="1"/>
  <c r="B33" i="82"/>
  <c r="G9" i="82"/>
  <c r="L17" i="3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I9" i="82" l="1"/>
  <c r="H9" i="82"/>
  <c r="AM13" i="25"/>
  <c r="BI13" i="25"/>
  <c r="BW13" i="25"/>
  <c r="BV13" i="25"/>
  <c r="BT13" i="25"/>
  <c r="BS13" i="25"/>
  <c r="BR13" i="25"/>
  <c r="BP13" i="25"/>
  <c r="BN13" i="25"/>
  <c r="BM13" i="25"/>
  <c r="BK13" i="25"/>
  <c r="BH13" i="25"/>
  <c r="BJ13" i="25"/>
  <c r="BY13" i="25"/>
  <c r="BG13" i="25"/>
  <c r="B15" i="25"/>
  <c r="O14" i="25"/>
  <c r="DA13" i="25"/>
  <c r="DB13" i="25" s="1"/>
  <c r="J15" i="31"/>
  <c r="B16" i="31"/>
  <c r="L28" i="31"/>
  <c r="AW14" i="25" l="1"/>
  <c r="AM14" i="25"/>
  <c r="CE13" i="25"/>
  <c r="BI14" i="25"/>
  <c r="BW14" i="25"/>
  <c r="BV14" i="25"/>
  <c r="BT14" i="25"/>
  <c r="BS14" i="25"/>
  <c r="BR14" i="25"/>
  <c r="BP14" i="25"/>
  <c r="BN14" i="25"/>
  <c r="BM14" i="25"/>
  <c r="BK14" i="25"/>
  <c r="BH14" i="25"/>
  <c r="BY14" i="25"/>
  <c r="BG14" i="25"/>
  <c r="B17" i="31"/>
  <c r="J16" i="31"/>
  <c r="DA14" i="25"/>
  <c r="DB14" i="25" s="1"/>
  <c r="L29" i="31"/>
  <c r="O15" i="25"/>
  <c r="B16" i="25"/>
  <c r="AW15" i="25" l="1"/>
  <c r="AM15" i="25"/>
  <c r="CE14" i="25"/>
  <c r="BI15" i="25"/>
  <c r="BW15" i="25"/>
  <c r="BV15" i="25"/>
  <c r="BT15" i="25"/>
  <c r="BS15" i="25"/>
  <c r="BR15" i="25"/>
  <c r="BP15" i="25"/>
  <c r="BN15" i="25"/>
  <c r="BM15" i="25"/>
  <c r="BK15" i="25"/>
  <c r="BH15" i="25"/>
  <c r="BY15" i="25"/>
  <c r="BG15" i="25"/>
  <c r="L30" i="31"/>
  <c r="J17" i="31"/>
  <c r="B18" i="31"/>
  <c r="DA15" i="25"/>
  <c r="DB15" i="25" s="1"/>
  <c r="O16" i="25"/>
  <c r="B17" i="25"/>
  <c r="AM16" i="25" l="1"/>
  <c r="CE15" i="25"/>
  <c r="BI16" i="25"/>
  <c r="BV16" i="25"/>
  <c r="BK16" i="25"/>
  <c r="BN16" i="25"/>
  <c r="BM16" i="25"/>
  <c r="BH16" i="25"/>
  <c r="BW16" i="25"/>
  <c r="BT16" i="25"/>
  <c r="BS16" i="25"/>
  <c r="BR16" i="25"/>
  <c r="BP16" i="25"/>
  <c r="BY16" i="25"/>
  <c r="BG16" i="25"/>
  <c r="B18" i="25"/>
  <c r="O17" i="25"/>
  <c r="DA16" i="25"/>
  <c r="DB16" i="25" s="1"/>
  <c r="J18" i="31"/>
  <c r="B19" i="31"/>
  <c r="L31" i="31"/>
  <c r="AM17" i="25" l="1"/>
  <c r="CE16" i="25"/>
  <c r="BI17" i="25"/>
  <c r="BW17" i="25"/>
  <c r="BV17" i="25"/>
  <c r="BT17" i="25"/>
  <c r="BS17" i="25"/>
  <c r="BR17" i="25"/>
  <c r="BP17" i="25"/>
  <c r="BN17" i="25"/>
  <c r="BM17" i="25"/>
  <c r="BK17" i="25"/>
  <c r="BH17" i="25"/>
  <c r="BY17" i="25"/>
  <c r="BG17" i="25"/>
  <c r="B20" i="31"/>
  <c r="J19" i="31"/>
  <c r="DA17" i="25"/>
  <c r="DB17" i="25" s="1"/>
  <c r="L32" i="31"/>
  <c r="B19" i="25"/>
  <c r="O18" i="25"/>
  <c r="AM18" i="25" l="1"/>
  <c r="CE17" i="25"/>
  <c r="BI18" i="25"/>
  <c r="BW18" i="25"/>
  <c r="BV18" i="25"/>
  <c r="BT18" i="25"/>
  <c r="BS18" i="25"/>
  <c r="BR18" i="25"/>
  <c r="BP18" i="25"/>
  <c r="BN18" i="25"/>
  <c r="BM18" i="25"/>
  <c r="BK18" i="25"/>
  <c r="BH18" i="25"/>
  <c r="BY18" i="25"/>
  <c r="BG18" i="25"/>
  <c r="O19" i="25"/>
  <c r="B20" i="25"/>
  <c r="DA18" i="25"/>
  <c r="DB18" i="25" s="1"/>
  <c r="L33" i="31"/>
  <c r="J20" i="31"/>
  <c r="B21" i="31"/>
  <c r="AM19" i="25" l="1"/>
  <c r="CE18" i="25"/>
  <c r="BI19" i="25"/>
  <c r="BW19" i="25"/>
  <c r="BV19" i="25"/>
  <c r="BT19" i="25"/>
  <c r="BS19" i="25"/>
  <c r="BR19" i="25"/>
  <c r="BP19" i="25"/>
  <c r="BN19" i="25"/>
  <c r="BM19" i="25"/>
  <c r="BK19" i="25"/>
  <c r="BH19" i="25"/>
  <c r="BY19" i="25"/>
  <c r="BG19" i="25"/>
  <c r="B22" i="31"/>
  <c r="J21" i="31"/>
  <c r="B21" i="25"/>
  <c r="O20" i="25"/>
  <c r="L34" i="31"/>
  <c r="DA19" i="25"/>
  <c r="DB19" i="25" s="1"/>
  <c r="AM20" i="25" l="1"/>
  <c r="CE19" i="25"/>
  <c r="BI20" i="25"/>
  <c r="BW20" i="25"/>
  <c r="BT20" i="25"/>
  <c r="BS20" i="25"/>
  <c r="BR20" i="25"/>
  <c r="BP20" i="25"/>
  <c r="BN20" i="25"/>
  <c r="BM20" i="25"/>
  <c r="BH20" i="25"/>
  <c r="BV20" i="25"/>
  <c r="BK20" i="25"/>
  <c r="BY20" i="25"/>
  <c r="BG20" i="25"/>
  <c r="DA20" i="25"/>
  <c r="DB20" i="25" s="1"/>
  <c r="J22" i="31"/>
  <c r="B23" i="31"/>
  <c r="B22" i="25"/>
  <c r="O21" i="25"/>
  <c r="L35" i="31"/>
  <c r="AM21" i="25" l="1"/>
  <c r="CE20" i="25"/>
  <c r="BI21" i="25"/>
  <c r="BW21" i="25"/>
  <c r="BV21" i="25"/>
  <c r="BT21" i="25"/>
  <c r="BS21" i="25"/>
  <c r="BR21" i="25"/>
  <c r="BP21" i="25"/>
  <c r="BN21" i="25"/>
  <c r="BM21" i="25"/>
  <c r="BK21" i="25"/>
  <c r="BH21" i="25"/>
  <c r="BY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AM22" i="25" l="1"/>
  <c r="CE21" i="25"/>
  <c r="BI22" i="25"/>
  <c r="BW22" i="25"/>
  <c r="BV22" i="25"/>
  <c r="BT22" i="25"/>
  <c r="BS22" i="25"/>
  <c r="BR22" i="25"/>
  <c r="BP22" i="25"/>
  <c r="BN22" i="25"/>
  <c r="BM22" i="25"/>
  <c r="BK22" i="25"/>
  <c r="BH22" i="25"/>
  <c r="BY22" i="25"/>
  <c r="BG22" i="25"/>
  <c r="B24" i="25"/>
  <c r="O23" i="25"/>
  <c r="DA22" i="25"/>
  <c r="DB22" i="25" s="1"/>
  <c r="B25" i="31"/>
  <c r="J24" i="31"/>
  <c r="CE22" i="25" l="1"/>
  <c r="AM23" i="25"/>
  <c r="BI23" i="25"/>
  <c r="BW23" i="25"/>
  <c r="BV23" i="25"/>
  <c r="BT23" i="25"/>
  <c r="BS23" i="25"/>
  <c r="BR23" i="25"/>
  <c r="BP23" i="25"/>
  <c r="BN23" i="25"/>
  <c r="BM23" i="25"/>
  <c r="BK23" i="25"/>
  <c r="BH23" i="25"/>
  <c r="BY23" i="25"/>
  <c r="BG23" i="25"/>
  <c r="DA23" i="25"/>
  <c r="DB23" i="25" s="1"/>
  <c r="O24" i="25"/>
  <c r="B25" i="25"/>
  <c r="J25" i="31"/>
  <c r="B26" i="31"/>
  <c r="AM24" i="25" l="1"/>
  <c r="CE23" i="25"/>
  <c r="BI24" i="25"/>
  <c r="BV24" i="25"/>
  <c r="BT24" i="25"/>
  <c r="BS24" i="25"/>
  <c r="BR24" i="25"/>
  <c r="BK24" i="25"/>
  <c r="BW24" i="25"/>
  <c r="BP24" i="25"/>
  <c r="BN24" i="25"/>
  <c r="BM24" i="25"/>
  <c r="BH24" i="25"/>
  <c r="BY24" i="25"/>
  <c r="BG24" i="25"/>
  <c r="O25" i="25"/>
  <c r="B26" i="25"/>
  <c r="B27" i="31"/>
  <c r="J26" i="31"/>
  <c r="DA24" i="25"/>
  <c r="DB24" i="25" s="1"/>
  <c r="AM25" i="25" l="1"/>
  <c r="CE24" i="25"/>
  <c r="BI25" i="25"/>
  <c r="BW25" i="25"/>
  <c r="BV25" i="25"/>
  <c r="BT25" i="25"/>
  <c r="BS25" i="25"/>
  <c r="BR25" i="25"/>
  <c r="BP25" i="25"/>
  <c r="BN25" i="25"/>
  <c r="BM25" i="25"/>
  <c r="BK25" i="25"/>
  <c r="BH25" i="25"/>
  <c r="BY25" i="25"/>
  <c r="BG25" i="25"/>
  <c r="B28" i="31"/>
  <c r="J27" i="31"/>
  <c r="B27" i="25"/>
  <c r="O26" i="25"/>
  <c r="DA25" i="25"/>
  <c r="DB25" i="25" s="1"/>
  <c r="AM26" i="25" l="1"/>
  <c r="CE25" i="25"/>
  <c r="BI26" i="25"/>
  <c r="BW26" i="25"/>
  <c r="BV26" i="25"/>
  <c r="BT26" i="25"/>
  <c r="BS26" i="25"/>
  <c r="BR26" i="25"/>
  <c r="BP26" i="25"/>
  <c r="BN26" i="25"/>
  <c r="BM26" i="25"/>
  <c r="BK26" i="25"/>
  <c r="BH26" i="25"/>
  <c r="BY26" i="25"/>
  <c r="BG26" i="25"/>
  <c r="DA26" i="25"/>
  <c r="DB26" i="25" s="1"/>
  <c r="J28" i="31"/>
  <c r="B29" i="31"/>
  <c r="O27" i="25"/>
  <c r="B28" i="25"/>
  <c r="AM27" i="25" l="1"/>
  <c r="CE26" i="25"/>
  <c r="BI27" i="25"/>
  <c r="BW27" i="25"/>
  <c r="BV27" i="25"/>
  <c r="BT27" i="25"/>
  <c r="BS27" i="25"/>
  <c r="BR27" i="25"/>
  <c r="BP27" i="25"/>
  <c r="BN27" i="25"/>
  <c r="BM27" i="25"/>
  <c r="BK27" i="25"/>
  <c r="BH27" i="25"/>
  <c r="BY27" i="25"/>
  <c r="BG27" i="25"/>
  <c r="DA27" i="25"/>
  <c r="DB27" i="25" s="1"/>
  <c r="B29" i="25"/>
  <c r="O28" i="25"/>
  <c r="B30" i="31"/>
  <c r="J29" i="31"/>
  <c r="AM28" i="25" l="1"/>
  <c r="CE27" i="25"/>
  <c r="BI28" i="25"/>
  <c r="BW28" i="25"/>
  <c r="BT28" i="25"/>
  <c r="BP28" i="25"/>
  <c r="BN28" i="25"/>
  <c r="BM28" i="25"/>
  <c r="BK28" i="25"/>
  <c r="BH28" i="25"/>
  <c r="BV28" i="25"/>
  <c r="BS28" i="25"/>
  <c r="BR28" i="25"/>
  <c r="BY28" i="25"/>
  <c r="BG28" i="25"/>
  <c r="B30" i="25"/>
  <c r="O29" i="25"/>
  <c r="DA28" i="25"/>
  <c r="DB28" i="25" s="1"/>
  <c r="B31" i="31"/>
  <c r="J30" i="31"/>
  <c r="AM29" i="25" l="1"/>
  <c r="CE28" i="25"/>
  <c r="BI29" i="25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AM30" i="25" l="1"/>
  <c r="CE29" i="25"/>
  <c r="BI30" i="25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Q31" i="25" l="1"/>
  <c r="BA31" i="25"/>
  <c r="BB31" i="25"/>
  <c r="AX31" i="25"/>
  <c r="AP31" i="25"/>
  <c r="AW31" i="25"/>
  <c r="AR31" i="25"/>
  <c r="AZ31" i="25"/>
  <c r="AN31" i="25"/>
  <c r="DA31" i="25"/>
  <c r="DB31" i="25" s="1"/>
  <c r="BI31" i="25"/>
  <c r="AV31" i="25"/>
  <c r="AO31" i="25"/>
  <c r="BG31" i="25"/>
  <c r="BC31" i="25"/>
  <c r="AY31" i="25"/>
  <c r="AU31" i="25"/>
  <c r="AM31" i="25"/>
  <c r="AT31" i="25"/>
  <c r="AL31" i="25"/>
  <c r="AS31" i="25"/>
  <c r="BW31" i="25"/>
  <c r="BT31" i="25"/>
  <c r="BM31" i="25"/>
  <c r="BS31" i="25"/>
  <c r="BN31" i="25"/>
  <c r="BP31" i="25"/>
  <c r="BK31" i="25"/>
  <c r="BH31" i="25"/>
  <c r="BY31" i="25"/>
  <c r="BR31" i="25"/>
  <c r="BV31" i="25"/>
  <c r="CE30" i="25"/>
  <c r="B33" i="25"/>
  <c r="O32" i="25"/>
  <c r="B34" i="31"/>
  <c r="J33" i="31"/>
  <c r="CE31" i="25" l="1"/>
  <c r="DA32" i="25"/>
  <c r="DB32" i="25" s="1"/>
  <c r="BI32" i="25"/>
  <c r="CE32" i="25" s="1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CE33" i="25" s="1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CE34" i="25" s="1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CE35" i="25" s="1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CE36" i="25" s="1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CE37" i="25" s="1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CE38" i="25" s="1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B277" i="31"/>
  <c r="D18" i="43"/>
  <c r="J277" i="31" l="1"/>
  <c r="B278" i="31"/>
  <c r="G18" i="43"/>
  <c r="L18" i="43"/>
  <c r="BJ14" i="25" s="1"/>
  <c r="D19" i="43"/>
  <c r="L19" i="43" s="1"/>
  <c r="BJ15" i="25" s="1"/>
  <c r="B279" i="31" l="1"/>
  <c r="J278" i="31"/>
  <c r="D20" i="43"/>
  <c r="L20" i="43" s="1"/>
  <c r="BJ16" i="25" s="1"/>
  <c r="G19" i="43"/>
  <c r="J279" i="31" l="1"/>
  <c r="B280" i="31"/>
  <c r="D21" i="43"/>
  <c r="L21" i="43" s="1"/>
  <c r="BJ17" i="25" s="1"/>
  <c r="G20" i="43"/>
  <c r="J280" i="31" l="1"/>
  <c r="B281" i="31"/>
  <c r="D22" i="43"/>
  <c r="L22" i="43" s="1"/>
  <c r="BJ18" i="25" s="1"/>
  <c r="G21" i="43"/>
  <c r="J281" i="31" l="1"/>
  <c r="B282" i="31"/>
  <c r="D23" i="43"/>
  <c r="L23" i="43" s="1"/>
  <c r="BJ19" i="25" s="1"/>
  <c r="G22" i="43"/>
  <c r="J282" i="31" l="1"/>
  <c r="B283" i="31"/>
  <c r="D24" i="43"/>
  <c r="L24" i="43" s="1"/>
  <c r="BJ20" i="25" s="1"/>
  <c r="G23" i="43"/>
  <c r="J283" i="31" l="1"/>
  <c r="B284" i="31"/>
  <c r="D25" i="43"/>
  <c r="L25" i="43" s="1"/>
  <c r="BJ21" i="25" s="1"/>
  <c r="G24" i="43"/>
  <c r="J284" i="31" l="1"/>
  <c r="B285" i="31"/>
  <c r="D26" i="43"/>
  <c r="L26" i="43" s="1"/>
  <c r="BJ22" i="25" s="1"/>
  <c r="G25" i="43"/>
  <c r="J285" i="31" l="1"/>
  <c r="B286" i="31"/>
  <c r="D27" i="43"/>
  <c r="L27" i="43" s="1"/>
  <c r="BJ23" i="25" s="1"/>
  <c r="G26" i="43"/>
  <c r="J286" i="31" l="1"/>
  <c r="B287" i="31"/>
  <c r="D28" i="43"/>
  <c r="L28" i="43" s="1"/>
  <c r="BJ24" i="25" s="1"/>
  <c r="G27" i="43"/>
  <c r="J287" i="31" l="1"/>
  <c r="B288" i="31"/>
  <c r="D29" i="43"/>
  <c r="L29" i="43" s="1"/>
  <c r="BJ25" i="25" s="1"/>
  <c r="G28" i="43"/>
  <c r="J28" i="43" s="1"/>
  <c r="J288" i="31" l="1"/>
  <c r="B289" i="31"/>
  <c r="D30" i="43"/>
  <c r="L30" i="43" s="1"/>
  <c r="BJ26" i="25" s="1"/>
  <c r="G29" i="43"/>
  <c r="J29" i="43" s="1"/>
  <c r="B21" i="77"/>
  <c r="K28" i="43"/>
  <c r="B290" i="31" l="1"/>
  <c r="J289" i="31"/>
  <c r="D31" i="43"/>
  <c r="L31" i="43" s="1"/>
  <c r="BJ27" i="25" s="1"/>
  <c r="G30" i="43"/>
  <c r="J30" i="43" s="1"/>
  <c r="B22" i="77"/>
  <c r="K29" i="43"/>
  <c r="J290" i="31" l="1"/>
  <c r="B291" i="31"/>
  <c r="D32" i="43"/>
  <c r="L32" i="43" s="1"/>
  <c r="BJ28" i="25" s="1"/>
  <c r="G31" i="43"/>
  <c r="J31" i="43" s="1"/>
  <c r="B23" i="77"/>
  <c r="K30" i="43"/>
  <c r="J291" i="31" l="1"/>
  <c r="B292" i="31"/>
  <c r="D33" i="43"/>
  <c r="L33" i="43" s="1"/>
  <c r="BJ29" i="25" s="1"/>
  <c r="G32" i="43"/>
  <c r="J32" i="43" s="1"/>
  <c r="B24" i="77"/>
  <c r="K31" i="43"/>
  <c r="J292" i="31" l="1"/>
  <c r="B293" i="31"/>
  <c r="G33" i="43"/>
  <c r="D34" i="43"/>
  <c r="L34" i="43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B294" i="31" l="1"/>
  <c r="J293" i="31"/>
  <c r="BJ30" i="25"/>
  <c r="BJ31" i="25"/>
  <c r="J33" i="43"/>
  <c r="K33" i="43" s="1"/>
  <c r="G34" i="43"/>
  <c r="D35" i="43"/>
  <c r="L35" i="43" s="1"/>
  <c r="BJ32" i="25" s="1"/>
  <c r="J294" i="31" l="1"/>
  <c r="B295" i="31"/>
  <c r="J34" i="43"/>
  <c r="K34" i="43" s="1"/>
  <c r="G35" i="43"/>
  <c r="D36" i="43"/>
  <c r="L36" i="43" s="1"/>
  <c r="BJ33" i="25" l="1"/>
  <c r="BJ35" i="25"/>
  <c r="B296" i="31"/>
  <c r="J295" i="31"/>
  <c r="J35" i="43"/>
  <c r="K35" i="43" s="1"/>
  <c r="G36" i="43"/>
  <c r="D37" i="43"/>
  <c r="L37" i="43" s="1"/>
  <c r="BJ34" i="25" l="1"/>
  <c r="BJ36" i="25"/>
  <c r="B297" i="31"/>
  <c r="J296" i="31"/>
  <c r="J36" i="43"/>
  <c r="K36" i="43" s="1"/>
  <c r="G37" i="43"/>
  <c r="B298" i="31" l="1"/>
  <c r="J297" i="31"/>
  <c r="J37" i="43"/>
  <c r="K37" i="43" s="1"/>
  <c r="J298" i="31" l="1"/>
  <c r="B299" i="31"/>
  <c r="B300" i="31" l="1"/>
  <c r="J299" i="31"/>
  <c r="I79" i="25"/>
  <c r="J300" i="31" l="1"/>
  <c r="B301" i="31"/>
  <c r="J301" i="31" l="1"/>
  <c r="B302" i="31"/>
  <c r="J302" i="31" l="1"/>
  <c r="B303" i="31"/>
  <c r="J303" i="31" l="1"/>
  <c r="B304" i="31"/>
  <c r="B305" i="31" l="1"/>
  <c r="J304" i="31"/>
  <c r="B306" i="31" l="1"/>
  <c r="J305" i="31"/>
  <c r="B307" i="31" l="1"/>
  <c r="J306" i="31"/>
  <c r="B308" i="31" l="1"/>
  <c r="J307" i="31"/>
  <c r="B309" i="31" l="1"/>
  <c r="J308" i="31"/>
  <c r="B310" i="31" l="1"/>
  <c r="J309" i="31"/>
  <c r="B311" i="31" l="1"/>
  <c r="J310" i="31"/>
  <c r="AQ13" i="25"/>
  <c r="B312" i="31" l="1"/>
  <c r="J311" i="31"/>
  <c r="CI13" i="25"/>
  <c r="AL13" i="25"/>
  <c r="AL14" i="25"/>
  <c r="J312" i="31" l="1"/>
  <c r="B313" i="31"/>
  <c r="CD13" i="25"/>
  <c r="CD14" i="25"/>
  <c r="J313" i="31" l="1"/>
  <c r="B314" i="31"/>
  <c r="AQ14" i="25"/>
  <c r="AQ15" i="25"/>
  <c r="J314" i="31" l="1"/>
  <c r="B315" i="31"/>
  <c r="CI15" i="25"/>
  <c r="CI14" i="25"/>
  <c r="AL15" i="25"/>
  <c r="AQ16" i="25"/>
  <c r="AL16" i="25"/>
  <c r="AL17" i="25"/>
  <c r="J315" i="31" l="1"/>
  <c r="B316" i="31"/>
  <c r="CD16" i="25"/>
  <c r="CD15" i="25"/>
  <c r="CD17" i="25"/>
  <c r="CI16" i="25"/>
  <c r="AQ17" i="25"/>
  <c r="AL18" i="25"/>
  <c r="J316" i="31" l="1"/>
  <c r="B317" i="31"/>
  <c r="CI17" i="25"/>
  <c r="CD18" i="25"/>
  <c r="AL19" i="25"/>
  <c r="AQ18" i="25"/>
  <c r="CI18" i="25" l="1"/>
  <c r="J317" i="31"/>
  <c r="B318" i="31"/>
  <c r="CD19" i="25"/>
  <c r="AQ19" i="25"/>
  <c r="CI19" i="25" s="1"/>
  <c r="J318" i="31" l="1"/>
  <c r="B319" i="31"/>
  <c r="AL20" i="25"/>
  <c r="AL21" i="25"/>
  <c r="AQ20" i="25"/>
  <c r="CI20" i="25" s="1"/>
  <c r="J319" i="31" l="1"/>
  <c r="B320" i="31"/>
  <c r="CD21" i="25"/>
  <c r="DB5" i="25"/>
  <c r="CD20" i="25"/>
  <c r="AL22" i="25"/>
  <c r="CD22" i="25" s="1"/>
  <c r="AQ21" i="25"/>
  <c r="CI21" i="25" s="1"/>
  <c r="DC31" i="25" l="1"/>
  <c r="DC32" i="25"/>
  <c r="DC33" i="25"/>
  <c r="DC34" i="25"/>
  <c r="DC35" i="25"/>
  <c r="DC36" i="25"/>
  <c r="DC37" i="25"/>
  <c r="DC38" i="25"/>
  <c r="J320" i="31"/>
  <c r="B321" i="31"/>
  <c r="DC13" i="25"/>
  <c r="DC29" i="25"/>
  <c r="DC18" i="25"/>
  <c r="DC27" i="25"/>
  <c r="DC21" i="25"/>
  <c r="DC19" i="25"/>
  <c r="DC26" i="25"/>
  <c r="DC24" i="25"/>
  <c r="DC17" i="25"/>
  <c r="DC15" i="25"/>
  <c r="DC20" i="25"/>
  <c r="DC22" i="25"/>
  <c r="DC16" i="25"/>
  <c r="DC28" i="25"/>
  <c r="DC25" i="25"/>
  <c r="DC23" i="25"/>
  <c r="DC14" i="25"/>
  <c r="DC30" i="25"/>
  <c r="AL23" i="25"/>
  <c r="CD23" i="25" s="1"/>
  <c r="J321" i="31" l="1"/>
  <c r="B322" i="31"/>
  <c r="AQ22" i="25"/>
  <c r="CI22" i="25" s="1"/>
  <c r="AQ23" i="25"/>
  <c r="AL24" i="25"/>
  <c r="CD24" i="25" s="1"/>
  <c r="J322" i="31" l="1"/>
  <c r="B323" i="31"/>
  <c r="CI23" i="25"/>
  <c r="AQ24" i="25"/>
  <c r="CI24" i="25" s="1"/>
  <c r="AL25" i="25"/>
  <c r="CD25" i="25" s="1"/>
  <c r="J323" i="31" l="1"/>
  <c r="J324" i="31"/>
  <c r="AQ25" i="25"/>
  <c r="CI25" i="25" s="1"/>
  <c r="AL26" i="25"/>
  <c r="CD26" i="25" s="1"/>
  <c r="AL27" i="25"/>
  <c r="CD27" i="25" l="1"/>
  <c r="AN13" i="25"/>
  <c r="AQ26" i="25"/>
  <c r="CI26" i="25" s="1"/>
  <c r="AN14" i="25" l="1"/>
  <c r="CF14" i="25" s="1"/>
  <c r="AL28" i="25"/>
  <c r="CD28" i="25" s="1"/>
  <c r="CF13" i="25"/>
  <c r="AQ27" i="25"/>
  <c r="CI27" i="25" s="1"/>
  <c r="AL29" i="25" l="1"/>
  <c r="CD29" i="25" s="1"/>
  <c r="AQ28" i="25"/>
  <c r="CI28" i="25" s="1"/>
  <c r="AQ30" i="25"/>
  <c r="AQ29" i="25"/>
  <c r="AL30" i="25"/>
  <c r="AN15" i="25"/>
  <c r="AN16" i="25"/>
  <c r="CD31" i="25" l="1"/>
  <c r="CD32" i="25"/>
  <c r="CI33" i="25"/>
  <c r="CI37" i="25"/>
  <c r="CI36" i="25"/>
  <c r="CI35" i="25"/>
  <c r="CI31" i="25"/>
  <c r="CI38" i="25"/>
  <c r="CI34" i="25"/>
  <c r="CI32" i="25"/>
  <c r="CI29" i="25"/>
  <c r="CF16" i="25"/>
  <c r="CF15" i="25"/>
  <c r="CD30" i="25"/>
  <c r="CI30" i="25"/>
  <c r="AN18" i="25"/>
  <c r="AN17" i="25" l="1"/>
  <c r="AN20" i="25"/>
  <c r="AN19" i="25"/>
  <c r="CF19" i="25" l="1"/>
  <c r="CF17" i="25"/>
  <c r="CF18" i="25"/>
  <c r="CF20" i="25"/>
  <c r="AO18" i="25" l="1"/>
  <c r="AO19" i="25"/>
  <c r="AO20" i="25"/>
  <c r="AO14" i="25"/>
  <c r="AO17" i="25"/>
  <c r="AO15" i="25"/>
  <c r="AO16" i="25"/>
  <c r="AN22" i="25"/>
  <c r="AO13" i="25" l="1"/>
  <c r="AO22" i="25"/>
  <c r="CG13" i="25" l="1"/>
  <c r="CG17" i="25"/>
  <c r="CG14" i="25"/>
  <c r="CG20" i="25"/>
  <c r="CG15" i="25"/>
  <c r="CG18" i="25"/>
  <c r="CG16" i="25"/>
  <c r="CG19" i="25"/>
  <c r="AN21" i="25"/>
  <c r="CF22" i="25" l="1"/>
  <c r="CF21" i="25"/>
  <c r="AN26" i="25"/>
  <c r="AN24" i="25"/>
  <c r="AN23" i="25"/>
  <c r="AO21" i="25"/>
  <c r="CF24" i="25" l="1"/>
  <c r="CF23" i="25"/>
  <c r="CG21" i="25"/>
  <c r="CG22" i="25"/>
  <c r="AO23" i="25"/>
  <c r="CG23" i="25" s="1"/>
  <c r="AO26" i="25"/>
  <c r="AN30" i="25"/>
  <c r="AO24" i="25" l="1"/>
  <c r="CG24" i="25" l="1"/>
  <c r="AO30" i="25"/>
  <c r="AN28" i="25" l="1"/>
  <c r="AN29" i="25"/>
  <c r="AN25" i="25"/>
  <c r="AO28" i="25"/>
  <c r="CF25" i="25" l="1"/>
  <c r="CF26" i="25"/>
  <c r="AO29" i="25"/>
  <c r="AO25" i="25" l="1"/>
  <c r="AN27" i="25" l="1"/>
  <c r="CG26" i="25"/>
  <c r="CG25" i="25"/>
  <c r="CF35" i="25" l="1"/>
  <c r="CF36" i="25"/>
  <c r="CF38" i="25"/>
  <c r="CF32" i="25"/>
  <c r="CF31" i="25"/>
  <c r="CF37" i="25"/>
  <c r="CF33" i="25"/>
  <c r="CF34" i="25"/>
  <c r="CF27" i="25"/>
  <c r="CF29" i="25"/>
  <c r="CF30" i="25"/>
  <c r="CF28" i="25"/>
  <c r="AO27" i="25" l="1"/>
  <c r="AP15" i="25"/>
  <c r="AP19" i="25"/>
  <c r="AP26" i="25"/>
  <c r="AP29" i="25"/>
  <c r="AP18" i="25"/>
  <c r="AP24" i="25"/>
  <c r="AP25" i="25"/>
  <c r="AP17" i="25"/>
  <c r="AP30" i="25"/>
  <c r="AP20" i="25"/>
  <c r="AP23" i="25"/>
  <c r="AP22" i="25"/>
  <c r="AP21" i="25"/>
  <c r="AP27" i="25"/>
  <c r="AP16" i="25"/>
  <c r="AP28" i="25"/>
  <c r="AP14" i="25"/>
  <c r="CG35" i="25" l="1"/>
  <c r="CG33" i="25"/>
  <c r="CG36" i="25"/>
  <c r="CG34" i="25"/>
  <c r="CG32" i="25"/>
  <c r="CG38" i="25"/>
  <c r="CG37" i="25"/>
  <c r="CG31" i="25"/>
  <c r="AP13" i="25"/>
  <c r="CG30" i="25"/>
  <c r="CG29" i="25"/>
  <c r="CG27" i="25"/>
  <c r="CG28" i="25"/>
  <c r="CH37" i="25" l="1"/>
  <c r="CH35" i="25"/>
  <c r="CH33" i="25"/>
  <c r="CH38" i="25"/>
  <c r="CH36" i="25"/>
  <c r="CH34" i="25"/>
  <c r="CH32" i="25"/>
  <c r="CH31" i="25"/>
  <c r="CH26" i="25"/>
  <c r="CH28" i="25"/>
  <c r="CH23" i="25"/>
  <c r="CH25" i="25"/>
  <c r="CH21" i="25"/>
  <c r="CH19" i="25"/>
  <c r="CH13" i="25"/>
  <c r="CH24" i="25"/>
  <c r="CH27" i="25"/>
  <c r="CH20" i="25"/>
  <c r="CH30" i="25"/>
  <c r="CH17" i="25"/>
  <c r="CH29" i="25"/>
  <c r="CH15" i="25"/>
  <c r="CH18" i="25"/>
  <c r="CH16" i="25"/>
  <c r="CH14" i="25"/>
  <c r="CH22" i="25"/>
  <c r="AV14" i="25" l="1"/>
  <c r="AV13" i="25"/>
  <c r="AZ14" i="25" l="1"/>
  <c r="AZ13" i="25"/>
  <c r="CN14" i="25"/>
  <c r="CN13" i="25"/>
  <c r="CR14" i="25" l="1"/>
  <c r="CR13" i="25"/>
  <c r="AW13" i="25" l="1"/>
  <c r="AR14" i="25" l="1"/>
  <c r="CO14" i="25"/>
  <c r="CO13" i="25"/>
  <c r="AT14" i="25" l="1"/>
  <c r="AT13" i="25"/>
  <c r="AR13" i="25"/>
  <c r="AR15" i="25"/>
  <c r="CJ13" i="25" l="1"/>
  <c r="CJ15" i="25"/>
  <c r="CJ14" i="25"/>
  <c r="CL13" i="25"/>
  <c r="CL14" i="25"/>
  <c r="AT15" i="25"/>
  <c r="CL15" i="25" s="1"/>
  <c r="AR16" i="25"/>
  <c r="AT16" i="25"/>
  <c r="CL16" i="25" l="1"/>
  <c r="CJ16" i="25"/>
  <c r="AV16" i="25"/>
  <c r="AV15" i="25"/>
  <c r="AT17" i="25"/>
  <c r="CL17" i="25" s="1"/>
  <c r="AR17" i="25"/>
  <c r="CJ17" i="25" l="1"/>
  <c r="CN16" i="25"/>
  <c r="CN15" i="25"/>
  <c r="CO15" i="25"/>
  <c r="AZ15" i="25"/>
  <c r="AZ16" i="25"/>
  <c r="AW17" i="25"/>
  <c r="AV17" i="25"/>
  <c r="CR15" i="25" l="1"/>
  <c r="CR16" i="25"/>
  <c r="CN17" i="25"/>
  <c r="AW16" i="25"/>
  <c r="AR18" i="25"/>
  <c r="AZ17" i="25"/>
  <c r="CR17" i="25" s="1"/>
  <c r="AR19" i="25"/>
  <c r="AR20" i="25"/>
  <c r="CJ19" i="25" l="1"/>
  <c r="CJ18" i="25"/>
  <c r="CJ20" i="25"/>
  <c r="CO17" i="25"/>
  <c r="CO16" i="25"/>
  <c r="AT18" i="25"/>
  <c r="AT19" i="25"/>
  <c r="AT20" i="25"/>
  <c r="AT21" i="25"/>
  <c r="CL18" i="25" l="1"/>
  <c r="CL21" i="25"/>
  <c r="CL19" i="25"/>
  <c r="CL20" i="25"/>
  <c r="AV18" i="25"/>
  <c r="AW18" i="25"/>
  <c r="AV20" i="25"/>
  <c r="AT22" i="25"/>
  <c r="CL22" i="25" s="1"/>
  <c r="AV19" i="25"/>
  <c r="AR22" i="25"/>
  <c r="AR21" i="25"/>
  <c r="AV22" i="25"/>
  <c r="CO18" i="25" l="1"/>
  <c r="CJ21" i="25"/>
  <c r="CJ22" i="25"/>
  <c r="CN19" i="25"/>
  <c r="CN20" i="25"/>
  <c r="CN18" i="25"/>
  <c r="AW20" i="25"/>
  <c r="AZ18" i="25"/>
  <c r="AW22" i="25"/>
  <c r="AR23" i="25"/>
  <c r="CJ23" i="25" s="1"/>
  <c r="AR24" i="25"/>
  <c r="AV21" i="25"/>
  <c r="AW21" i="25"/>
  <c r="AV28" i="25"/>
  <c r="CJ24" i="25" l="1"/>
  <c r="CN21" i="25"/>
  <c r="CN22" i="25"/>
  <c r="AW19" i="25"/>
  <c r="CR18" i="25"/>
  <c r="AZ22" i="25"/>
  <c r="AV26" i="25"/>
  <c r="AR25" i="25"/>
  <c r="CJ25" i="25" s="1"/>
  <c r="AZ28" i="25"/>
  <c r="AT24" i="25"/>
  <c r="AZ21" i="25"/>
  <c r="AZ19" i="25"/>
  <c r="AT26" i="25"/>
  <c r="AT28" i="25"/>
  <c r="AR28" i="25" l="1"/>
  <c r="CR19" i="25"/>
  <c r="AR26" i="25"/>
  <c r="CJ26" i="25" s="1"/>
  <c r="AZ20" i="25"/>
  <c r="CR21" i="25" s="1"/>
  <c r="CO19" i="25"/>
  <c r="CO22" i="25"/>
  <c r="CO20" i="25"/>
  <c r="CO21" i="25"/>
  <c r="AT23" i="25"/>
  <c r="CL23" i="25" s="1"/>
  <c r="AX13" i="25"/>
  <c r="AX16" i="25"/>
  <c r="AX21" i="25"/>
  <c r="AX20" i="25"/>
  <c r="AX17" i="25"/>
  <c r="AX14" i="25"/>
  <c r="AX18" i="25"/>
  <c r="AX22" i="25"/>
  <c r="AX19" i="25"/>
  <c r="AX15" i="25"/>
  <c r="AV29" i="25"/>
  <c r="AW26" i="25"/>
  <c r="AV23" i="25"/>
  <c r="AV24" i="25"/>
  <c r="AR27" i="25"/>
  <c r="AT29" i="25"/>
  <c r="AT27" i="25"/>
  <c r="AT25" i="25"/>
  <c r="AR29" i="25"/>
  <c r="CN24" i="25" l="1"/>
  <c r="CJ29" i="25"/>
  <c r="CJ27" i="25"/>
  <c r="CL25" i="25"/>
  <c r="AU16" i="25"/>
  <c r="AU20" i="25"/>
  <c r="AU24" i="25"/>
  <c r="AU23" i="25"/>
  <c r="AU27" i="25"/>
  <c r="AU29" i="25"/>
  <c r="AU22" i="25"/>
  <c r="AU15" i="25"/>
  <c r="AU21" i="25"/>
  <c r="AU18" i="25"/>
  <c r="AU28" i="25"/>
  <c r="AU13" i="25"/>
  <c r="AU17" i="25"/>
  <c r="AU19" i="25"/>
  <c r="AU25" i="25"/>
  <c r="AU14" i="25"/>
  <c r="AU26" i="25"/>
  <c r="AS26" i="25"/>
  <c r="AS15" i="25"/>
  <c r="AS18" i="25"/>
  <c r="AS23" i="25"/>
  <c r="AS22" i="25"/>
  <c r="AS16" i="25"/>
  <c r="AS19" i="25"/>
  <c r="AS24" i="25"/>
  <c r="AS20" i="25"/>
  <c r="AS13" i="25"/>
  <c r="AS17" i="25"/>
  <c r="AS21" i="25"/>
  <c r="AS29" i="25"/>
  <c r="AS27" i="25"/>
  <c r="AS25" i="25"/>
  <c r="AS14" i="25"/>
  <c r="AS28" i="25"/>
  <c r="CJ28" i="25"/>
  <c r="CL29" i="25"/>
  <c r="CP20" i="25"/>
  <c r="CP21" i="25"/>
  <c r="CP17" i="25"/>
  <c r="CP18" i="25"/>
  <c r="CP15" i="25"/>
  <c r="CP16" i="25"/>
  <c r="CP13" i="25"/>
  <c r="CP14" i="25"/>
  <c r="CP22" i="25"/>
  <c r="CP19" i="25"/>
  <c r="CL26" i="25"/>
  <c r="CL28" i="25"/>
  <c r="CL27" i="25"/>
  <c r="AW28" i="25"/>
  <c r="CN23" i="25"/>
  <c r="AX26" i="25"/>
  <c r="BA22" i="25"/>
  <c r="BA21" i="25"/>
  <c r="BA20" i="25"/>
  <c r="BA14" i="25"/>
  <c r="BA18" i="25"/>
  <c r="BA16" i="25"/>
  <c r="BA28" i="25"/>
  <c r="BA13" i="25"/>
  <c r="BA15" i="25"/>
  <c r="BA19" i="25"/>
  <c r="BA17" i="25"/>
  <c r="CR22" i="25"/>
  <c r="CL24" i="25"/>
  <c r="AX28" i="25"/>
  <c r="CR20" i="25"/>
  <c r="AZ25" i="25"/>
  <c r="AV30" i="25"/>
  <c r="AZ23" i="25"/>
  <c r="CR23" i="25" s="1"/>
  <c r="AZ26" i="25"/>
  <c r="AV25" i="25"/>
  <c r="AU30" i="25"/>
  <c r="AV27" i="25"/>
  <c r="CN31" i="25" l="1"/>
  <c r="CN35" i="25"/>
  <c r="CN38" i="25"/>
  <c r="CN37" i="25"/>
  <c r="CN32" i="25"/>
  <c r="CN34" i="25"/>
  <c r="CN36" i="25"/>
  <c r="CM38" i="25"/>
  <c r="CM36" i="25"/>
  <c r="CM34" i="25"/>
  <c r="CM37" i="25"/>
  <c r="CM35" i="25"/>
  <c r="CM33" i="25"/>
  <c r="CM32" i="25"/>
  <c r="CM31" i="25"/>
  <c r="CN33" i="25"/>
  <c r="CN29" i="25"/>
  <c r="CM30" i="25"/>
  <c r="AX23" i="25"/>
  <c r="AW25" i="25"/>
  <c r="AX25" i="25"/>
  <c r="AT30" i="25"/>
  <c r="AW24" i="25"/>
  <c r="AX24" i="25"/>
  <c r="AW29" i="25"/>
  <c r="AX29" i="25"/>
  <c r="BA26" i="25"/>
  <c r="CN25" i="25"/>
  <c r="AY26" i="25"/>
  <c r="AY23" i="25"/>
  <c r="AY24" i="25"/>
  <c r="AY29" i="25"/>
  <c r="AY17" i="25"/>
  <c r="AY22" i="25"/>
  <c r="AY28" i="25"/>
  <c r="AY19" i="25"/>
  <c r="AY13" i="25"/>
  <c r="AY16" i="25"/>
  <c r="AY20" i="25"/>
  <c r="AY14" i="25"/>
  <c r="AY25" i="25"/>
  <c r="AY15" i="25"/>
  <c r="AY18" i="25"/>
  <c r="AY21" i="25"/>
  <c r="CN27" i="25"/>
  <c r="CN28" i="25"/>
  <c r="AR30" i="25"/>
  <c r="CN26" i="25"/>
  <c r="BA25" i="25"/>
  <c r="AS30" i="25"/>
  <c r="CK30" i="25" s="1"/>
  <c r="CK29" i="25"/>
  <c r="CK13" i="25"/>
  <c r="CK21" i="25"/>
  <c r="CK24" i="25"/>
  <c r="CK14" i="25"/>
  <c r="CK20" i="25"/>
  <c r="CK15" i="25"/>
  <c r="CK27" i="25"/>
  <c r="CK16" i="25"/>
  <c r="CK17" i="25"/>
  <c r="CK22" i="25"/>
  <c r="CK25" i="25"/>
  <c r="CK26" i="25"/>
  <c r="CK28" i="25"/>
  <c r="CK19" i="25"/>
  <c r="CK18" i="25"/>
  <c r="CK23" i="25"/>
  <c r="CM20" i="25"/>
  <c r="CM14" i="25"/>
  <c r="CM13" i="25"/>
  <c r="CM26" i="25"/>
  <c r="CM19" i="25"/>
  <c r="CM15" i="25"/>
  <c r="CM18" i="25"/>
  <c r="CM25" i="25"/>
  <c r="CM21" i="25"/>
  <c r="CM17" i="25"/>
  <c r="CM28" i="25"/>
  <c r="CM22" i="25"/>
  <c r="CM16" i="25"/>
  <c r="CM23" i="25"/>
  <c r="CM24" i="25"/>
  <c r="CM27" i="25"/>
  <c r="CM29" i="25"/>
  <c r="CN30" i="25"/>
  <c r="BA23" i="25"/>
  <c r="CS23" i="25" s="1"/>
  <c r="CS19" i="25"/>
  <c r="CS21" i="25"/>
  <c r="CS15" i="25"/>
  <c r="CS14" i="25"/>
  <c r="CS22" i="25"/>
  <c r="CS18" i="25"/>
  <c r="CS16" i="25"/>
  <c r="CS13" i="25"/>
  <c r="CS20" i="25"/>
  <c r="CS17" i="25"/>
  <c r="AY30" i="25"/>
  <c r="AY27" i="25"/>
  <c r="CK32" i="25" l="1"/>
  <c r="CK31" i="25"/>
  <c r="CK37" i="25"/>
  <c r="CJ31" i="25"/>
  <c r="CJ36" i="25"/>
  <c r="CJ35" i="25"/>
  <c r="CJ37" i="25"/>
  <c r="CJ33" i="25"/>
  <c r="CJ32" i="25"/>
  <c r="CJ34" i="25"/>
  <c r="CJ38" i="25"/>
  <c r="CK38" i="25"/>
  <c r="CL36" i="25"/>
  <c r="CL37" i="25"/>
  <c r="CL38" i="25"/>
  <c r="CL34" i="25"/>
  <c r="CL31" i="25"/>
  <c r="CL32" i="25"/>
  <c r="CL33" i="25"/>
  <c r="CL35" i="25"/>
  <c r="CK35" i="25"/>
  <c r="CK33" i="25"/>
  <c r="CQ35" i="25"/>
  <c r="CQ36" i="25"/>
  <c r="CQ33" i="25"/>
  <c r="CQ37" i="25"/>
  <c r="CQ34" i="25"/>
  <c r="CQ38" i="25"/>
  <c r="CQ32" i="25"/>
  <c r="CQ31" i="25"/>
  <c r="CK36" i="25"/>
  <c r="CK34" i="25"/>
  <c r="AZ30" i="25"/>
  <c r="BA30" i="25"/>
  <c r="AZ29" i="25"/>
  <c r="BA29" i="25"/>
  <c r="AZ24" i="25"/>
  <c r="BA24" i="25"/>
  <c r="CJ30" i="25"/>
  <c r="CL30" i="25"/>
  <c r="CP26" i="25"/>
  <c r="CP23" i="25"/>
  <c r="CP25" i="25"/>
  <c r="CP24" i="25"/>
  <c r="CQ20" i="25"/>
  <c r="CQ13" i="25"/>
  <c r="CQ24" i="25"/>
  <c r="CQ21" i="25"/>
  <c r="CQ23" i="25"/>
  <c r="CQ25" i="25"/>
  <c r="CQ15" i="25"/>
  <c r="CQ18" i="25"/>
  <c r="CQ14" i="25"/>
  <c r="CQ22" i="25"/>
  <c r="CQ19" i="25"/>
  <c r="CQ26" i="25"/>
  <c r="CQ16" i="25"/>
  <c r="CQ17" i="25"/>
  <c r="CQ27" i="25"/>
  <c r="CQ30" i="25"/>
  <c r="CQ28" i="25"/>
  <c r="CQ29" i="25"/>
  <c r="AW23" i="25"/>
  <c r="A76" i="25"/>
  <c r="AW27" i="25"/>
  <c r="AX27" i="25"/>
  <c r="CP28" i="25" s="1"/>
  <c r="AW30" i="25"/>
  <c r="AX30" i="25"/>
  <c r="AZ27" i="25"/>
  <c r="BA27" i="25"/>
  <c r="CP33" i="25" l="1"/>
  <c r="CP31" i="25"/>
  <c r="CS34" i="25"/>
  <c r="CS38" i="25"/>
  <c r="CP36" i="25"/>
  <c r="CP38" i="25"/>
  <c r="CO35" i="25"/>
  <c r="CO36" i="25"/>
  <c r="CO37" i="25"/>
  <c r="CO31" i="25"/>
  <c r="CO33" i="25"/>
  <c r="CO32" i="25"/>
  <c r="CO38" i="25"/>
  <c r="CO34" i="25"/>
  <c r="CS32" i="25"/>
  <c r="CR38" i="25"/>
  <c r="CR36" i="25"/>
  <c r="CR34" i="25"/>
  <c r="CR32" i="25"/>
  <c r="CR37" i="25"/>
  <c r="CR33" i="25"/>
  <c r="CR31" i="25"/>
  <c r="CR35" i="25"/>
  <c r="CS36" i="25"/>
  <c r="CS33" i="25"/>
  <c r="CP32" i="25"/>
  <c r="CP34" i="25"/>
  <c r="CS31" i="25"/>
  <c r="CS37" i="25"/>
  <c r="CP37" i="25"/>
  <c r="CP35" i="25"/>
  <c r="CS35" i="25"/>
  <c r="CS29" i="25"/>
  <c r="CO23" i="25"/>
  <c r="CO26" i="25"/>
  <c r="CO28" i="25"/>
  <c r="CS30" i="25"/>
  <c r="CP27" i="25"/>
  <c r="CS25" i="25"/>
  <c r="CS27" i="25"/>
  <c r="CS24" i="25"/>
  <c r="CS26" i="25"/>
  <c r="CR28" i="25"/>
  <c r="CR27" i="25"/>
  <c r="CO29" i="25"/>
  <c r="CR24" i="25"/>
  <c r="CR25" i="25"/>
  <c r="CR26" i="25"/>
  <c r="CR29" i="25"/>
  <c r="BB13" i="25"/>
  <c r="BB17" i="25"/>
  <c r="BB19" i="25"/>
  <c r="BB23" i="25"/>
  <c r="BB26" i="25"/>
  <c r="BB27" i="25"/>
  <c r="BB30" i="25"/>
  <c r="BB15" i="25"/>
  <c r="BB20" i="25"/>
  <c r="BB16" i="25"/>
  <c r="BB24" i="25"/>
  <c r="BB14" i="25"/>
  <c r="BB18" i="25"/>
  <c r="BB28" i="25"/>
  <c r="BB21" i="25"/>
  <c r="BB29" i="25"/>
  <c r="BB22" i="25"/>
  <c r="BB25" i="25"/>
  <c r="CO30" i="25"/>
  <c r="CO27" i="25"/>
  <c r="CP29" i="25"/>
  <c r="CO25" i="25"/>
  <c r="CS28" i="25"/>
  <c r="CP30" i="25"/>
  <c r="CO24" i="25"/>
  <c r="CR30" i="25"/>
  <c r="CT38" i="25" l="1"/>
  <c r="CT36" i="25"/>
  <c r="CT33" i="25"/>
  <c r="CT37" i="25"/>
  <c r="CT35" i="25"/>
  <c r="CT34" i="25"/>
  <c r="CT32" i="25"/>
  <c r="CT31" i="25"/>
  <c r="CT18" i="25"/>
  <c r="CT24" i="25"/>
  <c r="CT25" i="25"/>
  <c r="CT23" i="25"/>
  <c r="CT30" i="25"/>
  <c r="CT16" i="25"/>
  <c r="CT15" i="25"/>
  <c r="CT26" i="25"/>
  <c r="CT21" i="25"/>
  <c r="CT20" i="25"/>
  <c r="CT17" i="25"/>
  <c r="CT19" i="25"/>
  <c r="CT14" i="25"/>
  <c r="CT29" i="25"/>
  <c r="CT28" i="25"/>
  <c r="CT27" i="25"/>
  <c r="CT22" i="25"/>
  <c r="CT13" i="25"/>
  <c r="BC26" i="25"/>
  <c r="BC25" i="25"/>
  <c r="BC16" i="25"/>
  <c r="BC22" i="25"/>
  <c r="BC23" i="25"/>
  <c r="BC21" i="25"/>
  <c r="BC29" i="25"/>
  <c r="BC30" i="25"/>
  <c r="BC14" i="25"/>
  <c r="BC19" i="25"/>
  <c r="BC18" i="25"/>
  <c r="BC15" i="25"/>
  <c r="BC13" i="25"/>
  <c r="BC24" i="25"/>
  <c r="BC27" i="25"/>
  <c r="BC17" i="25"/>
  <c r="BC20" i="25"/>
  <c r="BC28" i="25" l="1"/>
  <c r="CU29" i="25" s="1"/>
  <c r="CY29" i="25" s="1"/>
  <c r="C29" i="25" s="1"/>
  <c r="A75" i="25"/>
  <c r="AL33" i="25"/>
  <c r="CU17" i="25"/>
  <c r="CY17" i="25" s="1"/>
  <c r="C17" i="25" s="1"/>
  <c r="CU13" i="25"/>
  <c r="CY13" i="25" s="1"/>
  <c r="C13" i="25" s="1"/>
  <c r="CU21" i="25"/>
  <c r="CY21" i="25" s="1"/>
  <c r="C21" i="25" s="1"/>
  <c r="CU28" i="25"/>
  <c r="CY28" i="25" s="1"/>
  <c r="C28" i="25" s="1"/>
  <c r="CU15" i="25"/>
  <c r="CY15" i="25" s="1"/>
  <c r="C15" i="25" s="1"/>
  <c r="CU23" i="25"/>
  <c r="CY23" i="25" s="1"/>
  <c r="C23" i="25" s="1"/>
  <c r="CU19" i="25"/>
  <c r="CY19" i="25" s="1"/>
  <c r="C19" i="25" s="1"/>
  <c r="CU30" i="25"/>
  <c r="CY30" i="25" s="1"/>
  <c r="C30" i="25" s="1"/>
  <c r="CU24" i="25"/>
  <c r="CY24" i="25" s="1"/>
  <c r="C24" i="25" s="1"/>
  <c r="CU26" i="25"/>
  <c r="CY26" i="25" s="1"/>
  <c r="C26" i="25" s="1"/>
  <c r="CU18" i="25"/>
  <c r="CY18" i="25" s="1"/>
  <c r="C18" i="25" s="1"/>
  <c r="CU22" i="25"/>
  <c r="CY22" i="25" s="1"/>
  <c r="C22" i="25" s="1"/>
  <c r="CU16" i="25"/>
  <c r="CY16" i="25" s="1"/>
  <c r="C16" i="25" s="1"/>
  <c r="CU20" i="25"/>
  <c r="CY20" i="25" s="1"/>
  <c r="C20" i="25" s="1"/>
  <c r="CU27" i="25"/>
  <c r="CY27" i="25" s="1"/>
  <c r="C27" i="25" s="1"/>
  <c r="CU25" i="25"/>
  <c r="CY25" i="25" s="1"/>
  <c r="C25" i="25" s="1"/>
  <c r="CU14" i="25"/>
  <c r="CY14" i="25" s="1"/>
  <c r="C14" i="25" s="1"/>
  <c r="CD37" i="25" l="1"/>
  <c r="CD33" i="25"/>
  <c r="CD36" i="25"/>
  <c r="CD38" i="25"/>
  <c r="CD34" i="25"/>
  <c r="CD35" i="25"/>
  <c r="CU37" i="25"/>
  <c r="CY37" i="25" s="1"/>
  <c r="C37" i="25" s="1"/>
  <c r="CU36" i="25"/>
  <c r="CU33" i="25"/>
  <c r="CU32" i="25"/>
  <c r="CY32" i="25" s="1"/>
  <c r="C32" i="25" s="1"/>
  <c r="CU35" i="25"/>
  <c r="CY35" i="25" s="1"/>
  <c r="C35" i="25" s="1"/>
  <c r="CU31" i="25"/>
  <c r="CY31" i="25" s="1"/>
  <c r="C31" i="25" s="1"/>
  <c r="CU38" i="25"/>
  <c r="CU34" i="25"/>
  <c r="CY34" i="25" s="1"/>
  <c r="C34" i="25" s="1"/>
  <c r="A77" i="25"/>
  <c r="CY36" i="25" l="1"/>
  <c r="C36" i="25" s="1"/>
  <c r="CY38" i="25"/>
  <c r="C38" i="25" s="1"/>
  <c r="CY33" i="25"/>
  <c r="C33" i="25" s="1"/>
  <c r="K324" i="31" l="1"/>
  <c r="J18" i="43" l="1"/>
  <c r="I19" i="43"/>
  <c r="J19" i="43" l="1"/>
  <c r="I20" i="43"/>
  <c r="K18" i="43"/>
  <c r="B11" i="77"/>
  <c r="I21" i="43" l="1"/>
  <c r="J20" i="43"/>
  <c r="B12" i="77"/>
  <c r="K19" i="43"/>
  <c r="K20" i="43" l="1"/>
  <c r="B13" i="77"/>
  <c r="J21" i="43"/>
  <c r="I22" i="43"/>
  <c r="B14" i="77" l="1"/>
  <c r="K21" i="43"/>
  <c r="I23" i="43"/>
  <c r="J22" i="43"/>
  <c r="J23" i="43" l="1"/>
  <c r="I24" i="43"/>
  <c r="B15" i="77"/>
  <c r="K22" i="43"/>
  <c r="I25" i="43" l="1"/>
  <c r="J24" i="43"/>
  <c r="K23" i="43"/>
  <c r="B16" i="77"/>
  <c r="K24" i="43" l="1"/>
  <c r="B17" i="77"/>
  <c r="J25" i="43"/>
  <c r="I26" i="43"/>
  <c r="I27" i="43" l="1"/>
  <c r="J27" i="43" s="1"/>
  <c r="J26" i="43"/>
  <c r="B18" i="77"/>
  <c r="K25" i="43"/>
  <c r="B19" i="77" l="1"/>
  <c r="K26" i="43"/>
  <c r="B20" i="77"/>
  <c r="B50" i="77" s="1"/>
  <c r="K27" i="43"/>
  <c r="D125" i="31" l="1"/>
  <c r="K125" i="31"/>
  <c r="K17" i="31"/>
  <c r="D17" i="31"/>
  <c r="K84" i="31"/>
  <c r="D84" i="31"/>
  <c r="D18" i="31"/>
  <c r="K18" i="31"/>
  <c r="D24" i="31"/>
  <c r="K24" i="31"/>
  <c r="D19" i="31"/>
  <c r="K19" i="31"/>
  <c r="K14" i="31"/>
  <c r="D14" i="31"/>
  <c r="K27" i="31"/>
  <c r="D27" i="31"/>
  <c r="K47" i="31"/>
  <c r="D47" i="31"/>
  <c r="K126" i="31"/>
  <c r="D126" i="31"/>
  <c r="K118" i="31"/>
  <c r="D118" i="31"/>
  <c r="K121" i="31"/>
  <c r="O25" i="31"/>
  <c r="D121" i="31"/>
  <c r="K130" i="31"/>
  <c r="D130" i="31"/>
  <c r="D58" i="31"/>
  <c r="K58" i="31"/>
  <c r="K50" i="31"/>
  <c r="D50" i="31"/>
  <c r="K89" i="31"/>
  <c r="D89" i="31"/>
  <c r="K79" i="31"/>
  <c r="D79" i="31"/>
  <c r="D75" i="31"/>
  <c r="K75" i="31"/>
  <c r="K85" i="31"/>
  <c r="O22" i="31"/>
  <c r="D85" i="31"/>
  <c r="D42" i="31"/>
  <c r="K42" i="31"/>
  <c r="D99" i="31"/>
  <c r="K99" i="31"/>
  <c r="K15" i="31"/>
  <c r="D15" i="31"/>
  <c r="D68" i="31"/>
  <c r="K68" i="31"/>
  <c r="K92" i="31"/>
  <c r="D92" i="31"/>
  <c r="K76" i="31"/>
  <c r="D76" i="31"/>
  <c r="D116" i="31"/>
  <c r="K116" i="31"/>
  <c r="K31" i="31"/>
  <c r="D31" i="31"/>
  <c r="K107" i="31"/>
  <c r="D107" i="31"/>
  <c r="D55" i="31"/>
  <c r="K55" i="31"/>
  <c r="D127" i="31"/>
  <c r="K127" i="31"/>
  <c r="K39" i="31"/>
  <c r="D39" i="31"/>
  <c r="K32" i="31"/>
  <c r="D32" i="31"/>
  <c r="D22" i="31"/>
  <c r="K22" i="31"/>
  <c r="K80" i="31"/>
  <c r="D80" i="31"/>
  <c r="D90" i="31"/>
  <c r="K90" i="31"/>
  <c r="D33" i="31"/>
  <c r="K33" i="31"/>
  <c r="D93" i="31"/>
  <c r="K93" i="31"/>
  <c r="D104" i="31"/>
  <c r="K104" i="31"/>
  <c r="D112" i="31"/>
  <c r="K112" i="31"/>
  <c r="D20" i="31"/>
  <c r="K20" i="31"/>
  <c r="D53" i="31"/>
  <c r="K53" i="31"/>
  <c r="K49" i="31"/>
  <c r="D49" i="31"/>
  <c r="O19" i="31"/>
  <c r="D109" i="31"/>
  <c r="O24" i="31"/>
  <c r="K109" i="31"/>
  <c r="D105" i="31"/>
  <c r="K105" i="31"/>
  <c r="D98" i="31"/>
  <c r="K98" i="31"/>
  <c r="D86" i="31"/>
  <c r="K86" i="31"/>
  <c r="D26" i="31"/>
  <c r="K26" i="31"/>
  <c r="D91" i="31"/>
  <c r="K91" i="31"/>
  <c r="D34" i="31"/>
  <c r="K34" i="31"/>
  <c r="D63" i="31"/>
  <c r="K63" i="31"/>
  <c r="O21" i="31"/>
  <c r="D73" i="31"/>
  <c r="K73" i="31"/>
  <c r="D67" i="31"/>
  <c r="K67" i="31"/>
  <c r="D108" i="31"/>
  <c r="K108" i="31"/>
  <c r="D81" i="31"/>
  <c r="K81" i="31"/>
  <c r="D115" i="31"/>
  <c r="K115" i="31"/>
  <c r="D83" i="31"/>
  <c r="K83" i="31"/>
  <c r="K113" i="31"/>
  <c r="D113" i="31"/>
  <c r="D101" i="31"/>
  <c r="K101" i="31"/>
  <c r="D117" i="31"/>
  <c r="K117" i="31"/>
  <c r="K64" i="31"/>
  <c r="D64" i="31"/>
  <c r="D114" i="31"/>
  <c r="K114" i="31"/>
  <c r="D43" i="31"/>
  <c r="K43" i="31"/>
  <c r="D23" i="31"/>
  <c r="K23" i="31"/>
  <c r="D46" i="31"/>
  <c r="K46" i="31"/>
  <c r="K29" i="31"/>
  <c r="D29" i="31"/>
  <c r="K52" i="31"/>
  <c r="D52" i="31"/>
  <c r="D129" i="31"/>
  <c r="K129" i="31"/>
  <c r="K94" i="31"/>
  <c r="D94" i="31"/>
  <c r="K82" i="31"/>
  <c r="D82" i="31"/>
  <c r="D95" i="31"/>
  <c r="K95" i="31"/>
  <c r="K57" i="31"/>
  <c r="D57" i="31"/>
  <c r="K72" i="31"/>
  <c r="D72" i="31"/>
  <c r="K25" i="31"/>
  <c r="O17" i="31"/>
  <c r="D12" i="31"/>
  <c r="G12" i="31" s="1"/>
  <c r="D25" i="31"/>
  <c r="K28" i="31"/>
  <c r="D28" i="31"/>
  <c r="K87" i="31"/>
  <c r="D87" i="31"/>
  <c r="K132" i="31"/>
  <c r="D132" i="31"/>
  <c r="D30" i="31"/>
  <c r="K30" i="31"/>
  <c r="D65" i="31"/>
  <c r="K65" i="31"/>
  <c r="K119" i="31"/>
  <c r="D119" i="31"/>
  <c r="K59" i="31"/>
  <c r="D59" i="31"/>
  <c r="D62" i="31"/>
  <c r="K62" i="31"/>
  <c r="D21" i="31"/>
  <c r="K21" i="31"/>
  <c r="D100" i="31"/>
  <c r="K100" i="31"/>
  <c r="D97" i="31"/>
  <c r="K97" i="31"/>
  <c r="O23" i="31"/>
  <c r="D77" i="31"/>
  <c r="K77" i="31"/>
  <c r="K102" i="31"/>
  <c r="D102" i="31"/>
  <c r="D128" i="31"/>
  <c r="K128" i="31"/>
  <c r="K120" i="31"/>
  <c r="D120" i="31"/>
  <c r="K16" i="31"/>
  <c r="D16" i="31"/>
  <c r="K96" i="31"/>
  <c r="D96" i="31"/>
  <c r="D88" i="31"/>
  <c r="K88" i="31"/>
  <c r="K56" i="31"/>
  <c r="D56" i="31"/>
  <c r="D44" i="31"/>
  <c r="K44" i="31"/>
  <c r="D106" i="31"/>
  <c r="K106" i="31"/>
  <c r="D70" i="31"/>
  <c r="K70" i="31"/>
  <c r="D41" i="31"/>
  <c r="K41" i="31"/>
  <c r="D103" i="31"/>
  <c r="K103" i="31"/>
  <c r="D122" i="31"/>
  <c r="K122" i="31"/>
  <c r="D71" i="31"/>
  <c r="K71" i="31"/>
  <c r="D111" i="31"/>
  <c r="K111" i="31"/>
  <c r="D54" i="31"/>
  <c r="K54" i="31"/>
  <c r="K38" i="31"/>
  <c r="D38" i="31"/>
  <c r="D48" i="31"/>
  <c r="K48" i="31"/>
  <c r="D124" i="31"/>
  <c r="K124" i="31"/>
  <c r="D45" i="31"/>
  <c r="K45" i="31"/>
  <c r="O16" i="31"/>
  <c r="K13" i="31"/>
  <c r="D13" i="31"/>
  <c r="D35" i="31"/>
  <c r="K35" i="31"/>
  <c r="K110" i="31"/>
  <c r="D110" i="31"/>
  <c r="D131" i="31"/>
  <c r="K131" i="31"/>
  <c r="K61" i="31"/>
  <c r="D61" i="31"/>
  <c r="O20" i="31"/>
  <c r="K74" i="31"/>
  <c r="D74" i="31"/>
  <c r="D37" i="31"/>
  <c r="K37" i="31"/>
  <c r="O18" i="31"/>
  <c r="K36" i="31"/>
  <c r="D36" i="31"/>
  <c r="D78" i="31"/>
  <c r="K78" i="31"/>
  <c r="K40" i="31"/>
  <c r="D40" i="31"/>
  <c r="D69" i="31"/>
  <c r="K69" i="31"/>
  <c r="K60" i="31"/>
  <c r="D60" i="31"/>
  <c r="D51" i="31"/>
  <c r="K51" i="31"/>
  <c r="K66" i="31"/>
  <c r="D66" i="31"/>
  <c r="K123" i="31"/>
  <c r="D123" i="31"/>
  <c r="N20" i="31" l="1"/>
  <c r="N23" i="31"/>
  <c r="N22" i="31"/>
  <c r="N18" i="31"/>
  <c r="N16" i="31"/>
  <c r="R16" i="31" s="1"/>
  <c r="N17" i="31"/>
  <c r="R17" i="31" s="1"/>
  <c r="K5" i="31"/>
  <c r="K4" i="31"/>
  <c r="N24" i="31"/>
  <c r="N19" i="31"/>
  <c r="N21" i="31"/>
  <c r="N25" i="31"/>
  <c r="R25" i="31" l="1"/>
  <c r="R18" i="31"/>
  <c r="R21" i="31"/>
  <c r="R22" i="31"/>
  <c r="R19" i="31"/>
  <c r="R23" i="31"/>
  <c r="R24" i="31"/>
  <c r="R20" i="31"/>
  <c r="K6" i="31"/>
  <c r="B5" i="31" s="1"/>
  <c r="M7" i="31"/>
  <c r="K3" i="25"/>
  <c r="B5" i="25" l="1"/>
  <c r="G9" i="25"/>
  <c r="B5" i="28" l="1"/>
  <c r="B5" i="66"/>
  <c r="B4" i="31"/>
  <c r="E93" i="31" l="1"/>
  <c r="E111" i="31"/>
  <c r="E77" i="31"/>
  <c r="E117" i="31"/>
  <c r="E40" i="31"/>
  <c r="E130" i="31"/>
  <c r="E104" i="31"/>
  <c r="E22" i="31"/>
  <c r="E42" i="31"/>
  <c r="E18" i="31"/>
  <c r="E62" i="31"/>
  <c r="E126" i="31"/>
  <c r="E128" i="31"/>
  <c r="E95" i="31"/>
  <c r="E39" i="31"/>
  <c r="E23" i="31"/>
  <c r="E14" i="31"/>
  <c r="E78" i="31"/>
  <c r="E31" i="31"/>
  <c r="E102" i="31"/>
  <c r="E19" i="31"/>
  <c r="E70" i="31"/>
  <c r="E33" i="31"/>
  <c r="E58" i="31"/>
  <c r="E76" i="31"/>
  <c r="E51" i="31"/>
  <c r="E129" i="31"/>
  <c r="E119" i="31"/>
  <c r="E83" i="31"/>
  <c r="E47" i="31"/>
  <c r="E81" i="31"/>
  <c r="E41" i="31"/>
  <c r="E107" i="31"/>
  <c r="E26" i="31"/>
  <c r="E86" i="31"/>
  <c r="E28" i="31"/>
  <c r="E24" i="31"/>
  <c r="E54" i="31"/>
  <c r="E87" i="31"/>
  <c r="E59" i="31"/>
  <c r="E66" i="31"/>
  <c r="E38" i="31"/>
  <c r="E110" i="31"/>
  <c r="E20" i="31"/>
  <c r="E64" i="31"/>
  <c r="E131" i="31"/>
  <c r="E105" i="31"/>
  <c r="E88" i="31"/>
  <c r="E113" i="31"/>
  <c r="E17" i="31"/>
  <c r="E100" i="31"/>
  <c r="E90" i="31"/>
  <c r="E108" i="31"/>
  <c r="E75" i="31"/>
  <c r="E123" i="31"/>
  <c r="E29" i="31"/>
  <c r="E69" i="31"/>
  <c r="E57" i="31"/>
  <c r="E60" i="31"/>
  <c r="E106" i="31"/>
  <c r="E132" i="31"/>
  <c r="E35" i="31"/>
  <c r="E120" i="31"/>
  <c r="E112" i="31"/>
  <c r="E99" i="31"/>
  <c r="E124" i="31"/>
  <c r="E89" i="31"/>
  <c r="E74" i="31"/>
  <c r="E125" i="31"/>
  <c r="E92" i="31"/>
  <c r="E21" i="31"/>
  <c r="E55" i="31"/>
  <c r="E98" i="31"/>
  <c r="G124" i="31" l="1"/>
  <c r="G99" i="31"/>
  <c r="G60" i="31"/>
  <c r="G69" i="31"/>
  <c r="G17" i="31"/>
  <c r="G105" i="31"/>
  <c r="G110" i="31"/>
  <c r="G66" i="31"/>
  <c r="G24" i="31"/>
  <c r="G86" i="31"/>
  <c r="G107" i="31"/>
  <c r="G119" i="31"/>
  <c r="G58" i="31"/>
  <c r="G19" i="31"/>
  <c r="G23" i="31"/>
  <c r="G128" i="31"/>
  <c r="G18" i="31"/>
  <c r="G22" i="31"/>
  <c r="G77" i="31"/>
  <c r="G93" i="31"/>
  <c r="G120" i="31"/>
  <c r="G74" i="31"/>
  <c r="G92" i="31"/>
  <c r="G123" i="31"/>
  <c r="G90" i="31"/>
  <c r="G113" i="31"/>
  <c r="G131" i="31"/>
  <c r="G87" i="31"/>
  <c r="G28" i="31"/>
  <c r="G26" i="31"/>
  <c r="G41" i="31"/>
  <c r="G47" i="31"/>
  <c r="G129" i="31"/>
  <c r="G33" i="31"/>
  <c r="G102" i="31"/>
  <c r="G126" i="31"/>
  <c r="G42" i="31"/>
  <c r="G104" i="31"/>
  <c r="G117" i="31"/>
  <c r="G111" i="31"/>
  <c r="G21" i="31"/>
  <c r="G89" i="31"/>
  <c r="G112" i="31"/>
  <c r="G55" i="31"/>
  <c r="G98" i="31"/>
  <c r="G35" i="31"/>
  <c r="G106" i="31"/>
  <c r="G29" i="31"/>
  <c r="G108" i="31"/>
  <c r="G88" i="31"/>
  <c r="G64" i="31"/>
  <c r="G54" i="31"/>
  <c r="G83" i="31"/>
  <c r="G51" i="31"/>
  <c r="G78" i="31"/>
  <c r="G39" i="31"/>
  <c r="G130" i="31"/>
  <c r="G125" i="31"/>
  <c r="G132" i="31"/>
  <c r="G57" i="31"/>
  <c r="G75" i="31"/>
  <c r="G100" i="31"/>
  <c r="G20" i="31"/>
  <c r="G38" i="31"/>
  <c r="G59" i="31"/>
  <c r="G81" i="31"/>
  <c r="G76" i="31"/>
  <c r="G70" i="31"/>
  <c r="G31" i="31"/>
  <c r="G14" i="31"/>
  <c r="G95" i="31"/>
  <c r="G62" i="31"/>
  <c r="G40" i="31"/>
  <c r="E30" i="31"/>
  <c r="E84" i="31"/>
  <c r="E43" i="31"/>
  <c r="E56" i="31"/>
  <c r="E72" i="31"/>
  <c r="E44" i="31"/>
  <c r="E46" i="31"/>
  <c r="E101" i="31"/>
  <c r="E79" i="31"/>
  <c r="E115" i="31"/>
  <c r="E16" i="31"/>
  <c r="E65" i="31"/>
  <c r="E50" i="31"/>
  <c r="E68" i="31"/>
  <c r="E48" i="31"/>
  <c r="E118" i="31"/>
  <c r="E34" i="31"/>
  <c r="E36" i="31"/>
  <c r="E80" i="31"/>
  <c r="E127" i="31"/>
  <c r="E52" i="31"/>
  <c r="E82" i="31"/>
  <c r="E45" i="31"/>
  <c r="E53" i="31"/>
  <c r="E71" i="31"/>
  <c r="E67" i="31"/>
  <c r="E96" i="31"/>
  <c r="E103" i="31"/>
  <c r="E63" i="31"/>
  <c r="E116" i="31"/>
  <c r="E91" i="31"/>
  <c r="E32" i="31"/>
  <c r="E27" i="31"/>
  <c r="E15" i="31"/>
  <c r="E114" i="31"/>
  <c r="E94" i="31"/>
  <c r="E20" i="25"/>
  <c r="E13" i="25"/>
  <c r="E19" i="25"/>
  <c r="E18" i="25"/>
  <c r="E15" i="25"/>
  <c r="E14" i="25"/>
  <c r="E16" i="25"/>
  <c r="E17" i="25"/>
  <c r="E21" i="25"/>
  <c r="G15" i="31" l="1"/>
  <c r="G63" i="31"/>
  <c r="G53" i="31"/>
  <c r="G52" i="31"/>
  <c r="G80" i="31"/>
  <c r="G36" i="31"/>
  <c r="G48" i="31"/>
  <c r="G65" i="31"/>
  <c r="G16" i="31"/>
  <c r="G101" i="31"/>
  <c r="G56" i="31"/>
  <c r="G43" i="31"/>
  <c r="G32" i="31"/>
  <c r="G45" i="31"/>
  <c r="G115" i="31"/>
  <c r="G46" i="31"/>
  <c r="G30" i="31"/>
  <c r="G116" i="31"/>
  <c r="G103" i="31"/>
  <c r="G67" i="31"/>
  <c r="G71" i="31"/>
  <c r="G34" i="31"/>
  <c r="G68" i="31"/>
  <c r="G72" i="31"/>
  <c r="G94" i="31"/>
  <c r="G114" i="31"/>
  <c r="G27" i="31"/>
  <c r="G91" i="31"/>
  <c r="G96" i="31"/>
  <c r="G82" i="31"/>
  <c r="G127" i="31"/>
  <c r="G118" i="31"/>
  <c r="G50" i="31"/>
  <c r="G79" i="31"/>
  <c r="G44" i="31"/>
  <c r="G84" i="31"/>
  <c r="E73" i="31"/>
  <c r="M21" i="31"/>
  <c r="M20" i="31"/>
  <c r="E61" i="31"/>
  <c r="M19" i="31"/>
  <c r="E49" i="31"/>
  <c r="E109" i="31"/>
  <c r="M24" i="31"/>
  <c r="M17" i="31"/>
  <c r="E25" i="31"/>
  <c r="E121" i="31"/>
  <c r="M22" i="31"/>
  <c r="E85" i="31"/>
  <c r="E13" i="31"/>
  <c r="M16" i="31"/>
  <c r="E97" i="31"/>
  <c r="M23" i="31"/>
  <c r="M18" i="31"/>
  <c r="E37" i="31"/>
  <c r="M25" i="31"/>
  <c r="G13" i="25"/>
  <c r="G17" i="25"/>
  <c r="E22" i="25"/>
  <c r="G14" i="25"/>
  <c r="G18" i="25"/>
  <c r="G16" i="25"/>
  <c r="G19" i="25"/>
  <c r="G21" i="25"/>
  <c r="G15" i="25"/>
  <c r="G20" i="25"/>
  <c r="C11" i="82" l="1"/>
  <c r="J11" i="82" s="1"/>
  <c r="C13" i="82"/>
  <c r="J13" i="82" s="1"/>
  <c r="C9" i="82"/>
  <c r="J9" i="82" s="1"/>
  <c r="C17" i="82"/>
  <c r="J17" i="82" s="1"/>
  <c r="C15" i="82"/>
  <c r="J15" i="82" s="1"/>
  <c r="C10" i="82"/>
  <c r="J10" i="82" s="1"/>
  <c r="C12" i="82"/>
  <c r="J12" i="82" s="1"/>
  <c r="C16" i="82"/>
  <c r="J16" i="82" s="1"/>
  <c r="C14" i="82"/>
  <c r="J14" i="82" s="1"/>
  <c r="Q25" i="31"/>
  <c r="P25" i="31"/>
  <c r="G37" i="31"/>
  <c r="Q16" i="31"/>
  <c r="P16" i="31"/>
  <c r="Q24" i="31"/>
  <c r="P24" i="31"/>
  <c r="G61" i="31"/>
  <c r="P18" i="31"/>
  <c r="Q18" i="31"/>
  <c r="G13" i="31"/>
  <c r="G121" i="31"/>
  <c r="G109" i="31"/>
  <c r="Q20" i="31"/>
  <c r="P20" i="31"/>
  <c r="P23" i="31"/>
  <c r="Q23" i="31"/>
  <c r="G85" i="31"/>
  <c r="G25" i="31"/>
  <c r="G49" i="31"/>
  <c r="P21" i="31"/>
  <c r="Q21" i="31"/>
  <c r="E122" i="31"/>
  <c r="G97" i="31"/>
  <c r="Q22" i="31"/>
  <c r="P22" i="31"/>
  <c r="Q17" i="31"/>
  <c r="P17" i="31"/>
  <c r="Q19" i="31"/>
  <c r="P19" i="31"/>
  <c r="G73" i="31"/>
  <c r="G22" i="25"/>
  <c r="C18" i="82" l="1"/>
  <c r="J18" i="82" s="1"/>
  <c r="G122" i="31"/>
  <c r="F10" i="31"/>
  <c r="F9" i="31"/>
  <c r="D237" i="31" l="1"/>
  <c r="D238" i="31"/>
  <c r="D229" i="31"/>
  <c r="D240" i="31"/>
  <c r="D236" i="31"/>
  <c r="D231" i="31"/>
  <c r="D234" i="31"/>
  <c r="D232" i="31"/>
  <c r="D233" i="31"/>
  <c r="D239" i="31"/>
  <c r="D235" i="31"/>
  <c r="D230" i="31"/>
  <c r="D223" i="31"/>
  <c r="D227" i="31"/>
  <c r="D222" i="31"/>
  <c r="D228" i="31"/>
  <c r="D219" i="31"/>
  <c r="D224" i="31"/>
  <c r="D221" i="31"/>
  <c r="D220" i="31"/>
  <c r="D218" i="31"/>
  <c r="D225" i="31"/>
  <c r="D226" i="31"/>
  <c r="D217" i="31"/>
  <c r="K186" i="31"/>
  <c r="D186" i="31"/>
  <c r="D180" i="31"/>
  <c r="K180" i="31"/>
  <c r="K156" i="31"/>
  <c r="D156" i="31"/>
  <c r="D191" i="31"/>
  <c r="K191" i="31"/>
  <c r="D188" i="31"/>
  <c r="K188" i="31"/>
  <c r="D215" i="31"/>
  <c r="K215" i="31"/>
  <c r="K146" i="31"/>
  <c r="D146" i="31"/>
  <c r="K208" i="31"/>
  <c r="D208" i="31"/>
  <c r="K202" i="31"/>
  <c r="D202" i="31"/>
  <c r="D166" i="31"/>
  <c r="K166" i="31"/>
  <c r="K214" i="31"/>
  <c r="D214" i="31"/>
  <c r="D158" i="31"/>
  <c r="K158" i="31"/>
  <c r="K135" i="31"/>
  <c r="D135" i="31"/>
  <c r="D200" i="31"/>
  <c r="K200" i="31"/>
  <c r="K133" i="31"/>
  <c r="D133" i="31"/>
  <c r="O26" i="31"/>
  <c r="D172" i="31"/>
  <c r="K172" i="31"/>
  <c r="K138" i="31"/>
  <c r="D138" i="31"/>
  <c r="K153" i="31"/>
  <c r="D153" i="31"/>
  <c r="K182" i="31"/>
  <c r="D182" i="31"/>
  <c r="K196" i="31"/>
  <c r="D196" i="31"/>
  <c r="D161" i="31"/>
  <c r="K161" i="31"/>
  <c r="K150" i="31"/>
  <c r="D150" i="31"/>
  <c r="K147" i="31"/>
  <c r="D147" i="31"/>
  <c r="K189" i="31"/>
  <c r="D189" i="31"/>
  <c r="D143" i="31"/>
  <c r="K143" i="31"/>
  <c r="O27" i="31"/>
  <c r="K145" i="31"/>
  <c r="D145" i="31"/>
  <c r="K144" i="31"/>
  <c r="D144" i="31"/>
  <c r="K151" i="31"/>
  <c r="D151" i="31"/>
  <c r="D213" i="31"/>
  <c r="K213" i="31"/>
  <c r="K149" i="31"/>
  <c r="D149" i="31"/>
  <c r="K204" i="31"/>
  <c r="D204" i="31"/>
  <c r="D170" i="31"/>
  <c r="K170" i="31"/>
  <c r="D171" i="31"/>
  <c r="K171" i="31"/>
  <c r="K190" i="31"/>
  <c r="D190" i="31"/>
  <c r="D137" i="31"/>
  <c r="K137" i="31"/>
  <c r="D141" i="31"/>
  <c r="K141" i="31"/>
  <c r="D206" i="31"/>
  <c r="K206" i="31"/>
  <c r="K160" i="31"/>
  <c r="D160" i="31"/>
  <c r="K174" i="31"/>
  <c r="D174" i="31"/>
  <c r="D184" i="31"/>
  <c r="K184" i="31"/>
  <c r="D179" i="31"/>
  <c r="K179" i="31"/>
  <c r="D164" i="31"/>
  <c r="K164" i="31"/>
  <c r="K195" i="31"/>
  <c r="D195" i="31"/>
  <c r="D183" i="31"/>
  <c r="K183" i="31"/>
  <c r="D201" i="31"/>
  <c r="K201" i="31"/>
  <c r="K210" i="31"/>
  <c r="D210" i="31"/>
  <c r="D209" i="31"/>
  <c r="K209" i="31"/>
  <c r="K169" i="31"/>
  <c r="D169" i="31"/>
  <c r="O29" i="31"/>
  <c r="K163" i="31"/>
  <c r="D163" i="31"/>
  <c r="K181" i="31"/>
  <c r="O30" i="31"/>
  <c r="D181" i="31"/>
  <c r="D148" i="31"/>
  <c r="K148" i="31"/>
  <c r="D205" i="31"/>
  <c r="O32" i="31"/>
  <c r="K205" i="31"/>
  <c r="K192" i="31"/>
  <c r="D192" i="31"/>
  <c r="K216" i="31"/>
  <c r="D216" i="31"/>
  <c r="K207" i="31"/>
  <c r="D207" i="31"/>
  <c r="K155" i="31"/>
  <c r="D155" i="31"/>
  <c r="D177" i="31"/>
  <c r="K177" i="31"/>
  <c r="K178" i="31"/>
  <c r="D178" i="31"/>
  <c r="K152" i="31"/>
  <c r="D152" i="31"/>
  <c r="D142" i="31"/>
  <c r="K142" i="31"/>
  <c r="K198" i="31"/>
  <c r="D198" i="31"/>
  <c r="K165" i="31"/>
  <c r="D165" i="31"/>
  <c r="D134" i="31"/>
  <c r="K134" i="31"/>
  <c r="K197" i="31"/>
  <c r="D197" i="31"/>
  <c r="D211" i="31"/>
  <c r="K211" i="31"/>
  <c r="K140" i="31"/>
  <c r="D140" i="31"/>
  <c r="D194" i="31"/>
  <c r="K194" i="31"/>
  <c r="K175" i="31"/>
  <c r="D175" i="31"/>
  <c r="K157" i="31"/>
  <c r="D157" i="31"/>
  <c r="O28" i="31"/>
  <c r="D173" i="31"/>
  <c r="K173" i="31"/>
  <c r="K199" i="31"/>
  <c r="D199" i="31"/>
  <c r="K154" i="31"/>
  <c r="D154" i="31"/>
  <c r="K187" i="31"/>
  <c r="D187" i="31"/>
  <c r="D203" i="31"/>
  <c r="K203" i="31"/>
  <c r="D139" i="31"/>
  <c r="K139" i="31"/>
  <c r="K176" i="31"/>
  <c r="D176" i="31"/>
  <c r="K136" i="31"/>
  <c r="D136" i="31"/>
  <c r="K159" i="31"/>
  <c r="D159" i="31"/>
  <c r="D193" i="31"/>
  <c r="K193" i="31"/>
  <c r="O31" i="31"/>
  <c r="D212" i="31"/>
  <c r="K212" i="31"/>
  <c r="D185" i="31"/>
  <c r="K185" i="31"/>
  <c r="K167" i="31"/>
  <c r="D167" i="31"/>
  <c r="K168" i="31"/>
  <c r="D168" i="31"/>
  <c r="K162" i="31"/>
  <c r="D162" i="31"/>
  <c r="D9" i="31"/>
  <c r="D10" i="31"/>
  <c r="F7" i="31"/>
  <c r="C47" i="25" l="1"/>
  <c r="C52" i="25"/>
  <c r="K220" i="31"/>
  <c r="K224" i="31"/>
  <c r="N28" i="31"/>
  <c r="K219" i="31"/>
  <c r="K228" i="31"/>
  <c r="N30" i="31"/>
  <c r="K218" i="31"/>
  <c r="N27" i="31"/>
  <c r="N26" i="31"/>
  <c r="K226" i="31"/>
  <c r="N31" i="31"/>
  <c r="N32" i="31"/>
  <c r="N29" i="31"/>
  <c r="K227" i="31"/>
  <c r="K223" i="31"/>
  <c r="K217" i="31"/>
  <c r="O33" i="31"/>
  <c r="K221" i="31"/>
  <c r="K222" i="31"/>
  <c r="K225" i="31"/>
  <c r="R32" i="31" l="1"/>
  <c r="R26" i="31"/>
  <c r="R30" i="31"/>
  <c r="R31" i="31"/>
  <c r="R27" i="31"/>
  <c r="R28" i="31"/>
  <c r="R29" i="31"/>
  <c r="K237" i="31"/>
  <c r="K230" i="31"/>
  <c r="K232" i="31"/>
  <c r="K239" i="31"/>
  <c r="K233" i="31"/>
  <c r="O34" i="31"/>
  <c r="K229" i="31"/>
  <c r="K235" i="31"/>
  <c r="K238" i="31"/>
  <c r="K234" i="31"/>
  <c r="K240" i="31"/>
  <c r="K231" i="31"/>
  <c r="K236" i="31"/>
  <c r="D7" i="31"/>
  <c r="C57" i="25" l="1"/>
  <c r="K243" i="31"/>
  <c r="K252" i="31"/>
  <c r="K246" i="31"/>
  <c r="K247" i="31"/>
  <c r="K250" i="31"/>
  <c r="N33" i="31"/>
  <c r="K248" i="31"/>
  <c r="O35" i="31"/>
  <c r="K241" i="31"/>
  <c r="D241" i="31"/>
  <c r="K242" i="31"/>
  <c r="K249" i="31"/>
  <c r="K245" i="31"/>
  <c r="K251" i="31"/>
  <c r="K244" i="31"/>
  <c r="D242" i="31" l="1"/>
  <c r="D245" i="31"/>
  <c r="R33" i="31"/>
  <c r="N34" i="31"/>
  <c r="D246" i="31"/>
  <c r="K256" i="31"/>
  <c r="K263" i="31"/>
  <c r="K254" i="31"/>
  <c r="D250" i="31"/>
  <c r="D243" i="31"/>
  <c r="K261" i="31"/>
  <c r="D248" i="31"/>
  <c r="K259" i="31"/>
  <c r="D252" i="31"/>
  <c r="K255" i="31"/>
  <c r="D251" i="31"/>
  <c r="K257" i="31"/>
  <c r="K260" i="31"/>
  <c r="K262" i="31"/>
  <c r="K264" i="31"/>
  <c r="D244" i="31"/>
  <c r="D249" i="31"/>
  <c r="O36" i="31"/>
  <c r="K253" i="31"/>
  <c r="D253" i="31"/>
  <c r="D247" i="31"/>
  <c r="K258" i="31"/>
  <c r="N35" i="31" l="1"/>
  <c r="R34" i="31"/>
  <c r="D258" i="31"/>
  <c r="D260" i="31"/>
  <c r="K270" i="31"/>
  <c r="K265" i="31"/>
  <c r="O37" i="31"/>
  <c r="D265" i="31"/>
  <c r="D264" i="31"/>
  <c r="K272" i="31"/>
  <c r="K266" i="31"/>
  <c r="D266" i="31"/>
  <c r="K275" i="31"/>
  <c r="K274" i="31"/>
  <c r="D257" i="31"/>
  <c r="D255" i="31"/>
  <c r="D259" i="31"/>
  <c r="D261" i="31"/>
  <c r="D256" i="31"/>
  <c r="K276" i="31"/>
  <c r="K267" i="31"/>
  <c r="K271" i="31"/>
  <c r="K273" i="31"/>
  <c r="D263" i="31"/>
  <c r="K268" i="31"/>
  <c r="D262" i="31"/>
  <c r="K269" i="31"/>
  <c r="D254" i="31"/>
  <c r="E239" i="31"/>
  <c r="G239" i="31" s="1"/>
  <c r="E226" i="31"/>
  <c r="G226" i="31" s="1"/>
  <c r="E224" i="31"/>
  <c r="G224" i="31" s="1"/>
  <c r="E237" i="31"/>
  <c r="G237" i="31" s="1"/>
  <c r="E240" i="31"/>
  <c r="G240" i="31" s="1"/>
  <c r="E228" i="31"/>
  <c r="G228" i="31" s="1"/>
  <c r="E222" i="31"/>
  <c r="G222" i="31" s="1"/>
  <c r="E171" i="31"/>
  <c r="E147" i="31"/>
  <c r="E202" i="31"/>
  <c r="E197" i="31"/>
  <c r="E136" i="31"/>
  <c r="E190" i="31"/>
  <c r="E186" i="31"/>
  <c r="E143" i="31"/>
  <c r="E161" i="31"/>
  <c r="E137" i="31"/>
  <c r="E138" i="31"/>
  <c r="E158" i="31"/>
  <c r="E199" i="31"/>
  <c r="E160" i="31"/>
  <c r="E163" i="31"/>
  <c r="E139" i="31"/>
  <c r="E191" i="31"/>
  <c r="E192" i="31"/>
  <c r="E195" i="31"/>
  <c r="E188" i="31"/>
  <c r="E156" i="31"/>
  <c r="E200" i="31"/>
  <c r="E146" i="31"/>
  <c r="E153" i="31"/>
  <c r="E189" i="31"/>
  <c r="E167" i="31"/>
  <c r="E183" i="31"/>
  <c r="E149" i="31"/>
  <c r="E135" i="31"/>
  <c r="E204" i="31"/>
  <c r="E184" i="31"/>
  <c r="E177" i="31"/>
  <c r="E176" i="31"/>
  <c r="E175" i="31"/>
  <c r="E140" i="31"/>
  <c r="E201" i="31"/>
  <c r="E150" i="31"/>
  <c r="E182" i="31"/>
  <c r="E151" i="31"/>
  <c r="E164" i="31"/>
  <c r="E152" i="31"/>
  <c r="E180" i="31"/>
  <c r="E194" i="31"/>
  <c r="E159" i="31"/>
  <c r="E134" i="31"/>
  <c r="E166" i="31"/>
  <c r="E174" i="31"/>
  <c r="E172" i="31"/>
  <c r="E144" i="31"/>
  <c r="E148" i="31"/>
  <c r="E142" i="31"/>
  <c r="E168" i="31"/>
  <c r="E179" i="31"/>
  <c r="E141" i="31"/>
  <c r="E198" i="31"/>
  <c r="E154" i="31"/>
  <c r="E178" i="31"/>
  <c r="E155" i="31"/>
  <c r="E185" i="31"/>
  <c r="E187" i="31"/>
  <c r="E203" i="31"/>
  <c r="E162" i="31"/>
  <c r="E196" i="31"/>
  <c r="E170" i="31"/>
  <c r="E173" i="31"/>
  <c r="E165" i="31"/>
  <c r="E234" i="31" l="1"/>
  <c r="G234" i="31" s="1"/>
  <c r="E235" i="31"/>
  <c r="G235" i="31" s="1"/>
  <c r="E236" i="31"/>
  <c r="G236" i="31" s="1"/>
  <c r="E238" i="31"/>
  <c r="G238" i="31" s="1"/>
  <c r="E232" i="31"/>
  <c r="G232" i="31" s="1"/>
  <c r="E231" i="31"/>
  <c r="G231" i="31" s="1"/>
  <c r="E233" i="31"/>
  <c r="G233" i="31" s="1"/>
  <c r="E230" i="31"/>
  <c r="G230" i="31" s="1"/>
  <c r="E220" i="31"/>
  <c r="G220" i="31" s="1"/>
  <c r="E221" i="31"/>
  <c r="G221" i="31" s="1"/>
  <c r="E223" i="31"/>
  <c r="G223" i="31" s="1"/>
  <c r="E218" i="31"/>
  <c r="G218" i="31" s="1"/>
  <c r="E219" i="31"/>
  <c r="G219" i="31" s="1"/>
  <c r="E227" i="31"/>
  <c r="G227" i="31" s="1"/>
  <c r="E225" i="31"/>
  <c r="G225" i="31" s="1"/>
  <c r="D267" i="31"/>
  <c r="G178" i="31"/>
  <c r="G174" i="31"/>
  <c r="G134" i="31"/>
  <c r="G177" i="31"/>
  <c r="G184" i="31"/>
  <c r="G149" i="31"/>
  <c r="G195" i="31"/>
  <c r="G158" i="31"/>
  <c r="G136" i="31"/>
  <c r="D272" i="31"/>
  <c r="R35" i="31"/>
  <c r="G165" i="31"/>
  <c r="G162" i="31"/>
  <c r="G154" i="31"/>
  <c r="G198" i="31"/>
  <c r="G179" i="31"/>
  <c r="G142" i="31"/>
  <c r="G144" i="31"/>
  <c r="G172" i="31"/>
  <c r="G194" i="31"/>
  <c r="G182" i="31"/>
  <c r="G146" i="31"/>
  <c r="G200" i="31"/>
  <c r="G192" i="31"/>
  <c r="G191" i="31"/>
  <c r="G139" i="31"/>
  <c r="G163" i="31"/>
  <c r="G161" i="31"/>
  <c r="G143" i="31"/>
  <c r="G190" i="31"/>
  <c r="G171" i="31"/>
  <c r="G173" i="31"/>
  <c r="G196" i="31"/>
  <c r="G187" i="31"/>
  <c r="G185" i="31"/>
  <c r="G159" i="31"/>
  <c r="G180" i="31"/>
  <c r="G152" i="31"/>
  <c r="G164" i="31"/>
  <c r="G175" i="31"/>
  <c r="G176" i="31"/>
  <c r="G204" i="31"/>
  <c r="G135" i="31"/>
  <c r="G183" i="31"/>
  <c r="G153" i="31"/>
  <c r="G156" i="31"/>
  <c r="G188" i="31"/>
  <c r="G199" i="31"/>
  <c r="G147" i="31"/>
  <c r="G203" i="31"/>
  <c r="G155" i="31"/>
  <c r="G168" i="31"/>
  <c r="G170" i="31"/>
  <c r="G141" i="31"/>
  <c r="G148" i="31"/>
  <c r="G166" i="31"/>
  <c r="G151" i="31"/>
  <c r="G150" i="31"/>
  <c r="G201" i="31"/>
  <c r="G140" i="31"/>
  <c r="G167" i="31"/>
  <c r="G189" i="31"/>
  <c r="G160" i="31"/>
  <c r="G138" i="31"/>
  <c r="G137" i="31"/>
  <c r="G186" i="31"/>
  <c r="G197" i="31"/>
  <c r="G202" i="31"/>
  <c r="E216" i="31"/>
  <c r="K281" i="31"/>
  <c r="K283" i="31"/>
  <c r="D276" i="31"/>
  <c r="D274" i="31"/>
  <c r="K278" i="31"/>
  <c r="E207" i="31"/>
  <c r="E213" i="31"/>
  <c r="E215" i="31"/>
  <c r="K280" i="31"/>
  <c r="K285" i="31"/>
  <c r="K286" i="31"/>
  <c r="K287" i="31"/>
  <c r="D270" i="31"/>
  <c r="E214" i="31"/>
  <c r="E212" i="31"/>
  <c r="E206" i="31"/>
  <c r="E211" i="31"/>
  <c r="D271" i="31"/>
  <c r="K279" i="31"/>
  <c r="K288" i="31"/>
  <c r="K284" i="31"/>
  <c r="K282" i="31"/>
  <c r="E210" i="31"/>
  <c r="E208" i="31"/>
  <c r="E209" i="31"/>
  <c r="D269" i="31"/>
  <c r="D268" i="31"/>
  <c r="D273" i="31"/>
  <c r="N36" i="31"/>
  <c r="D275" i="31"/>
  <c r="O38" i="31"/>
  <c r="D277" i="31"/>
  <c r="K277" i="31"/>
  <c r="E229" i="31"/>
  <c r="G229" i="31" s="1"/>
  <c r="E25" i="25"/>
  <c r="E29" i="25"/>
  <c r="E27" i="25"/>
  <c r="C9" i="31"/>
  <c r="E28" i="25"/>
  <c r="E23" i="25"/>
  <c r="E26" i="25"/>
  <c r="E24" i="25"/>
  <c r="C10" i="31"/>
  <c r="N37" i="31" l="1"/>
  <c r="R37" i="31" s="1"/>
  <c r="E217" i="31"/>
  <c r="G217" i="31" s="1"/>
  <c r="G212" i="31"/>
  <c r="G213" i="31"/>
  <c r="G216" i="31"/>
  <c r="D283" i="31"/>
  <c r="G211" i="31"/>
  <c r="G215" i="31"/>
  <c r="G207" i="31"/>
  <c r="G209" i="31"/>
  <c r="G210" i="31"/>
  <c r="G206" i="31"/>
  <c r="G214" i="31"/>
  <c r="R36" i="31"/>
  <c r="G208" i="31"/>
  <c r="E48" i="25"/>
  <c r="G10" i="31"/>
  <c r="G48" i="25" s="1"/>
  <c r="G9" i="31"/>
  <c r="G53" i="25" s="1"/>
  <c r="E53" i="25"/>
  <c r="K294" i="31"/>
  <c r="D279" i="31"/>
  <c r="D285" i="31"/>
  <c r="D280" i="31"/>
  <c r="K290" i="31"/>
  <c r="K293" i="31"/>
  <c r="M28" i="31"/>
  <c r="E157" i="31"/>
  <c r="M31" i="31"/>
  <c r="E193" i="31"/>
  <c r="O39" i="31"/>
  <c r="K289" i="31"/>
  <c r="D289" i="31"/>
  <c r="D288" i="31"/>
  <c r="D286" i="31"/>
  <c r="K297" i="31"/>
  <c r="K295" i="31"/>
  <c r="M26" i="31"/>
  <c r="E133" i="31"/>
  <c r="E169" i="31"/>
  <c r="M29" i="31"/>
  <c r="M30" i="31"/>
  <c r="E181" i="31"/>
  <c r="E205" i="31"/>
  <c r="M32" i="31"/>
  <c r="D284" i="31"/>
  <c r="K291" i="31"/>
  <c r="D291" i="31"/>
  <c r="D287" i="31"/>
  <c r="M27" i="31"/>
  <c r="E145" i="31"/>
  <c r="D282" i="31"/>
  <c r="K296" i="31"/>
  <c r="K300" i="31"/>
  <c r="K299" i="31"/>
  <c r="K298" i="31"/>
  <c r="K292" i="31"/>
  <c r="D278" i="31"/>
  <c r="D281" i="31"/>
  <c r="G23" i="25"/>
  <c r="G28" i="25"/>
  <c r="G29" i="25"/>
  <c r="G26" i="25"/>
  <c r="E10" i="31"/>
  <c r="C7" i="31"/>
  <c r="G25" i="25"/>
  <c r="E9" i="31"/>
  <c r="G24" i="25"/>
  <c r="E30" i="25"/>
  <c r="G27" i="25"/>
  <c r="C26" i="82" l="1"/>
  <c r="J26" i="82" s="1"/>
  <c r="J27" i="82" s="1"/>
  <c r="D299" i="31"/>
  <c r="N38" i="31"/>
  <c r="R38" i="31" s="1"/>
  <c r="E58" i="25"/>
  <c r="G7" i="31"/>
  <c r="G58" i="25" s="1"/>
  <c r="C22" i="82"/>
  <c r="J22" i="82" s="1"/>
  <c r="C20" i="82"/>
  <c r="J20" i="82" s="1"/>
  <c r="C23" i="82"/>
  <c r="J23" i="82" s="1"/>
  <c r="C19" i="82"/>
  <c r="J19" i="82" s="1"/>
  <c r="I78" i="25"/>
  <c r="C21" i="82"/>
  <c r="J21" i="82" s="1"/>
  <c r="C249" i="31"/>
  <c r="C250" i="31"/>
  <c r="K312" i="31"/>
  <c r="K308" i="31"/>
  <c r="P27" i="31"/>
  <c r="Q27" i="31"/>
  <c r="C243" i="31"/>
  <c r="Q32" i="31"/>
  <c r="P32" i="31"/>
  <c r="P30" i="31"/>
  <c r="Q30" i="31"/>
  <c r="Q26" i="31"/>
  <c r="P26" i="31"/>
  <c r="Q28" i="31"/>
  <c r="P28" i="31"/>
  <c r="C247" i="31"/>
  <c r="D298" i="31"/>
  <c r="K311" i="31"/>
  <c r="C242" i="31"/>
  <c r="C252" i="31"/>
  <c r="C251" i="31"/>
  <c r="K303" i="31"/>
  <c r="M33" i="31"/>
  <c r="P29" i="31"/>
  <c r="Q29" i="31"/>
  <c r="K307" i="31"/>
  <c r="C246" i="31"/>
  <c r="G193" i="31"/>
  <c r="D293" i="31"/>
  <c r="K302" i="31"/>
  <c r="K306" i="31"/>
  <c r="D292" i="31"/>
  <c r="D296" i="31"/>
  <c r="G205" i="31"/>
  <c r="G169" i="31"/>
  <c r="D297" i="31"/>
  <c r="C248" i="31"/>
  <c r="Q31" i="31"/>
  <c r="P31" i="31"/>
  <c r="C244" i="31"/>
  <c r="K304" i="31"/>
  <c r="K310" i="31"/>
  <c r="D300" i="31"/>
  <c r="G145" i="31"/>
  <c r="G181" i="31"/>
  <c r="G133" i="31"/>
  <c r="D295" i="31"/>
  <c r="K309" i="31"/>
  <c r="C245" i="31"/>
  <c r="D290" i="31"/>
  <c r="K301" i="31"/>
  <c r="D301" i="31"/>
  <c r="O40" i="31"/>
  <c r="G157" i="31"/>
  <c r="K305" i="31"/>
  <c r="D294" i="31"/>
  <c r="E31" i="25"/>
  <c r="G30" i="25"/>
  <c r="E7" i="31"/>
  <c r="D303" i="31" l="1"/>
  <c r="N39" i="31"/>
  <c r="K317" i="31"/>
  <c r="D317" i="31"/>
  <c r="D322" i="31"/>
  <c r="K322" i="31"/>
  <c r="D307" i="31"/>
  <c r="E251" i="31"/>
  <c r="C263" i="31"/>
  <c r="C254" i="31"/>
  <c r="E242" i="31"/>
  <c r="K320" i="31"/>
  <c r="D320" i="31"/>
  <c r="D313" i="31"/>
  <c r="K313" i="31"/>
  <c r="O41" i="31"/>
  <c r="E245" i="31"/>
  <c r="C257" i="31"/>
  <c r="D304" i="31"/>
  <c r="C256" i="31"/>
  <c r="E244" i="31"/>
  <c r="C260" i="31"/>
  <c r="E248" i="31"/>
  <c r="D306" i="31"/>
  <c r="D302" i="31"/>
  <c r="Q33" i="31"/>
  <c r="P33" i="31"/>
  <c r="D315" i="31"/>
  <c r="K315" i="31"/>
  <c r="E252" i="31"/>
  <c r="C264" i="31"/>
  <c r="D311" i="31"/>
  <c r="E247" i="31"/>
  <c r="C259" i="31"/>
  <c r="E250" i="31"/>
  <c r="C262" i="31"/>
  <c r="D309" i="31"/>
  <c r="D310" i="31"/>
  <c r="D314" i="31"/>
  <c r="K314" i="31"/>
  <c r="K319" i="31"/>
  <c r="D319" i="31"/>
  <c r="D312" i="31"/>
  <c r="D305" i="31"/>
  <c r="K321" i="31"/>
  <c r="D321" i="31"/>
  <c r="K316" i="31"/>
  <c r="D316" i="31"/>
  <c r="D318" i="31"/>
  <c r="K318" i="31"/>
  <c r="C258" i="31"/>
  <c r="E246" i="31"/>
  <c r="M34" i="31"/>
  <c r="C241" i="31"/>
  <c r="D323" i="31"/>
  <c r="K323" i="31"/>
  <c r="C255" i="31"/>
  <c r="E243" i="31"/>
  <c r="D308" i="31"/>
  <c r="C261" i="31"/>
  <c r="E249" i="31"/>
  <c r="G31" i="25"/>
  <c r="E32" i="25"/>
  <c r="G243" i="31" l="1"/>
  <c r="G252" i="31"/>
  <c r="G251" i="31"/>
  <c r="G246" i="31"/>
  <c r="G247" i="31"/>
  <c r="G244" i="31"/>
  <c r="G245" i="31"/>
  <c r="G242" i="31"/>
  <c r="N40" i="31"/>
  <c r="R39" i="31"/>
  <c r="G249" i="31"/>
  <c r="G250" i="31"/>
  <c r="G248" i="31"/>
  <c r="N41" i="31"/>
  <c r="C267" i="31"/>
  <c r="E255" i="31"/>
  <c r="C253" i="31"/>
  <c r="M35" i="31"/>
  <c r="E241" i="31"/>
  <c r="E264" i="31"/>
  <c r="C276" i="31"/>
  <c r="E263" i="31"/>
  <c r="C275" i="31"/>
  <c r="Q34" i="31"/>
  <c r="P34" i="31"/>
  <c r="E259" i="31"/>
  <c r="C271" i="31"/>
  <c r="E260" i="31"/>
  <c r="C272" i="31"/>
  <c r="E257" i="31"/>
  <c r="C269" i="31"/>
  <c r="C273" i="31"/>
  <c r="E261" i="31"/>
  <c r="C270" i="31"/>
  <c r="E258" i="31"/>
  <c r="C274" i="31"/>
  <c r="E262" i="31"/>
  <c r="E256" i="31"/>
  <c r="C268" i="31"/>
  <c r="C266" i="31"/>
  <c r="E254" i="31"/>
  <c r="G32" i="25"/>
  <c r="E33" i="25"/>
  <c r="G256" i="31" l="1"/>
  <c r="G254" i="31"/>
  <c r="G262" i="31"/>
  <c r="G257" i="31"/>
  <c r="G259" i="31"/>
  <c r="G263" i="31"/>
  <c r="R41" i="31"/>
  <c r="R40" i="31"/>
  <c r="G261" i="31"/>
  <c r="G258" i="31"/>
  <c r="G260" i="31"/>
  <c r="G264" i="31"/>
  <c r="G255" i="31"/>
  <c r="Q35" i="31"/>
  <c r="P35" i="31"/>
  <c r="E274" i="31"/>
  <c r="C286" i="31"/>
  <c r="E276" i="31"/>
  <c r="C288" i="31"/>
  <c r="E253" i="31"/>
  <c r="M36" i="31"/>
  <c r="C265" i="31"/>
  <c r="E272" i="31"/>
  <c r="C284" i="31"/>
  <c r="C280" i="31"/>
  <c r="E268" i="31"/>
  <c r="E273" i="31"/>
  <c r="C285" i="31"/>
  <c r="E266" i="31"/>
  <c r="C278" i="31"/>
  <c r="C282" i="31"/>
  <c r="E270" i="31"/>
  <c r="C281" i="31"/>
  <c r="E269" i="31"/>
  <c r="E271" i="31"/>
  <c r="C283" i="31"/>
  <c r="E275" i="31"/>
  <c r="C287" i="31"/>
  <c r="G241" i="31"/>
  <c r="C279" i="31"/>
  <c r="E267" i="31"/>
  <c r="G33" i="25"/>
  <c r="E34" i="25"/>
  <c r="G269" i="31" l="1"/>
  <c r="G268" i="31"/>
  <c r="G276" i="31"/>
  <c r="G267" i="31"/>
  <c r="G275" i="31"/>
  <c r="G266" i="31"/>
  <c r="G270" i="31"/>
  <c r="G274" i="31"/>
  <c r="G271" i="31"/>
  <c r="G273" i="31"/>
  <c r="G272" i="31"/>
  <c r="E281" i="31"/>
  <c r="C293" i="31"/>
  <c r="C292" i="31"/>
  <c r="E280" i="31"/>
  <c r="Q36" i="31"/>
  <c r="P36" i="31"/>
  <c r="E286" i="31"/>
  <c r="C298" i="31"/>
  <c r="C291" i="31"/>
  <c r="E279" i="31"/>
  <c r="E283" i="31"/>
  <c r="C295" i="31"/>
  <c r="E285" i="31"/>
  <c r="C297" i="31"/>
  <c r="E284" i="31"/>
  <c r="C296" i="31"/>
  <c r="G253" i="31"/>
  <c r="E282" i="31"/>
  <c r="C294" i="31"/>
  <c r="C300" i="31"/>
  <c r="E288" i="31"/>
  <c r="E287" i="31"/>
  <c r="C299" i="31"/>
  <c r="E278" i="31"/>
  <c r="C290" i="31"/>
  <c r="C277" i="31"/>
  <c r="E265" i="31"/>
  <c r="M37" i="31"/>
  <c r="G34" i="25"/>
  <c r="E35" i="25"/>
  <c r="G288" i="31" l="1"/>
  <c r="G285" i="31"/>
  <c r="G281" i="31"/>
  <c r="G284" i="31"/>
  <c r="G283" i="31"/>
  <c r="G287" i="31"/>
  <c r="G282" i="31"/>
  <c r="G279" i="31"/>
  <c r="G278" i="31"/>
  <c r="G280" i="31"/>
  <c r="G286" i="31"/>
  <c r="Q37" i="31"/>
  <c r="P37" i="31"/>
  <c r="C312" i="31"/>
  <c r="E312" i="31" s="1"/>
  <c r="E300" i="31"/>
  <c r="E296" i="31"/>
  <c r="C308" i="31"/>
  <c r="E295" i="31"/>
  <c r="C307" i="31"/>
  <c r="E298" i="31"/>
  <c r="C310" i="31"/>
  <c r="G265" i="31"/>
  <c r="C311" i="31"/>
  <c r="E299" i="31"/>
  <c r="C306" i="31"/>
  <c r="E294" i="31"/>
  <c r="E292" i="31"/>
  <c r="C304" i="31"/>
  <c r="M38" i="31"/>
  <c r="C289" i="31"/>
  <c r="E277" i="31"/>
  <c r="C309" i="31"/>
  <c r="E297" i="31"/>
  <c r="E293" i="31"/>
  <c r="C305" i="31"/>
  <c r="C302" i="31"/>
  <c r="E290" i="31"/>
  <c r="E291" i="31"/>
  <c r="C303" i="31"/>
  <c r="E36" i="25"/>
  <c r="G35" i="25"/>
  <c r="G299" i="31" l="1"/>
  <c r="G300" i="31"/>
  <c r="G291" i="31"/>
  <c r="G293" i="31"/>
  <c r="G294" i="31"/>
  <c r="G312" i="31"/>
  <c r="G290" i="31"/>
  <c r="G297" i="31"/>
  <c r="G298" i="31"/>
  <c r="G296" i="31"/>
  <c r="G292" i="31"/>
  <c r="G295" i="31"/>
  <c r="E303" i="31"/>
  <c r="C315" i="31"/>
  <c r="E315" i="31" s="1"/>
  <c r="E305" i="31"/>
  <c r="C317" i="31"/>
  <c r="E317" i="31" s="1"/>
  <c r="G277" i="31"/>
  <c r="C323" i="31"/>
  <c r="E323" i="31" s="1"/>
  <c r="E311" i="31"/>
  <c r="E307" i="31"/>
  <c r="C319" i="31"/>
  <c r="E319" i="31" s="1"/>
  <c r="C301" i="31"/>
  <c r="M39" i="31"/>
  <c r="E289" i="31"/>
  <c r="Q38" i="31"/>
  <c r="P38" i="31"/>
  <c r="C318" i="31"/>
  <c r="E318" i="31" s="1"/>
  <c r="E306" i="31"/>
  <c r="C322" i="31"/>
  <c r="E322" i="31" s="1"/>
  <c r="E310" i="31"/>
  <c r="C320" i="31"/>
  <c r="E320" i="31" s="1"/>
  <c r="E308" i="31"/>
  <c r="C314" i="31"/>
  <c r="E314" i="31" s="1"/>
  <c r="E302" i="31"/>
  <c r="C321" i="31"/>
  <c r="E321" i="31" s="1"/>
  <c r="E309" i="31"/>
  <c r="E304" i="31"/>
  <c r="C316" i="31"/>
  <c r="E316" i="31" s="1"/>
  <c r="E37" i="25"/>
  <c r="G36" i="25"/>
  <c r="G320" i="31" l="1"/>
  <c r="G318" i="31"/>
  <c r="G302" i="31"/>
  <c r="G304" i="31"/>
  <c r="G314" i="31"/>
  <c r="G322" i="31"/>
  <c r="G319" i="31"/>
  <c r="G303" i="31"/>
  <c r="G307" i="31"/>
  <c r="G321" i="31"/>
  <c r="G309" i="31"/>
  <c r="G308" i="31"/>
  <c r="G306" i="31"/>
  <c r="G317" i="31"/>
  <c r="G311" i="31"/>
  <c r="G305" i="31"/>
  <c r="G316" i="31"/>
  <c r="G310" i="31"/>
  <c r="G323" i="31"/>
  <c r="G315" i="31"/>
  <c r="G289" i="31"/>
  <c r="P39" i="31"/>
  <c r="Q39" i="31"/>
  <c r="E301" i="31"/>
  <c r="C313" i="31"/>
  <c r="M40" i="31"/>
  <c r="E38" i="25"/>
  <c r="G37" i="25"/>
  <c r="P40" i="31" l="1"/>
  <c r="Q40" i="31"/>
  <c r="G301" i="31"/>
  <c r="M41" i="31"/>
  <c r="E313" i="31"/>
  <c r="G38" i="25"/>
  <c r="P41" i="31" l="1"/>
  <c r="Q41" i="31"/>
  <c r="G313" i="31"/>
  <c r="F21" i="82" l="1"/>
  <c r="F20" i="82"/>
  <c r="F22" i="82"/>
  <c r="F19" i="82"/>
  <c r="F23" i="82"/>
  <c r="F14" i="82" l="1"/>
  <c r="F16" i="82"/>
  <c r="F17" i="82"/>
  <c r="F11" i="82"/>
  <c r="F12" i="82"/>
  <c r="F13" i="82"/>
  <c r="F15" i="82"/>
  <c r="F10" i="82"/>
  <c r="F9" i="82"/>
  <c r="F26" i="82" l="1"/>
  <c r="F18" i="82"/>
  <c r="D14" i="82" l="1"/>
  <c r="K14" i="82" s="1"/>
  <c r="D11" i="82"/>
  <c r="K11" i="82" s="1"/>
  <c r="D9" i="82"/>
  <c r="K9" i="82" s="1"/>
  <c r="D10" i="82"/>
  <c r="K10" i="82" s="1"/>
  <c r="D15" i="82"/>
  <c r="K15" i="82" s="1"/>
  <c r="D17" i="82"/>
  <c r="K17" i="82" s="1"/>
  <c r="D16" i="82"/>
  <c r="K16" i="82" s="1"/>
  <c r="D12" i="82"/>
  <c r="K12" i="82" s="1"/>
  <c r="D13" i="82"/>
  <c r="K13" i="82" s="1"/>
  <c r="D18" i="82" l="1"/>
  <c r="K18" i="82" s="1"/>
  <c r="D26" i="82" l="1"/>
  <c r="K26" i="82" s="1"/>
  <c r="K27" i="82" s="1"/>
  <c r="D19" i="82"/>
  <c r="K19" i="82" s="1"/>
  <c r="D22" i="82"/>
  <c r="K22" i="82" s="1"/>
  <c r="D20" i="82"/>
  <c r="K20" i="82" s="1"/>
  <c r="D21" i="82"/>
  <c r="K21" i="82" s="1"/>
  <c r="D23" i="82"/>
  <c r="K23" i="82" s="1"/>
  <c r="E19" i="82" l="1"/>
  <c r="L19" i="82" s="1"/>
  <c r="E22" i="82"/>
  <c r="L22" i="82" s="1"/>
  <c r="E23" i="82"/>
  <c r="L23" i="82" s="1"/>
  <c r="E20" i="82"/>
  <c r="L20" i="82" s="1"/>
  <c r="E21" i="82"/>
  <c r="L21" i="82" s="1"/>
  <c r="E16" i="82" l="1"/>
  <c r="L16" i="82" s="1"/>
  <c r="E13" i="82"/>
  <c r="L13" i="82" s="1"/>
  <c r="E11" i="82"/>
  <c r="L11" i="82" s="1"/>
  <c r="E15" i="82"/>
  <c r="L15" i="82" s="1"/>
  <c r="E10" i="82"/>
  <c r="L10" i="82" s="1"/>
  <c r="E17" i="82"/>
  <c r="L17" i="82" s="1"/>
  <c r="E12" i="82"/>
  <c r="L12" i="82" s="1"/>
  <c r="E14" i="82"/>
  <c r="L14" i="82" s="1"/>
  <c r="E9" i="82"/>
  <c r="L9" i="82" s="1"/>
  <c r="E26" i="82" l="1"/>
  <c r="L26" i="82" s="1"/>
  <c r="L27" i="82" s="1"/>
  <c r="E18" i="82"/>
  <c r="L18" i="82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comments2.xml><?xml version="1.0" encoding="utf-8"?>
<comments xmlns="http://schemas.openxmlformats.org/spreadsheetml/2006/main">
  <authors>
    <author>Alpay, Ebru</author>
  </authors>
  <commentList>
    <comment ref="C75" authorId="0" shapeId="0">
      <text>
        <r>
          <rPr>
            <sz val="9"/>
            <color indexed="81"/>
            <rFont val="Tahoma"/>
            <family val="2"/>
          </rPr>
          <t xml:space="preserve">Should this be zero if this inly holding reserves?
</t>
        </r>
      </text>
    </comment>
  </commentList>
</comments>
</file>

<file path=xl/sharedStrings.xml><?xml version="1.0" encoding="utf-8"?>
<sst xmlns="http://schemas.openxmlformats.org/spreadsheetml/2006/main" count="1219" uniqueCount="271">
  <si>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</si>
  <si>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</si>
  <si>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</si>
  <si>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</si>
  <si>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</si>
  <si>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</si>
  <si>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</si>
  <si>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</si>
  <si>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</si>
  <si>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</si>
  <si>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</si>
  <si>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</si>
  <si>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</si>
  <si>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</si>
  <si>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</si>
  <si>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</si>
  <si>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</si>
  <si>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</si>
  <si>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</si>
  <si>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</si>
  <si>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</si>
  <si>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</si>
  <si>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</si>
  <si>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</si>
  <si>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</si>
  <si>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</si>
  <si>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</si>
  <si>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</si>
  <si>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</si>
  <si>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</si>
  <si>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</si>
  <si>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</si>
  <si>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</si>
  <si>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</si>
  <si>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</si>
  <si>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</si>
  <si>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</si>
  <si>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</si>
  <si>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</si>
  <si>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</si>
  <si>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</si>
  <si>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</si>
  <si>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</si>
  <si>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</si>
  <si>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</si>
  <si>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</si>
  <si>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</si>
  <si>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</si>
  <si>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</si>
  <si>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</si>
  <si>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</si>
  <si>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</si>
  <si>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</si>
  <si>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</si>
  <si>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</si>
  <si>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</si>
  <si>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</si>
  <si>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</si>
  <si>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</si>
  <si>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</si>
  <si>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</si>
  <si>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</si>
  <si>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</si>
  <si>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</si>
  <si>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</si>
  <si>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</si>
  <si>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</si>
  <si>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</si>
  <si>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</si>
  <si>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</si>
  <si>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</si>
  <si>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</si>
  <si>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</si>
  <si>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</si>
  <si>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</si>
  <si>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</si>
  <si>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</si>
  <si>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</si>
  <si>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</si>
  <si>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</si>
  <si>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</si>
  <si>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</si>
  <si>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</si>
  <si>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</si>
  <si>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</si>
  <si>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</si>
  <si>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</si>
  <si>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</si>
  <si>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</si>
  <si>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</si>
  <si>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</si>
  <si>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</si>
  <si>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</si>
  <si>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</si>
  <si>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</si>
  <si>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</si>
  <si>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</si>
  <si>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</si>
  <si>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</si>
  <si>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</si>
  <si>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</si>
  <si>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</si>
  <si>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</si>
  <si>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</si>
  <si>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</si>
  <si>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</si>
  <si>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</si>
  <si>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</si>
  <si>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</si>
  <si>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</si>
  <si>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</si>
  <si>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</si>
  <si>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</si>
  <si>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</si>
  <si>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</si>
  <si>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</si>
  <si>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</si>
  <si>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</si>
  <si>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</si>
  <si>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</si>
  <si>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</si>
  <si>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</si>
  <si>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</si>
  <si>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</si>
  <si>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</si>
  <si>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</si>
  <si>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</si>
  <si>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</si>
  <si>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</si>
  <si>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</si>
  <si>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</si>
  <si>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</si>
  <si>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</si>
  <si>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</si>
  <si>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</si>
  <si>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</si>
  <si>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</si>
  <si>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</si>
  <si>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</si>
  <si>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</si>
  <si>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</si>
  <si>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</si>
  <si>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</si>
  <si>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</si>
  <si>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</si>
  <si>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</si>
  <si>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</si>
  <si>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</si>
  <si>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</si>
  <si>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</si>
  <si>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</si>
  <si>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</si>
  <si>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</si>
  <si>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</si>
  <si>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</si>
  <si>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</si>
  <si>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</si>
  <si>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</si>
  <si>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</si>
  <si>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</si>
  <si>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</si>
  <si>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</si>
  <si>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</si>
  <si>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</si>
  <si>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</si>
  <si>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</si>
  <si>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</si>
  <si>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</si>
  <si>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</si>
  <si>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</si>
  <si>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</si>
  <si>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</si>
  <si>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</si>
  <si>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</si>
  <si>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</si>
  <si>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</si>
  <si>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</si>
  <si>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</si>
  <si>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</si>
  <si>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</si>
  <si>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</si>
  <si>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</si>
  <si>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</si>
  <si>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</si>
  <si>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</si>
  <si>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</si>
  <si>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</si>
  <si>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</si>
  <si>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</si>
  <si>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</si>
  <si>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</si>
  <si>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</si>
  <si>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</si>
  <si>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</si>
  <si>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</si>
  <si>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</si>
  <si>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</si>
  <si>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</si>
  <si>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</si>
  <si>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</si>
  <si>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</si>
  <si>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</si>
  <si>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</si>
  <si>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</si>
  <si>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</si>
  <si>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</si>
  <si>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</si>
  <si>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</si>
  <si>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</si>
  <si>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</si>
  <si>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</si>
  <si>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</si>
  <si>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</si>
  <si>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</si>
  <si>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</si>
  <si>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</si>
  <si>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</si>
  <si>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</si>
  <si>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</si>
  <si>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</si>
  <si>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</si>
  <si>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</si>
  <si>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</si>
  <si>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</si>
  <si>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</si>
  <si>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</si>
  <si>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</si>
  <si>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</si>
  <si>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</si>
  <si>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</si>
  <si>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</si>
  <si>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previous</t>
  </si>
  <si>
    <t>15 Year Starting 2021</t>
  </si>
  <si>
    <t>15 Year Starting 2023</t>
  </si>
  <si>
    <t>15 Year Starting 2020</t>
  </si>
  <si>
    <t>15 Year Starting 2022</t>
  </si>
  <si>
    <t>Appendix B.1</t>
  </si>
  <si>
    <t>Avoided Cost Prices $/MWh</t>
  </si>
  <si>
    <t>Thermal</t>
  </si>
  <si>
    <t>Solar Tracking</t>
  </si>
  <si>
    <t>100% CF (2)</t>
  </si>
  <si>
    <t>31.1% CF (2)</t>
  </si>
  <si>
    <t>31.0% CF (2)</t>
  </si>
  <si>
    <t>Difference</t>
  </si>
  <si>
    <t>15-Year Levelized Prices (Nominal) @ 6.920% Discount Rate (1) (3)</t>
  </si>
  <si>
    <t>2020-2034</t>
  </si>
  <si>
    <t>Footnotes:</t>
  </si>
  <si>
    <t>UT 2020.Q1</t>
  </si>
  <si>
    <t>Utah 2020.Q1 Sch 38</t>
  </si>
  <si>
    <t>UT 2019.Q4</t>
  </si>
  <si>
    <t>Wind (Defers UT W)</t>
  </si>
  <si>
    <t>Wind (Defers WYAE W)</t>
  </si>
  <si>
    <t>(1)   Discount Rate - 2019 IRP</t>
  </si>
  <si>
    <t>2023$</t>
  </si>
  <si>
    <t>Company Official Inflation Forecast Dated September 30, 2019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</si>
  <si>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</si>
  <si>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</si>
  <si>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</si>
  <si>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</si>
  <si>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</si>
  <si>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</si>
  <si>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</si>
  <si>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</si>
  <si>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</si>
  <si>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</si>
  <si>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</si>
  <si>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</si>
  <si>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</si>
  <si>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Avoided Cost Resource</t>
  </si>
  <si>
    <t>Photovoltaic (Utility) 30% ITC</t>
  </si>
  <si>
    <t>Utah 2020.Q1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</si>
</sst>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4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sz val="9"/>
      <color indexed="81"/>
      <name val="Tahoma"/>
      <family val="2"/>
    </font>
    <font>
      <b/>
      <u/>
      <sz val="10"/>
      <name val="Times New Roman"/>
      <family val="1"/>
    </font>
    <font>
      <sz val="10"/>
      <color rgb="FFCCEC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435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67" fontId="3" fillId="5" borderId="0" xfId="8" applyNumberFormat="1" applyFont="1" applyFill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Alignment="1">
      <alignment horizontal="left" vertical="top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15" fillId="0" borderId="0" xfId="0" applyFont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8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41" fontId="6" fillId="0" borderId="0" xfId="11" applyFont="1" applyFill="1" applyAlignment="1">
      <alignment horizontal="centerContinuous"/>
    </xf>
    <xf numFmtId="41" fontId="9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Continuous"/>
    </xf>
    <xf numFmtId="41" fontId="5" fillId="0" borderId="0" xfId="11" applyFont="1" applyFill="1" applyBorder="1"/>
    <xf numFmtId="41" fontId="7" fillId="0" borderId="0" xfId="11" applyFont="1" applyFill="1" applyAlignment="1">
      <alignment horizontal="centerContinuous"/>
    </xf>
    <xf numFmtId="41" fontId="5" fillId="0" borderId="0" xfId="11" applyFont="1" applyFill="1" applyAlignment="1">
      <alignment horizontal="center"/>
    </xf>
    <xf numFmtId="17" fontId="5" fillId="0" borderId="0" xfId="11" applyNumberFormat="1" applyFont="1" applyFill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 applyFont="1" applyFill="1" applyBorder="1" applyAlignment="1"/>
    <xf numFmtId="0" fontId="5" fillId="0" borderId="0" xfId="7" applyFont="1" applyFill="1" applyBorder="1" applyAlignment="1">
      <alignment horizontal="center"/>
    </xf>
    <xf numFmtId="41" fontId="5" fillId="0" borderId="0" xfId="11" quotePrefix="1" applyFont="1" applyFill="1" applyAlignment="1">
      <alignment horizontal="center" vertical="top"/>
    </xf>
    <xf numFmtId="41" fontId="5" fillId="0" borderId="0" xfId="11" applyFont="1" applyFill="1" applyBorder="1" applyAlignment="1">
      <alignment horizontal="center"/>
    </xf>
    <xf numFmtId="41" fontId="5" fillId="0" borderId="0" xfId="11" applyFont="1" applyFill="1" applyAlignment="1"/>
    <xf numFmtId="0" fontId="5" fillId="0" borderId="22" xfId="11" applyNumberFormat="1" applyFont="1" applyFill="1" applyBorder="1" applyAlignment="1">
      <alignment horizontal="center"/>
    </xf>
    <xf numFmtId="8" fontId="5" fillId="0" borderId="2" xfId="11" applyNumberFormat="1" applyFont="1" applyFill="1" applyBorder="1" applyAlignment="1">
      <alignment horizontal="center"/>
    </xf>
    <xf numFmtId="8" fontId="5" fillId="0" borderId="8" xfId="11" applyNumberFormat="1" applyFont="1" applyFill="1" applyBorder="1" applyAlignment="1">
      <alignment horizontal="center"/>
    </xf>
    <xf numFmtId="168" fontId="39" fillId="0" borderId="0" xfId="11" applyNumberFormat="1" applyFont="1" applyFill="1" applyBorder="1" applyAlignment="1">
      <alignment horizontal="centerContinuous"/>
    </xf>
    <xf numFmtId="0" fontId="5" fillId="0" borderId="10" xfId="11" applyNumberFormat="1" applyFont="1" applyFill="1" applyBorder="1" applyAlignment="1">
      <alignment horizontal="center"/>
    </xf>
    <xf numFmtId="8" fontId="5" fillId="0" borderId="0" xfId="11" applyNumberFormat="1" applyFont="1" applyFill="1" applyBorder="1" applyAlignment="1">
      <alignment horizontal="center"/>
    </xf>
    <xf numFmtId="8" fontId="5" fillId="0" borderId="11" xfId="11" applyNumberFormat="1" applyFont="1" applyFill="1" applyBorder="1" applyAlignment="1">
      <alignment horizontal="center"/>
    </xf>
    <xf numFmtId="0" fontId="5" fillId="0" borderId="23" xfId="11" applyNumberFormat="1" applyFont="1" applyFill="1" applyBorder="1" applyAlignment="1">
      <alignment horizontal="center"/>
    </xf>
    <xf numFmtId="8" fontId="5" fillId="0" borderId="1" xfId="11" applyNumberFormat="1" applyFont="1" applyFill="1" applyBorder="1" applyAlignment="1">
      <alignment horizontal="center"/>
    </xf>
    <xf numFmtId="8" fontId="5" fillId="0" borderId="12" xfId="11" applyNumberFormat="1" applyFont="1" applyFill="1" applyBorder="1" applyAlignment="1">
      <alignment horizontal="center"/>
    </xf>
    <xf numFmtId="41" fontId="23" fillId="0" borderId="0" xfId="11" applyFont="1" applyFill="1"/>
    <xf numFmtId="41" fontId="5" fillId="0" borderId="0" xfId="11" applyFont="1" applyFill="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0" quotePrefix="1" applyNumberFormat="1" applyFont="1" applyFill="1" applyBorder="1" applyAlignment="1">
      <alignment horizontal="center"/>
    </xf>
    <xf numFmtId="39" fontId="5" fillId="0" borderId="0" xfId="11" applyNumberFormat="1" applyFont="1" applyFill="1" applyBorder="1" applyAlignment="1">
      <alignment horizontal="center"/>
    </xf>
    <xf numFmtId="43" fontId="5" fillId="0" borderId="0" xfId="1" applyFont="1" applyFill="1"/>
    <xf numFmtId="8" fontId="5" fillId="0" borderId="0" xfId="11" applyNumberFormat="1" applyFont="1" applyFill="1"/>
    <xf numFmtId="41" fontId="5" fillId="0" borderId="0" xfId="11" applyFont="1" applyFill="1" applyAlignment="1">
      <alignment horizontal="center" wrapText="1"/>
    </xf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Exhibit GND-1 - 5.24.2005" xfId="30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7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cenario\OR%20AC%20Sch%2037%20-%20AC%20%20Study_s1_Update_(OFPC1501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0%20Dockets\20-035-30%20Quarterly%20Avoided%20Cost%20Updates\06-30-20%20Q1%202020\Working%20Docs\4_Appendix%20B.2%20-%20UT%202020.Q1%20-%20AC%20Study%20NON-CONF%20Solar%20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0%20Dockets\20-035-30%20Quarterly%20Avoided%20Cost%20Updates\06-30-20%20Q1%202020\Working%20Docs\4_Appendix%20B.3%20-%20UT%202020.Q1%20-%20AC%20Study%20NON-CONF%20UT%20W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UT\2020%20Dockets\20-035-30%20Quarterly%20Avoided%20Cost%20Updates\06-30-20%20Q1%202020\Working%20Docs\4_Appendix%20B.4%20-%20UT%202020.Q1%20-%20AC%20Study%20NON-CONF%20Wind%20(WYAE%20W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2%20-%20UT%202019.Q4%20-%20AC%20Study%20NON-CONF%20Solar%20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3%20-%20UT%202019.Q4%20-%20AC%20Study%20NON-CONF%20Wi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sch%2038%20filing\4_Appendix%20B.1%20-%20UT%202019.Q4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 refreshError="1"/>
      <sheetData sheetId="1">
        <row r="13">
          <cell r="B13">
            <v>2020</v>
          </cell>
          <cell r="C13">
            <v>0</v>
          </cell>
          <cell r="E13">
            <v>12.504328370459994</v>
          </cell>
          <cell r="G13">
            <v>12.504328370459994</v>
          </cell>
        </row>
        <row r="14">
          <cell r="B14">
            <v>2021</v>
          </cell>
          <cell r="C14">
            <v>0</v>
          </cell>
          <cell r="E14">
            <v>13.334447912988496</v>
          </cell>
          <cell r="G14">
            <v>13.334447912988496</v>
          </cell>
        </row>
        <row r="15">
          <cell r="B15">
            <v>2022</v>
          </cell>
          <cell r="C15">
            <v>0</v>
          </cell>
          <cell r="E15">
            <v>14.220943733326495</v>
          </cell>
          <cell r="G15">
            <v>14.220943733326495</v>
          </cell>
        </row>
        <row r="16">
          <cell r="B16">
            <v>2023</v>
          </cell>
          <cell r="C16">
            <v>0</v>
          </cell>
          <cell r="E16">
            <v>13.5161045822099</v>
          </cell>
          <cell r="G16">
            <v>13.5161045822099</v>
          </cell>
        </row>
        <row r="17">
          <cell r="B17">
            <v>2024</v>
          </cell>
          <cell r="C17">
            <v>33.215200148900024</v>
          </cell>
          <cell r="E17">
            <v>1.7368583313231223</v>
          </cell>
          <cell r="G17">
            <v>13.722886138874195</v>
          </cell>
        </row>
        <row r="18">
          <cell r="B18">
            <v>2025</v>
          </cell>
          <cell r="C18">
            <v>33.979205973266211</v>
          </cell>
          <cell r="E18">
            <v>1.8956798538107842</v>
          </cell>
          <cell r="G18">
            <v>14.252213448305625</v>
          </cell>
        </row>
        <row r="19">
          <cell r="B19">
            <v>2026</v>
          </cell>
          <cell r="C19">
            <v>34.760460157848385</v>
          </cell>
          <cell r="E19">
            <v>2.1070717488250503</v>
          </cell>
          <cell r="G19">
            <v>14.81122914319673</v>
          </cell>
        </row>
        <row r="20">
          <cell r="B20">
            <v>2027</v>
          </cell>
          <cell r="C20">
            <v>35.559551195959855</v>
          </cell>
          <cell r="E20">
            <v>2.6015052429956227</v>
          </cell>
          <cell r="G20">
            <v>15.663019834559325</v>
          </cell>
        </row>
        <row r="21">
          <cell r="B21">
            <v>2028</v>
          </cell>
          <cell r="C21">
            <v>36.376479087600579</v>
          </cell>
          <cell r="E21">
            <v>4.8729253727734969</v>
          </cell>
          <cell r="G21">
            <v>18.265582316776669</v>
          </cell>
        </row>
        <row r="22">
          <cell r="B22">
            <v>2029</v>
          </cell>
          <cell r="C22">
            <v>37.211243832770585</v>
          </cell>
          <cell r="E22">
            <v>5.7720959992451304</v>
          </cell>
          <cell r="G22">
            <v>19.57801404000292</v>
          </cell>
        </row>
        <row r="23">
          <cell r="B23">
            <v>2030</v>
          </cell>
          <cell r="C23">
            <v>38.028171724411308</v>
          </cell>
          <cell r="E23">
            <v>3.8174633072454305</v>
          </cell>
          <cell r="G23">
            <v>17.997373274964978</v>
          </cell>
        </row>
        <row r="24">
          <cell r="B24">
            <v>2031</v>
          </cell>
          <cell r="C24">
            <v>38.862936469581321</v>
          </cell>
          <cell r="E24">
            <v>5.3284564421657752</v>
          </cell>
          <cell r="G24">
            <v>19.892452634286624</v>
          </cell>
        </row>
        <row r="25">
          <cell r="B25">
            <v>2032</v>
          </cell>
          <cell r="C25">
            <v>39.719105438986446</v>
          </cell>
          <cell r="E25">
            <v>7.9789090770436992</v>
          </cell>
          <cell r="G25">
            <v>22.898372978100689</v>
          </cell>
        </row>
        <row r="26">
          <cell r="B26">
            <v>2033</v>
          </cell>
          <cell r="C26">
            <v>40.5503028134506</v>
          </cell>
          <cell r="E26">
            <v>7.8338724870207326</v>
          </cell>
          <cell r="G26">
            <v>23.183324733194073</v>
          </cell>
        </row>
        <row r="27">
          <cell r="B27">
            <v>2034</v>
          </cell>
          <cell r="C27">
            <v>41.40290441214988</v>
          </cell>
          <cell r="E27">
            <v>8.5654519308025083</v>
          </cell>
          <cell r="G27">
            <v>24.316393126007799</v>
          </cell>
        </row>
        <row r="28">
          <cell r="B28">
            <v>2035</v>
          </cell>
          <cell r="C28">
            <v>42.273342864378421</v>
          </cell>
          <cell r="E28">
            <v>8.7098555799925492</v>
          </cell>
          <cell r="G28">
            <v>24.872752813488852</v>
          </cell>
        </row>
        <row r="29">
          <cell r="B29">
            <v>2036</v>
          </cell>
          <cell r="C29">
            <v>43.161618170136265</v>
          </cell>
          <cell r="E29">
            <v>10.357408588766779</v>
          </cell>
          <cell r="G29">
            <v>26.898309446636532</v>
          </cell>
        </row>
        <row r="30">
          <cell r="B30">
            <v>2037</v>
          </cell>
          <cell r="C30">
            <v>44.067730329423355</v>
          </cell>
          <cell r="E30">
            <v>9.5736189351180681</v>
          </cell>
          <cell r="G30">
            <v>26.592348733788103</v>
          </cell>
        </row>
        <row r="31">
          <cell r="B31">
            <v>2038</v>
          </cell>
          <cell r="C31">
            <v>44.991679342239728</v>
          </cell>
          <cell r="E31">
            <v>11.065042056882596</v>
          </cell>
          <cell r="G31">
            <v>28.527910552623673</v>
          </cell>
        </row>
        <row r="32">
          <cell r="B32">
            <v>2039</v>
          </cell>
          <cell r="C32">
            <v>45.937032579291227</v>
          </cell>
          <cell r="E32">
            <v>11.297407940077131</v>
          </cell>
          <cell r="G32">
            <v>29.127201598470538</v>
          </cell>
        </row>
        <row r="33">
          <cell r="B33">
            <v>2040</v>
          </cell>
          <cell r="C33">
            <v>46.900222669872008</v>
          </cell>
          <cell r="E33" t="e">
            <v>#DIV/0!</v>
          </cell>
          <cell r="G33" t="e">
            <v>#DIV/0!</v>
          </cell>
        </row>
        <row r="34">
          <cell r="B34">
            <v>2041</v>
          </cell>
          <cell r="C34">
            <v>47.888384355393754</v>
          </cell>
          <cell r="E34" t="e">
            <v>#DIV/0!</v>
          </cell>
          <cell r="G34" t="e">
            <v>#DIV/0!</v>
          </cell>
        </row>
        <row r="35">
          <cell r="B35">
            <v>2042</v>
          </cell>
          <cell r="C35">
            <v>48.894382894444796</v>
          </cell>
          <cell r="E35" t="e">
            <v>#DIV/0!</v>
          </cell>
          <cell r="G35" t="e">
            <v>#DIV/0!</v>
          </cell>
        </row>
        <row r="36">
          <cell r="B36">
            <v>2043</v>
          </cell>
          <cell r="C36">
            <v>49.918218287025098</v>
          </cell>
          <cell r="E36" t="e">
            <v>#DIV/0!</v>
          </cell>
          <cell r="G36" t="e">
            <v>#DIV/0!</v>
          </cell>
        </row>
        <row r="37">
          <cell r="B37">
            <v>2044</v>
          </cell>
          <cell r="C37">
            <v>49.918218287025098</v>
          </cell>
          <cell r="E37" t="e">
            <v>#DIV/0!</v>
          </cell>
          <cell r="G37" t="e">
            <v>#DIV/0!</v>
          </cell>
        </row>
        <row r="38">
          <cell r="B38">
            <v>2045</v>
          </cell>
          <cell r="C38">
            <v>49.918218287025098</v>
          </cell>
          <cell r="E38" t="e">
            <v>#DIV/0!</v>
          </cell>
          <cell r="G38" t="e">
            <v>#DIV/0!</v>
          </cell>
        </row>
        <row r="48">
          <cell r="G48">
            <v>16.118794786598876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 refreshError="1"/>
      <sheetData sheetId="1">
        <row r="13">
          <cell r="B13">
            <v>2020</v>
          </cell>
          <cell r="C13">
            <v>0</v>
          </cell>
          <cell r="E13">
            <v>11.478864044043521</v>
          </cell>
          <cell r="G13">
            <v>11.478864044043521</v>
          </cell>
        </row>
        <row r="14">
          <cell r="B14">
            <v>2021</v>
          </cell>
          <cell r="C14">
            <v>0</v>
          </cell>
          <cell r="E14">
            <v>13.623153402990761</v>
          </cell>
          <cell r="G14">
            <v>13.623153402990761</v>
          </cell>
        </row>
        <row r="15">
          <cell r="B15">
            <v>2022</v>
          </cell>
          <cell r="C15">
            <v>0</v>
          </cell>
          <cell r="E15">
            <v>14.815591812077573</v>
          </cell>
          <cell r="G15">
            <v>14.815591812077573</v>
          </cell>
        </row>
        <row r="16">
          <cell r="B16">
            <v>2023</v>
          </cell>
          <cell r="C16">
            <v>121.1121219836666</v>
          </cell>
          <cell r="E16">
            <v>-21.545348564781506</v>
          </cell>
          <cell r="G16">
            <v>25.396621841914776</v>
          </cell>
        </row>
        <row r="17">
          <cell r="B17">
            <v>2024</v>
          </cell>
          <cell r="C17">
            <v>123.98246376811592</v>
          </cell>
          <cell r="E17">
            <v>-21.508927199251012</v>
          </cell>
          <cell r="G17">
            <v>26.507697498901955</v>
          </cell>
        </row>
        <row r="18">
          <cell r="B18">
            <v>2025</v>
          </cell>
          <cell r="C18">
            <v>126.82608695652175</v>
          </cell>
          <cell r="E18">
            <v>-22.363695473854019</v>
          </cell>
          <cell r="G18">
            <v>26.792956421924252</v>
          </cell>
        </row>
        <row r="19">
          <cell r="B19">
            <v>2026</v>
          </cell>
          <cell r="C19">
            <v>129.73420289855071</v>
          </cell>
          <cell r="E19">
            <v>-22.347754244765706</v>
          </cell>
          <cell r="G19">
            <v>27.936057263560468</v>
          </cell>
        </row>
        <row r="20">
          <cell r="B20">
            <v>2027</v>
          </cell>
          <cell r="C20">
            <v>132.70681159420292</v>
          </cell>
          <cell r="E20">
            <v>-23.097284900186239</v>
          </cell>
          <cell r="G20">
            <v>28.338683032587799</v>
          </cell>
        </row>
        <row r="21">
          <cell r="B21">
            <v>2028</v>
          </cell>
          <cell r="C21">
            <v>135.75840579710146</v>
          </cell>
          <cell r="E21">
            <v>-23.14758732062684</v>
          </cell>
          <cell r="G21">
            <v>29.429690325434528</v>
          </cell>
        </row>
        <row r="22">
          <cell r="B22">
            <v>2029</v>
          </cell>
          <cell r="C22">
            <v>138.8744927536232</v>
          </cell>
          <cell r="E22">
            <v>-24.116940551811684</v>
          </cell>
          <cell r="G22">
            <v>29.709565187760003</v>
          </cell>
        </row>
        <row r="23">
          <cell r="B23">
            <v>2030</v>
          </cell>
          <cell r="C23">
            <v>141.95507246376812</v>
          </cell>
          <cell r="E23">
            <v>-24.925196942543465</v>
          </cell>
          <cell r="G23">
            <v>30.095313816679305</v>
          </cell>
        </row>
        <row r="24">
          <cell r="B24">
            <v>2031</v>
          </cell>
          <cell r="C24">
            <v>145.11463768115945</v>
          </cell>
          <cell r="E24">
            <v>-24.843499734227485</v>
          </cell>
          <cell r="G24">
            <v>31.401630117647414</v>
          </cell>
        </row>
        <row r="25">
          <cell r="B25">
            <v>2032</v>
          </cell>
          <cell r="C25">
            <v>148.33869565217393</v>
          </cell>
          <cell r="E25">
            <v>-25.564649965703303</v>
          </cell>
          <cell r="G25">
            <v>31.884792970562113</v>
          </cell>
        </row>
        <row r="26">
          <cell r="B26">
            <v>2033</v>
          </cell>
          <cell r="C26">
            <v>151.52724637681158</v>
          </cell>
          <cell r="E26">
            <v>-0.28372658797787903</v>
          </cell>
          <cell r="G26">
            <v>58.446872783303348</v>
          </cell>
        </row>
        <row r="27">
          <cell r="B27">
            <v>2034</v>
          </cell>
          <cell r="C27">
            <v>154.78478260869562</v>
          </cell>
          <cell r="E27">
            <v>-0.4387478070968383</v>
          </cell>
          <cell r="G27">
            <v>59.55444334187996</v>
          </cell>
        </row>
        <row r="28">
          <cell r="B28">
            <v>2035</v>
          </cell>
          <cell r="C28">
            <v>158.1068115942029</v>
          </cell>
          <cell r="E28">
            <v>-0.34032912247114322</v>
          </cell>
          <cell r="G28">
            <v>60.940450616101202</v>
          </cell>
        </row>
        <row r="29">
          <cell r="B29">
            <v>2036</v>
          </cell>
          <cell r="C29">
            <v>161.50782608695653</v>
          </cell>
          <cell r="E29">
            <v>-0.11465433397972308</v>
          </cell>
          <cell r="G29">
            <v>62.435003378390135</v>
          </cell>
        </row>
        <row r="30">
          <cell r="B30">
            <v>2037</v>
          </cell>
          <cell r="C30">
            <v>164.97333333333333</v>
          </cell>
          <cell r="E30">
            <v>-0.30446249758838051</v>
          </cell>
          <cell r="G30">
            <v>63.637719378076937</v>
          </cell>
        </row>
        <row r="31">
          <cell r="B31">
            <v>2038</v>
          </cell>
          <cell r="C31">
            <v>168.51782608695655</v>
          </cell>
          <cell r="E31">
            <v>-0.27533515470159325</v>
          </cell>
          <cell r="G31">
            <v>65.040660268461238</v>
          </cell>
        </row>
        <row r="32">
          <cell r="B32">
            <v>2039</v>
          </cell>
          <cell r="C32">
            <v>172.04999999999998</v>
          </cell>
          <cell r="E32">
            <v>-0.28111719295032667</v>
          </cell>
          <cell r="G32">
            <v>66.403917105774013</v>
          </cell>
        </row>
        <row r="33">
          <cell r="B33">
            <v>2040</v>
          </cell>
          <cell r="C33">
            <v>175.66</v>
          </cell>
          <cell r="E33" t="e">
            <v>#DIV/0!</v>
          </cell>
          <cell r="G33" t="e">
            <v>#DIV/0!</v>
          </cell>
        </row>
        <row r="34">
          <cell r="B34">
            <v>2041</v>
          </cell>
          <cell r="C34">
            <v>179.33999999999997</v>
          </cell>
          <cell r="E34" t="e">
            <v>#DIV/0!</v>
          </cell>
          <cell r="G34" t="e">
            <v>#DIV/0!</v>
          </cell>
        </row>
        <row r="35">
          <cell r="B35">
            <v>2042</v>
          </cell>
          <cell r="C35">
            <v>183.11</v>
          </cell>
          <cell r="E35" t="e">
            <v>#DIV/0!</v>
          </cell>
          <cell r="G35" t="e">
            <v>#DIV/0!</v>
          </cell>
        </row>
        <row r="36">
          <cell r="B36">
            <v>2043</v>
          </cell>
          <cell r="C36">
            <v>186.95000000000002</v>
          </cell>
          <cell r="E36" t="e">
            <v>#DIV/0!</v>
          </cell>
          <cell r="G36" t="e">
            <v>#DIV/0!</v>
          </cell>
        </row>
        <row r="37">
          <cell r="B37">
            <v>2044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2045</v>
          </cell>
          <cell r="C38">
            <v>0</v>
          </cell>
          <cell r="E38" t="e">
            <v>#DIV/0!</v>
          </cell>
          <cell r="G38" t="e">
            <v>#DIV/0!</v>
          </cell>
        </row>
        <row r="48">
          <cell r="G48">
            <v>26.435790487857499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4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 refreshError="1"/>
      <sheetData sheetId="1">
        <row r="13">
          <cell r="B13">
            <v>2020</v>
          </cell>
          <cell r="C13">
            <v>0</v>
          </cell>
          <cell r="E13">
            <v>12.541599998928122</v>
          </cell>
          <cell r="G13">
            <v>12.541599998928122</v>
          </cell>
        </row>
        <row r="14">
          <cell r="B14">
            <v>2021</v>
          </cell>
          <cell r="C14">
            <v>0</v>
          </cell>
          <cell r="E14">
            <v>14.894492672727621</v>
          </cell>
          <cell r="G14">
            <v>14.894492672727621</v>
          </cell>
        </row>
        <row r="15">
          <cell r="B15">
            <v>2022</v>
          </cell>
          <cell r="C15">
            <v>0</v>
          </cell>
          <cell r="E15">
            <v>15.984264432111781</v>
          </cell>
          <cell r="G15">
            <v>15.984264432111781</v>
          </cell>
        </row>
        <row r="16">
          <cell r="B16">
            <v>2023</v>
          </cell>
          <cell r="C16">
            <v>0</v>
          </cell>
          <cell r="E16">
            <v>15.2770700451876</v>
          </cell>
          <cell r="G16">
            <v>15.2770700451876</v>
          </cell>
        </row>
        <row r="17">
          <cell r="B17">
            <v>2024</v>
          </cell>
          <cell r="C17">
            <v>300.19737502573867</v>
          </cell>
          <cell r="E17">
            <v>-48.447527248948347</v>
          </cell>
          <cell r="G17">
            <v>67.814809282623315</v>
          </cell>
        </row>
        <row r="18">
          <cell r="B18">
            <v>2025</v>
          </cell>
          <cell r="C18">
            <v>307.10267125297958</v>
          </cell>
          <cell r="E18">
            <v>-50.054582706815715</v>
          </cell>
          <cell r="G18">
            <v>68.975868728225009</v>
          </cell>
        </row>
        <row r="19">
          <cell r="B19">
            <v>2026</v>
          </cell>
          <cell r="C19">
            <v>314.14798879772138</v>
          </cell>
          <cell r="E19">
            <v>-50.753221933461198</v>
          </cell>
          <cell r="G19">
            <v>71.007936220711301</v>
          </cell>
        </row>
        <row r="20">
          <cell r="B20">
            <v>2027</v>
          </cell>
          <cell r="C20">
            <v>321.36214577553631</v>
          </cell>
          <cell r="E20">
            <v>-53.415163056917194</v>
          </cell>
          <cell r="G20">
            <v>71.142142582033088</v>
          </cell>
        </row>
        <row r="21">
          <cell r="B21">
            <v>2028</v>
          </cell>
          <cell r="C21">
            <v>328.75722345327875</v>
          </cell>
          <cell r="E21">
            <v>-58.714169051076951</v>
          </cell>
          <cell r="G21">
            <v>68.609006066737052</v>
          </cell>
        </row>
        <row r="22">
          <cell r="B22">
            <v>2029</v>
          </cell>
          <cell r="C22">
            <v>336.31905244389748</v>
          </cell>
          <cell r="E22">
            <v>-61.96677643591056</v>
          </cell>
          <cell r="G22">
            <v>68.387702329353047</v>
          </cell>
        </row>
        <row r="23">
          <cell r="B23">
            <v>2030</v>
          </cell>
          <cell r="C23">
            <v>343.75738404000663</v>
          </cell>
          <cell r="E23">
            <v>-58.794182493579854</v>
          </cell>
          <cell r="G23">
            <v>74.443331981519805</v>
          </cell>
        </row>
        <row r="24">
          <cell r="B24">
            <v>2031</v>
          </cell>
          <cell r="C24">
            <v>351.37663633604336</v>
          </cell>
          <cell r="E24">
            <v>-61.448877167584648</v>
          </cell>
          <cell r="G24">
            <v>74.741796381952497</v>
          </cell>
        </row>
        <row r="25">
          <cell r="B25">
            <v>2032</v>
          </cell>
          <cell r="C25">
            <v>359.15055867810207</v>
          </cell>
          <cell r="E25">
            <v>-69.002904889814744</v>
          </cell>
          <cell r="G25">
            <v>70.091193168022627</v>
          </cell>
        </row>
        <row r="26">
          <cell r="B26">
            <v>2033</v>
          </cell>
          <cell r="C26">
            <v>366.78591932994431</v>
          </cell>
          <cell r="E26">
            <v>-72.37518843340824</v>
          </cell>
          <cell r="G26">
            <v>69.787995558877242</v>
          </cell>
        </row>
        <row r="27">
          <cell r="B27">
            <v>2034</v>
          </cell>
          <cell r="C27">
            <v>374.60220068171395</v>
          </cell>
          <cell r="E27">
            <v>-18.294909742184331</v>
          </cell>
          <cell r="G27">
            <v>126.89780015441356</v>
          </cell>
        </row>
        <row r="28">
          <cell r="B28">
            <v>2035</v>
          </cell>
          <cell r="C28">
            <v>382.55883354101178</v>
          </cell>
          <cell r="E28">
            <v>-18.62152388745697</v>
          </cell>
          <cell r="G28">
            <v>129.65511099514319</v>
          </cell>
        </row>
        <row r="29">
          <cell r="B29">
            <v>2036</v>
          </cell>
          <cell r="C29">
            <v>390.71055648728833</v>
          </cell>
          <cell r="E29">
            <v>-21.598574578591808</v>
          </cell>
          <cell r="G29">
            <v>129.71827887779858</v>
          </cell>
        </row>
        <row r="30">
          <cell r="B30">
            <v>2037</v>
          </cell>
          <cell r="C30">
            <v>399.02977650365432</v>
          </cell>
          <cell r="E30">
            <v>-22.185342410078402</v>
          </cell>
          <cell r="G30">
            <v>132.47529352469465</v>
          </cell>
        </row>
        <row r="31">
          <cell r="B31">
            <v>2038</v>
          </cell>
          <cell r="C31">
            <v>407.51709019588031</v>
          </cell>
          <cell r="E31">
            <v>-25.067196610726224</v>
          </cell>
          <cell r="G31">
            <v>132.88305180489778</v>
          </cell>
        </row>
        <row r="32">
          <cell r="B32">
            <v>2039</v>
          </cell>
          <cell r="C32">
            <v>416.07137288585335</v>
          </cell>
          <cell r="E32">
            <v>-25.593607739551469</v>
          </cell>
          <cell r="G32">
            <v>135.67220978569998</v>
          </cell>
        </row>
        <row r="33">
          <cell r="B33">
            <v>2040</v>
          </cell>
          <cell r="C33">
            <v>424.80672542719668</v>
          </cell>
          <cell r="E33" t="e">
            <v>#DIV/0!</v>
          </cell>
          <cell r="G33" t="e">
            <v>#DIV/0!</v>
          </cell>
        </row>
        <row r="34">
          <cell r="B34">
            <v>2041</v>
          </cell>
          <cell r="C34">
            <v>433.72329697135262</v>
          </cell>
          <cell r="E34" t="e">
            <v>#DIV/0!</v>
          </cell>
          <cell r="G34" t="e">
            <v>#DIV/0!</v>
          </cell>
        </row>
        <row r="35">
          <cell r="B35">
            <v>2042</v>
          </cell>
          <cell r="C35">
            <v>442.83540605681526</v>
          </cell>
          <cell r="E35" t="e">
            <v>#DIV/0!</v>
          </cell>
          <cell r="G35" t="e">
            <v>#DIV/0!</v>
          </cell>
        </row>
        <row r="36">
          <cell r="B36">
            <v>2043</v>
          </cell>
          <cell r="C36">
            <v>452.1287341450905</v>
          </cell>
          <cell r="E36" t="e">
            <v>#DIV/0!</v>
          </cell>
          <cell r="G36" t="e">
            <v>#DIV/0!</v>
          </cell>
        </row>
        <row r="37">
          <cell r="B37">
            <v>2044</v>
          </cell>
          <cell r="C37">
            <v>93.233075282467354</v>
          </cell>
          <cell r="E37" t="e">
            <v>#DIV/0!</v>
          </cell>
          <cell r="G37" t="e">
            <v>#DIV/0!</v>
          </cell>
        </row>
        <row r="38">
          <cell r="B38">
            <v>2045</v>
          </cell>
          <cell r="C38">
            <v>95.286890647678064</v>
          </cell>
          <cell r="E38" t="e">
            <v>#DIV/0!</v>
          </cell>
          <cell r="G38" t="e">
            <v>#DIV/0!</v>
          </cell>
        </row>
        <row r="48">
          <cell r="G48">
            <v>51.791985934246441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>
        <row r="13">
          <cell r="B13">
            <v>2020</v>
          </cell>
          <cell r="C13">
            <v>0</v>
          </cell>
          <cell r="D13">
            <v>0</v>
          </cell>
          <cell r="E13">
            <v>12.630669690667313</v>
          </cell>
          <cell r="F13">
            <v>0</v>
          </cell>
          <cell r="G13">
            <v>12.630669690667313</v>
          </cell>
        </row>
        <row r="14">
          <cell r="B14">
            <v>2021</v>
          </cell>
          <cell r="C14">
            <v>0</v>
          </cell>
          <cell r="D14">
            <v>0</v>
          </cell>
          <cell r="E14">
            <v>10.041537464784007</v>
          </cell>
          <cell r="F14">
            <v>0</v>
          </cell>
          <cell r="G14">
            <v>10.041537464784007</v>
          </cell>
        </row>
        <row r="15">
          <cell r="B15">
            <v>2022</v>
          </cell>
          <cell r="C15">
            <v>0</v>
          </cell>
          <cell r="D15">
            <v>0</v>
          </cell>
          <cell r="E15">
            <v>13.002939212227725</v>
          </cell>
          <cell r="F15">
            <v>0</v>
          </cell>
          <cell r="G15">
            <v>13.002939212227725</v>
          </cell>
        </row>
        <row r="16">
          <cell r="B16">
            <v>2023</v>
          </cell>
          <cell r="C16">
            <v>0</v>
          </cell>
          <cell r="D16">
            <v>0</v>
          </cell>
          <cell r="E16">
            <v>11.186282792154588</v>
          </cell>
          <cell r="F16">
            <v>0</v>
          </cell>
          <cell r="G16">
            <v>11.186282792154588</v>
          </cell>
        </row>
        <row r="17">
          <cell r="B17">
            <v>2024</v>
          </cell>
          <cell r="C17">
            <v>27.939607180547874</v>
          </cell>
          <cell r="D17">
            <v>0</v>
          </cell>
          <cell r="E17">
            <v>-1.4648213972465911</v>
          </cell>
          <cell r="F17">
            <v>0</v>
          </cell>
          <cell r="G17">
            <v>8.6174574117579859</v>
          </cell>
        </row>
        <row r="18">
          <cell r="B18">
            <v>2025</v>
          </cell>
          <cell r="C18">
            <v>28.581712302680661</v>
          </cell>
          <cell r="D18">
            <v>0</v>
          </cell>
          <cell r="E18">
            <v>-1.134872553835141</v>
          </cell>
          <cell r="F18">
            <v>0</v>
          </cell>
          <cell r="G18">
            <v>9.2588632072101333</v>
          </cell>
        </row>
        <row r="19">
          <cell r="B19">
            <v>2026</v>
          </cell>
          <cell r="C19">
            <v>29.239864164353197</v>
          </cell>
          <cell r="D19">
            <v>0</v>
          </cell>
          <cell r="E19">
            <v>-0.79941280588879626</v>
          </cell>
          <cell r="F19">
            <v>0</v>
          </cell>
          <cell r="G19">
            <v>9.8870923452842217</v>
          </cell>
        </row>
        <row r="20">
          <cell r="B20">
            <v>2027</v>
          </cell>
          <cell r="C20">
            <v>29.910375685399867</v>
          </cell>
          <cell r="D20">
            <v>0</v>
          </cell>
          <cell r="E20">
            <v>-0.18251404275849883</v>
          </cell>
          <cell r="F20">
            <v>0</v>
          </cell>
          <cell r="G20">
            <v>10.803980311489413</v>
          </cell>
        </row>
        <row r="21">
          <cell r="B21">
            <v>2028</v>
          </cell>
          <cell r="C21">
            <v>30.599426695507738</v>
          </cell>
          <cell r="D21">
            <v>0</v>
          </cell>
          <cell r="E21">
            <v>3.2976572645863076</v>
          </cell>
          <cell r="F21">
            <v>0</v>
          </cell>
          <cell r="G21">
            <v>14.563388162544394</v>
          </cell>
        </row>
        <row r="22">
          <cell r="B22">
            <v>2029</v>
          </cell>
          <cell r="C22">
            <v>31.300837364989736</v>
          </cell>
          <cell r="D22">
            <v>0</v>
          </cell>
          <cell r="E22">
            <v>4.9678091002950593</v>
          </cell>
          <cell r="F22">
            <v>0</v>
          </cell>
          <cell r="G22">
            <v>16.580879526271264</v>
          </cell>
        </row>
        <row r="23">
          <cell r="B23">
            <v>2030</v>
          </cell>
          <cell r="C23">
            <v>31.989888375097603</v>
          </cell>
          <cell r="D23">
            <v>0</v>
          </cell>
          <cell r="E23">
            <v>4.2551949740562414</v>
          </cell>
          <cell r="F23">
            <v>0</v>
          </cell>
          <cell r="G23">
            <v>16.18355535707974</v>
          </cell>
        </row>
        <row r="24">
          <cell r="B24">
            <v>2031</v>
          </cell>
          <cell r="C24">
            <v>32.691299044579601</v>
          </cell>
          <cell r="D24">
            <v>0</v>
          </cell>
          <cell r="E24">
            <v>6.9329301893271778</v>
          </cell>
          <cell r="F24">
            <v>0</v>
          </cell>
          <cell r="G24">
            <v>19.184087668726743</v>
          </cell>
        </row>
        <row r="25">
          <cell r="B25">
            <v>2032</v>
          </cell>
          <cell r="C25">
            <v>33.411249203122807</v>
          </cell>
          <cell r="D25">
            <v>0</v>
          </cell>
          <cell r="E25">
            <v>8.913345421923994</v>
          </cell>
          <cell r="F25">
            <v>0</v>
          </cell>
          <cell r="G25">
            <v>21.463424807295212</v>
          </cell>
        </row>
        <row r="26">
          <cell r="B26">
            <v>2033</v>
          </cell>
          <cell r="C26">
            <v>34.112659872604809</v>
          </cell>
          <cell r="D26">
            <v>0</v>
          </cell>
          <cell r="E26">
            <v>9.2137695881147685</v>
          </cell>
          <cell r="F26">
            <v>0</v>
          </cell>
          <cell r="G26">
            <v>22.126389405366012</v>
          </cell>
        </row>
        <row r="27">
          <cell r="B27">
            <v>2034</v>
          </cell>
          <cell r="C27">
            <v>34.829520116304472</v>
          </cell>
          <cell r="D27">
            <v>0</v>
          </cell>
          <cell r="E27">
            <v>9.5103652605074149</v>
          </cell>
          <cell r="F27">
            <v>0</v>
          </cell>
          <cell r="G27">
            <v>22.760588427173545</v>
          </cell>
        </row>
        <row r="28">
          <cell r="B28">
            <v>2035</v>
          </cell>
          <cell r="C28">
            <v>35.558740019378277</v>
          </cell>
          <cell r="D28">
            <v>0</v>
          </cell>
          <cell r="E28">
            <v>10.373801264988984</v>
          </cell>
          <cell r="F28">
            <v>0</v>
          </cell>
          <cell r="G28">
            <v>23.969420199826533</v>
          </cell>
        </row>
        <row r="29">
          <cell r="B29">
            <v>2036</v>
          </cell>
          <cell r="C29">
            <v>36.306499411513265</v>
          </cell>
          <cell r="D29">
            <v>0</v>
          </cell>
          <cell r="E29">
            <v>12.002506485660303</v>
          </cell>
          <cell r="F29">
            <v>0</v>
          </cell>
          <cell r="G29">
            <v>25.916308440325324</v>
          </cell>
        </row>
        <row r="30">
          <cell r="B30">
            <v>2037</v>
          </cell>
          <cell r="C30">
            <v>37.066618463022394</v>
          </cell>
          <cell r="D30">
            <v>0</v>
          </cell>
          <cell r="E30">
            <v>11.793341605646832</v>
          </cell>
          <cell r="F30">
            <v>0</v>
          </cell>
          <cell r="G30">
            <v>26.108278169361309</v>
          </cell>
        </row>
        <row r="31">
          <cell r="B31">
            <v>2038</v>
          </cell>
          <cell r="C31">
            <v>37.845277003592727</v>
          </cell>
          <cell r="D31">
            <v>0</v>
          </cell>
          <cell r="E31">
            <v>15.574151082959125</v>
          </cell>
          <cell r="F31">
            <v>0</v>
          </cell>
          <cell r="G31">
            <v>30.263247048269548</v>
          </cell>
        </row>
        <row r="32">
          <cell r="B32">
            <v>2039</v>
          </cell>
          <cell r="C32">
            <v>38.642475033224251</v>
          </cell>
          <cell r="D32">
            <v>0</v>
          </cell>
          <cell r="E32">
            <v>15.901208255701263</v>
          </cell>
          <cell r="F32">
            <v>0</v>
          </cell>
          <cell r="G32">
            <v>30.899725086381537</v>
          </cell>
        </row>
        <row r="33">
          <cell r="B33">
            <v>2040</v>
          </cell>
          <cell r="C33">
            <v>0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2041</v>
          </cell>
          <cell r="C34">
            <v>0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43">
          <cell r="G43">
            <v>13.403273474104989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  <sheetName val="Appendix B.1"/>
    </sheetNames>
    <sheetDataSet>
      <sheetData sheetId="0">
        <row r="13">
          <cell r="B13">
            <v>2020</v>
          </cell>
          <cell r="C13">
            <v>0</v>
          </cell>
          <cell r="D13">
            <v>0</v>
          </cell>
          <cell r="E13">
            <v>11.604366950898871</v>
          </cell>
          <cell r="F13">
            <v>0</v>
          </cell>
          <cell r="G13">
            <v>11.604366950898871</v>
          </cell>
        </row>
        <row r="14">
          <cell r="B14">
            <v>2021</v>
          </cell>
          <cell r="C14">
            <v>0</v>
          </cell>
          <cell r="D14">
            <v>0</v>
          </cell>
          <cell r="E14">
            <v>10.342689809738609</v>
          </cell>
          <cell r="F14">
            <v>0</v>
          </cell>
          <cell r="G14">
            <v>10.342689809738609</v>
          </cell>
        </row>
        <row r="15">
          <cell r="B15">
            <v>2022</v>
          </cell>
          <cell r="C15">
            <v>0</v>
          </cell>
          <cell r="D15">
            <v>0</v>
          </cell>
          <cell r="E15">
            <v>14.593131325671745</v>
          </cell>
          <cell r="F15">
            <v>0</v>
          </cell>
          <cell r="G15">
            <v>14.593131325671745</v>
          </cell>
        </row>
        <row r="16">
          <cell r="B16">
            <v>2023</v>
          </cell>
          <cell r="C16">
            <v>104.7619855158716</v>
          </cell>
          <cell r="D16">
            <v>0</v>
          </cell>
          <cell r="E16">
            <v>-16.810868206199522</v>
          </cell>
          <cell r="F16">
            <v>0</v>
          </cell>
          <cell r="G16">
            <v>23.794009564183618</v>
          </cell>
        </row>
        <row r="17">
          <cell r="B17">
            <v>2024</v>
          </cell>
          <cell r="C17">
            <v>107.24483115942027</v>
          </cell>
          <cell r="D17">
            <v>0</v>
          </cell>
          <cell r="E17">
            <v>-17.953977540410143</v>
          </cell>
          <cell r="F17">
            <v>0</v>
          </cell>
          <cell r="G17">
            <v>23.580478416971445</v>
          </cell>
        </row>
        <row r="18">
          <cell r="B18">
            <v>2025</v>
          </cell>
          <cell r="C18">
            <v>109.70456521739132</v>
          </cell>
          <cell r="D18">
            <v>0</v>
          </cell>
          <cell r="E18">
            <v>-18.517058762177093</v>
          </cell>
          <cell r="F18">
            <v>0</v>
          </cell>
          <cell r="G18">
            <v>24.003521957728527</v>
          </cell>
        </row>
        <row r="19">
          <cell r="B19">
            <v>2026</v>
          </cell>
          <cell r="C19">
            <v>112.22008550724635</v>
          </cell>
          <cell r="D19">
            <v>0</v>
          </cell>
          <cell r="E19">
            <v>-18.349386067753418</v>
          </cell>
          <cell r="F19">
            <v>0</v>
          </cell>
          <cell r="G19">
            <v>25.146189478715577</v>
          </cell>
        </row>
        <row r="20">
          <cell r="B20">
            <v>2027</v>
          </cell>
          <cell r="C20">
            <v>114.79139202898553</v>
          </cell>
          <cell r="D20">
            <v>0</v>
          </cell>
          <cell r="E20">
            <v>-18.877016149536264</v>
          </cell>
          <cell r="F20">
            <v>0</v>
          </cell>
          <cell r="G20">
            <v>25.615176504858681</v>
          </cell>
        </row>
        <row r="21">
          <cell r="B21">
            <v>2028</v>
          </cell>
          <cell r="C21">
            <v>117.43102101449276</v>
          </cell>
          <cell r="D21">
            <v>0</v>
          </cell>
          <cell r="E21">
            <v>-18.046583581192802</v>
          </cell>
          <cell r="F21">
            <v>0</v>
          </cell>
          <cell r="G21">
            <v>27.432844356051625</v>
          </cell>
        </row>
        <row r="22">
          <cell r="B22">
            <v>2029</v>
          </cell>
          <cell r="C22">
            <v>120.12643623188407</v>
          </cell>
          <cell r="D22">
            <v>0</v>
          </cell>
          <cell r="E22">
            <v>-18.327434218477759</v>
          </cell>
          <cell r="F22">
            <v>0</v>
          </cell>
          <cell r="G22">
            <v>28.232577375120719</v>
          </cell>
        </row>
        <row r="23">
          <cell r="B23">
            <v>2030</v>
          </cell>
          <cell r="C23">
            <v>122.79113768115943</v>
          </cell>
          <cell r="D23">
            <v>0</v>
          </cell>
          <cell r="E23">
            <v>-19.508582520578567</v>
          </cell>
          <cell r="F23">
            <v>0</v>
          </cell>
          <cell r="G23">
            <v>28.084245281204478</v>
          </cell>
        </row>
        <row r="24">
          <cell r="B24">
            <v>2031</v>
          </cell>
          <cell r="C24">
            <v>125.52416159420292</v>
          </cell>
          <cell r="D24">
            <v>0</v>
          </cell>
          <cell r="E24">
            <v>-18.892313914908524</v>
          </cell>
          <cell r="F24">
            <v>0</v>
          </cell>
          <cell r="G24">
            <v>29.759811316053668</v>
          </cell>
        </row>
        <row r="25">
          <cell r="B25">
            <v>2032</v>
          </cell>
          <cell r="C25">
            <v>128.31297173913043</v>
          </cell>
          <cell r="D25">
            <v>0</v>
          </cell>
          <cell r="E25">
            <v>-19.037960974368584</v>
          </cell>
          <cell r="F25">
            <v>0</v>
          </cell>
          <cell r="G25">
            <v>30.655897609244199</v>
          </cell>
        </row>
        <row r="26">
          <cell r="B26">
            <v>2033</v>
          </cell>
          <cell r="C26">
            <v>131.07106811594201</v>
          </cell>
          <cell r="D26">
            <v>0</v>
          </cell>
          <cell r="E26">
            <v>3.2891555187359933</v>
          </cell>
          <cell r="F26">
            <v>0</v>
          </cell>
          <cell r="G26">
            <v>54.091215768683043</v>
          </cell>
        </row>
        <row r="27">
          <cell r="B27">
            <v>2034</v>
          </cell>
          <cell r="C27">
            <v>133.88883695652171</v>
          </cell>
          <cell r="D27">
            <v>0</v>
          </cell>
          <cell r="E27">
            <v>3.246954893312135</v>
          </cell>
          <cell r="F27">
            <v>0</v>
          </cell>
          <cell r="G27">
            <v>55.141159004350833</v>
          </cell>
        </row>
        <row r="28">
          <cell r="B28">
            <v>2035</v>
          </cell>
          <cell r="C28">
            <v>136.76239202898552</v>
          </cell>
          <cell r="D28">
            <v>0</v>
          </cell>
          <cell r="E28">
            <v>3.4540536817942336</v>
          </cell>
          <cell r="F28">
            <v>0</v>
          </cell>
          <cell r="G28">
            <v>56.462023935287178</v>
          </cell>
        </row>
        <row r="29">
          <cell r="B29">
            <v>2036</v>
          </cell>
          <cell r="C29">
            <v>139.7042695652174</v>
          </cell>
          <cell r="D29">
            <v>0</v>
          </cell>
          <cell r="E29">
            <v>3.7954226207398118</v>
          </cell>
          <cell r="F29">
            <v>0</v>
          </cell>
          <cell r="G29">
            <v>57.900975015047415</v>
          </cell>
        </row>
        <row r="30">
          <cell r="B30">
            <v>2037</v>
          </cell>
          <cell r="C30">
            <v>142.70193333333333</v>
          </cell>
          <cell r="D30">
            <v>0</v>
          </cell>
          <cell r="E30">
            <v>4.0646823866308521</v>
          </cell>
          <cell r="F30">
            <v>0</v>
          </cell>
          <cell r="G30">
            <v>59.374769648383861</v>
          </cell>
        </row>
        <row r="31">
          <cell r="B31">
            <v>2038</v>
          </cell>
          <cell r="C31">
            <v>145.76791956521743</v>
          </cell>
          <cell r="D31">
            <v>0</v>
          </cell>
          <cell r="E31">
            <v>4.9336380286820836</v>
          </cell>
          <cell r="F31">
            <v>0</v>
          </cell>
          <cell r="G31">
            <v>61.432076156241017</v>
          </cell>
        </row>
        <row r="32">
          <cell r="B32">
            <v>2039</v>
          </cell>
          <cell r="C32">
            <v>148.82324999999997</v>
          </cell>
          <cell r="D32">
            <v>0</v>
          </cell>
          <cell r="E32">
            <v>5.0372444272844072</v>
          </cell>
          <cell r="F32">
            <v>0</v>
          </cell>
          <cell r="G32">
            <v>62.719903321961958</v>
          </cell>
        </row>
        <row r="33">
          <cell r="B33">
            <v>2040</v>
          </cell>
          <cell r="C33">
            <v>0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2041</v>
          </cell>
          <cell r="C34">
            <v>0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43">
          <cell r="G43">
            <v>24.385598706049304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  <cell r="C13">
            <v>0</v>
          </cell>
          <cell r="E13">
            <v>13.960553903169556</v>
          </cell>
          <cell r="G13">
            <v>13.960553903169556</v>
          </cell>
        </row>
        <row r="14">
          <cell r="B14">
            <v>2021</v>
          </cell>
          <cell r="C14">
            <v>0</v>
          </cell>
          <cell r="E14">
            <v>12.900616665570432</v>
          </cell>
          <cell r="G14">
            <v>12.900616665570432</v>
          </cell>
        </row>
        <row r="15">
          <cell r="B15">
            <v>2022</v>
          </cell>
          <cell r="C15">
            <v>0</v>
          </cell>
          <cell r="E15">
            <v>16.090711378888468</v>
          </cell>
          <cell r="G15">
            <v>16.090711378888468</v>
          </cell>
        </row>
        <row r="16">
          <cell r="B16">
            <v>2023</v>
          </cell>
          <cell r="C16">
            <v>0</v>
          </cell>
          <cell r="E16">
            <v>14.005548026360657</v>
          </cell>
          <cell r="G16">
            <v>14.005548026360657</v>
          </cell>
        </row>
        <row r="17">
          <cell r="B17">
            <v>2024</v>
          </cell>
          <cell r="C17">
            <v>0</v>
          </cell>
          <cell r="E17">
            <v>7.3574964236395815</v>
          </cell>
          <cell r="G17">
            <v>7.3574964236395815</v>
          </cell>
        </row>
        <row r="18">
          <cell r="B18">
            <v>2025</v>
          </cell>
          <cell r="C18">
            <v>0</v>
          </cell>
          <cell r="E18">
            <v>8.3516273156751168</v>
          </cell>
          <cell r="G18">
            <v>8.3516273156751168</v>
          </cell>
        </row>
        <row r="19">
          <cell r="B19">
            <v>2026</v>
          </cell>
          <cell r="C19">
            <v>115.62647139435012</v>
          </cell>
          <cell r="E19">
            <v>14.954891657221943</v>
          </cell>
          <cell r="G19">
            <v>28.154260537855517</v>
          </cell>
        </row>
        <row r="20">
          <cell r="B20">
            <v>2027</v>
          </cell>
          <cell r="C20">
            <v>118.28437831789266</v>
          </cell>
          <cell r="E20">
            <v>15.8177806617307</v>
          </cell>
          <cell r="G20">
            <v>29.320563574732137</v>
          </cell>
        </row>
        <row r="21">
          <cell r="B21">
            <v>2028</v>
          </cell>
          <cell r="C21">
            <v>121.01790585379931</v>
          </cell>
          <cell r="E21">
            <v>19.962702277354381</v>
          </cell>
          <cell r="G21">
            <v>33.739786277103839</v>
          </cell>
        </row>
        <row r="22">
          <cell r="B22">
            <v>2029</v>
          </cell>
          <cell r="C22">
            <v>123.8030093809495</v>
          </cell>
          <cell r="E22">
            <v>22.102931190867334</v>
          </cell>
          <cell r="G22">
            <v>36.235694818829614</v>
          </cell>
        </row>
        <row r="23">
          <cell r="B23">
            <v>2030</v>
          </cell>
          <cell r="C23">
            <v>126.53653691685614</v>
          </cell>
          <cell r="E23">
            <v>22.155140924311631</v>
          </cell>
          <cell r="G23">
            <v>36.59995107463768</v>
          </cell>
        </row>
        <row r="24">
          <cell r="B24">
            <v>2031</v>
          </cell>
          <cell r="C24">
            <v>129.32164044400631</v>
          </cell>
          <cell r="E24">
            <v>26.177742306069732</v>
          </cell>
          <cell r="G24">
            <v>40.940486648992824</v>
          </cell>
        </row>
        <row r="25">
          <cell r="B25">
            <v>2032</v>
          </cell>
          <cell r="C25">
            <v>132.18926555714609</v>
          </cell>
          <cell r="E25">
            <v>31.035498609018763</v>
          </cell>
          <cell r="G25">
            <v>46.084367638748503</v>
          </cell>
        </row>
        <row r="26">
          <cell r="B26">
            <v>2033</v>
          </cell>
          <cell r="C26">
            <v>134.94342348955016</v>
          </cell>
          <cell r="E26">
            <v>31.501235687283483</v>
          </cell>
          <cell r="G26">
            <v>46.905736085633976</v>
          </cell>
        </row>
        <row r="27">
          <cell r="B27">
            <v>2034</v>
          </cell>
          <cell r="C27">
            <v>137.79041820619256</v>
          </cell>
          <cell r="E27">
            <v>32.82493508543557</v>
          </cell>
          <cell r="G27">
            <v>48.554434880663024</v>
          </cell>
        </row>
        <row r="28">
          <cell r="B28">
            <v>2035</v>
          </cell>
          <cell r="C28">
            <v>140.66835851758108</v>
          </cell>
          <cell r="E28">
            <v>34.700385322070282</v>
          </cell>
          <cell r="G28">
            <v>50.758417116314689</v>
          </cell>
        </row>
        <row r="29">
          <cell r="B29">
            <v>2036</v>
          </cell>
          <cell r="C29">
            <v>143.63913561320794</v>
          </cell>
          <cell r="E29">
            <v>35.951027637777379</v>
          </cell>
          <cell r="G29">
            <v>52.303388249481394</v>
          </cell>
        </row>
        <row r="30">
          <cell r="B30">
            <v>2037</v>
          </cell>
          <cell r="C30">
            <v>146.6408583035809</v>
          </cell>
          <cell r="E30">
            <v>38.191836576807312</v>
          </cell>
          <cell r="G30">
            <v>54.931660584065419</v>
          </cell>
        </row>
        <row r="31">
          <cell r="B31">
            <v>2038</v>
          </cell>
          <cell r="C31">
            <v>149.7251025799435</v>
          </cell>
          <cell r="E31">
            <v>41.021017283940608</v>
          </cell>
          <cell r="G31">
            <v>58.112923971148753</v>
          </cell>
        </row>
        <row r="32">
          <cell r="B32">
            <v>2039</v>
          </cell>
          <cell r="C32">
            <v>152.85060764930091</v>
          </cell>
          <cell r="E32">
            <v>41.882458646903366</v>
          </cell>
          <cell r="G32">
            <v>59.331158150248207</v>
          </cell>
        </row>
        <row r="33">
          <cell r="B33">
            <v>2040</v>
          </cell>
          <cell r="C33">
            <v>0</v>
          </cell>
          <cell r="E33" t="e">
            <v>#DIV/0!</v>
          </cell>
          <cell r="G33" t="e">
            <v>#DIV/0!</v>
          </cell>
        </row>
        <row r="34">
          <cell r="B34">
            <v>2041</v>
          </cell>
          <cell r="C34">
            <v>0</v>
          </cell>
          <cell r="E34" t="e">
            <v>#DIV/0!</v>
          </cell>
          <cell r="G34" t="e">
            <v>#DIV/0!</v>
          </cell>
        </row>
        <row r="35">
          <cell r="B35">
            <v>0</v>
          </cell>
          <cell r="C35">
            <v>0</v>
          </cell>
        </row>
        <row r="39">
          <cell r="I39">
            <v>6.9199999999999998E-2</v>
          </cell>
        </row>
        <row r="43">
          <cell r="G43">
            <v>24.250818698821696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showGridLines="0" zoomScale="80" zoomScaleNormal="80" zoomScaleSheetLayoutView="80" workbookViewId="0">
      <selection activeCell="G25" sqref="G25"/>
    </sheetView>
  </sheetViews>
  <sheetFormatPr defaultColWidth="9.33203125" defaultRowHeight="12.75"/>
  <cols>
    <col min="1" max="1" width="14" style="54" customWidth="1"/>
    <col min="2" max="2" width="11.6640625" style="54" customWidth="1"/>
    <col min="3" max="12" width="17.5" style="54" customWidth="1"/>
    <col min="13" max="13" width="9.33203125" style="54" customWidth="1"/>
    <col min="14" max="14" width="9.33203125" style="53" customWidth="1"/>
    <col min="15" max="15" width="10.5" style="53" bestFit="1" customWidth="1"/>
    <col min="16" max="16384" width="9.33203125" style="53"/>
  </cols>
  <sheetData>
    <row r="1" spans="2:13" ht="15.75">
      <c r="B1" s="391" t="s">
        <v>236</v>
      </c>
      <c r="C1" s="392"/>
      <c r="D1" s="392"/>
      <c r="E1" s="392"/>
      <c r="F1" s="392"/>
      <c r="G1" s="392"/>
      <c r="H1" s="392"/>
      <c r="I1" s="392"/>
      <c r="J1" s="393"/>
      <c r="K1" s="393"/>
      <c r="L1" s="393"/>
      <c r="M1" s="394"/>
    </row>
    <row r="2" spans="2:13" ht="5.25" customHeight="1">
      <c r="B2" s="391"/>
      <c r="C2" s="392"/>
      <c r="D2" s="392"/>
      <c r="E2" s="392"/>
      <c r="F2" s="392"/>
      <c r="G2" s="392"/>
      <c r="H2" s="392"/>
      <c r="I2" s="392"/>
      <c r="J2" s="393"/>
      <c r="K2" s="393"/>
      <c r="L2" s="393"/>
      <c r="M2" s="394"/>
    </row>
    <row r="3" spans="2:13" ht="15.75">
      <c r="B3" s="395" t="s">
        <v>237</v>
      </c>
      <c r="C3" s="395"/>
      <c r="D3" s="395"/>
      <c r="E3" s="395"/>
      <c r="F3" s="395"/>
      <c r="G3" s="395"/>
      <c r="H3" s="395"/>
      <c r="I3" s="395"/>
      <c r="J3" s="391"/>
      <c r="K3" s="391"/>
      <c r="L3" s="391"/>
      <c r="M3" s="394"/>
    </row>
    <row r="4" spans="2:13" ht="15.75">
      <c r="B4" s="4" t="s">
        <v>248</v>
      </c>
      <c r="C4" s="395"/>
      <c r="D4" s="395"/>
      <c r="E4" s="395"/>
      <c r="F4" s="395"/>
      <c r="G4" s="395"/>
      <c r="H4" s="395"/>
      <c r="I4" s="395"/>
      <c r="J4" s="391"/>
      <c r="K4" s="391"/>
      <c r="L4" s="391"/>
      <c r="M4" s="394"/>
    </row>
    <row r="5" spans="2:13" ht="25.5" customHeight="1">
      <c r="C5" s="396" t="s">
        <v>238</v>
      </c>
      <c r="D5" s="396" t="s">
        <v>239</v>
      </c>
      <c r="E5" s="424" t="s">
        <v>250</v>
      </c>
      <c r="F5" s="424" t="s">
        <v>251</v>
      </c>
      <c r="G5" s="396" t="s">
        <v>238</v>
      </c>
      <c r="H5" s="396" t="s">
        <v>239</v>
      </c>
      <c r="I5" s="396" t="s">
        <v>66</v>
      </c>
      <c r="J5" s="396" t="str">
        <f>C5</f>
        <v>Thermal</v>
      </c>
      <c r="K5" s="396" t="str">
        <f>D5</f>
        <v>Solar Tracking</v>
      </c>
      <c r="L5" s="424" t="str">
        <f>E5</f>
        <v>Wind (Defers UT W)</v>
      </c>
      <c r="M5" s="394"/>
    </row>
    <row r="6" spans="2:13">
      <c r="B6" s="396" t="s">
        <v>0</v>
      </c>
      <c r="C6" s="397" t="s">
        <v>247</v>
      </c>
      <c r="D6" s="397" t="str">
        <f>C6</f>
        <v>UT 2020.Q1</v>
      </c>
      <c r="E6" s="397" t="str">
        <f>C6</f>
        <v>UT 2020.Q1</v>
      </c>
      <c r="F6" s="397" t="str">
        <f>D6</f>
        <v>UT 2020.Q1</v>
      </c>
      <c r="G6" s="397" t="s">
        <v>249</v>
      </c>
      <c r="H6" s="397" t="s">
        <v>249</v>
      </c>
      <c r="I6" s="397" t="s">
        <v>249</v>
      </c>
      <c r="J6" s="398"/>
      <c r="K6" s="398"/>
      <c r="L6" s="398"/>
      <c r="M6" s="399"/>
    </row>
    <row r="7" spans="2:13">
      <c r="B7" s="396"/>
      <c r="C7" s="400" t="s">
        <v>240</v>
      </c>
      <c r="D7" s="400" t="s">
        <v>241</v>
      </c>
      <c r="E7" s="400" t="s">
        <v>242</v>
      </c>
      <c r="F7" s="400" t="s">
        <v>242</v>
      </c>
      <c r="G7" s="401" t="s">
        <v>240</v>
      </c>
      <c r="H7" s="401" t="s">
        <v>241</v>
      </c>
      <c r="I7" s="401" t="s">
        <v>242</v>
      </c>
      <c r="J7" s="402" t="s">
        <v>243</v>
      </c>
      <c r="K7" s="402" t="s">
        <v>243</v>
      </c>
      <c r="L7" s="402" t="s">
        <v>243</v>
      </c>
      <c r="M7" s="403"/>
    </row>
    <row r="8" spans="2:13" hidden="1">
      <c r="B8" s="404"/>
      <c r="C8" s="405"/>
      <c r="D8" s="405"/>
      <c r="E8" s="405"/>
      <c r="F8" s="405"/>
      <c r="G8" s="405"/>
      <c r="H8" s="405"/>
      <c r="I8" s="405"/>
      <c r="J8" s="405"/>
      <c r="K8" s="405"/>
      <c r="L8" s="406"/>
      <c r="M8" s="407"/>
    </row>
    <row r="9" spans="2:13">
      <c r="B9" s="404">
        <f>'Table 1'!B13</f>
        <v>2020</v>
      </c>
      <c r="C9" s="405">
        <f ca="1">VLOOKUP($B9,'Table 1'!$B$13:$G$38,6,FALSE)</f>
        <v>14.22268619575631</v>
      </c>
      <c r="D9" s="405">
        <f>VLOOKUP($B9,'[13]Table 1'!$B$13:$G$39,6,FALSE)</f>
        <v>12.504328370459994</v>
      </c>
      <c r="E9" s="405">
        <f>VLOOKUP($B9,'[14]Table 1'!$B$13:$G$39,6,FALSE)</f>
        <v>11.478864044043521</v>
      </c>
      <c r="F9" s="405">
        <f>VLOOKUP($B9,'[15]Table 1'!$B$13:$G$39,6,FALSE)</f>
        <v>12.541599998928122</v>
      </c>
      <c r="G9" s="405">
        <f>VLOOKUP($B9,'[2]Table 1'!$B$13:$G$36,6,FALSE)</f>
        <v>13.960553903169556</v>
      </c>
      <c r="H9" s="405">
        <f>VLOOKUP($B9,'[16]Table 1'!$B$13:$G$36,6,FALSE)</f>
        <v>12.630669690667313</v>
      </c>
      <c r="I9" s="405">
        <f>VLOOKUP($B9,'[17]Table 1'!$B$13:$G$36,6,FALSE)</f>
        <v>11.604366950898871</v>
      </c>
      <c r="J9" s="405">
        <f t="shared" ref="J9:J23" ca="1" si="0">C9-G9</f>
        <v>0.26213229258675419</v>
      </c>
      <c r="K9" s="405">
        <f t="shared" ref="K9:K23" si="1">D9-H9</f>
        <v>-0.12634132020731847</v>
      </c>
      <c r="L9" s="406">
        <f t="shared" ref="L9:L23" si="2">E9-I9</f>
        <v>-0.12550290685535082</v>
      </c>
      <c r="M9" s="407"/>
    </row>
    <row r="10" spans="2:13">
      <c r="B10" s="408">
        <f>'[2]Table 1'!B14</f>
        <v>2021</v>
      </c>
      <c r="C10" s="409">
        <f ca="1">VLOOKUP($B10,'Table 1'!$B$13:$G$38,6,FALSE)</f>
        <v>16.687778139102676</v>
      </c>
      <c r="D10" s="409">
        <f>VLOOKUP($B10,'[13]Table 1'!$B$13:$G$39,6,FALSE)</f>
        <v>13.334447912988496</v>
      </c>
      <c r="E10" s="409">
        <f>VLOOKUP($B10,'[14]Table 1'!$B$13:$G$39,6,FALSE)</f>
        <v>13.623153402990761</v>
      </c>
      <c r="F10" s="409">
        <f>VLOOKUP($B10,'[15]Table 1'!$B$13:$G$39,6,FALSE)</f>
        <v>14.894492672727621</v>
      </c>
      <c r="G10" s="409">
        <f>VLOOKUP($B10,'[2]Table 1'!$B$13:$G$36,6,FALSE)</f>
        <v>12.900616665570432</v>
      </c>
      <c r="H10" s="409">
        <f>VLOOKUP($B10,'[16]Table 1'!$B$13:$G$36,6,FALSE)</f>
        <v>10.041537464784007</v>
      </c>
      <c r="I10" s="409">
        <f>VLOOKUP($B10,'[17]Table 1'!$B$13:$G$36,6,FALSE)</f>
        <v>10.342689809738609</v>
      </c>
      <c r="J10" s="409">
        <f t="shared" ca="1" si="0"/>
        <v>3.7871614735322439</v>
      </c>
      <c r="K10" s="409">
        <f t="shared" si="1"/>
        <v>3.2929104482044895</v>
      </c>
      <c r="L10" s="410">
        <f t="shared" si="2"/>
        <v>3.2804635932521524</v>
      </c>
      <c r="M10" s="407"/>
    </row>
    <row r="11" spans="2:13">
      <c r="B11" s="408">
        <f>'[2]Table 1'!B15</f>
        <v>2022</v>
      </c>
      <c r="C11" s="409">
        <f ca="1">VLOOKUP($B11,'Table 1'!$B$13:$G$38,6,FALSE)</f>
        <v>17.718585299433826</v>
      </c>
      <c r="D11" s="409">
        <f>VLOOKUP($B11,'[13]Table 1'!$B$13:$G$39,6,FALSE)</f>
        <v>14.220943733326495</v>
      </c>
      <c r="E11" s="409">
        <f>VLOOKUP($B11,'[14]Table 1'!$B$13:$G$39,6,FALSE)</f>
        <v>14.815591812077573</v>
      </c>
      <c r="F11" s="409">
        <f>VLOOKUP($B11,'[15]Table 1'!$B$13:$G$39,6,FALSE)</f>
        <v>15.984264432111781</v>
      </c>
      <c r="G11" s="409">
        <f>VLOOKUP($B11,'[2]Table 1'!$B$13:$G$36,6,FALSE)</f>
        <v>16.090711378888468</v>
      </c>
      <c r="H11" s="409">
        <f>VLOOKUP($B11,'[16]Table 1'!$B$13:$G$36,6,FALSE)</f>
        <v>13.002939212227725</v>
      </c>
      <c r="I11" s="409">
        <f>VLOOKUP($B11,'[17]Table 1'!$B$13:$G$36,6,FALSE)</f>
        <v>14.593131325671745</v>
      </c>
      <c r="J11" s="409">
        <f t="shared" ca="1" si="0"/>
        <v>1.6278739205453583</v>
      </c>
      <c r="K11" s="409">
        <f t="shared" si="1"/>
        <v>1.21800452109877</v>
      </c>
      <c r="L11" s="410">
        <f t="shared" si="2"/>
        <v>0.2224604864058275</v>
      </c>
      <c r="M11" s="407"/>
    </row>
    <row r="12" spans="2:13">
      <c r="B12" s="408">
        <f>'[2]Table 1'!B16</f>
        <v>2023</v>
      </c>
      <c r="C12" s="409">
        <f ca="1">VLOOKUP($B12,'Table 1'!$B$13:$G$38,6,FALSE)</f>
        <v>16.863877496331657</v>
      </c>
      <c r="D12" s="409">
        <f>VLOOKUP($B12,'[13]Table 1'!$B$13:$G$39,6,FALSE)</f>
        <v>13.5161045822099</v>
      </c>
      <c r="E12" s="409">
        <f>VLOOKUP($B12,'[14]Table 1'!$B$13:$G$39,6,FALSE)</f>
        <v>25.396621841914776</v>
      </c>
      <c r="F12" s="409">
        <f>VLOOKUP($B12,'[15]Table 1'!$B$13:$G$39,6,FALSE)</f>
        <v>15.2770700451876</v>
      </c>
      <c r="G12" s="409">
        <f>VLOOKUP($B12,'[2]Table 1'!$B$13:$G$36,6,FALSE)</f>
        <v>14.005548026360657</v>
      </c>
      <c r="H12" s="409">
        <f>VLOOKUP($B12,'[16]Table 1'!$B$13:$G$36,6,FALSE)</f>
        <v>11.186282792154588</v>
      </c>
      <c r="I12" s="409">
        <f>VLOOKUP($B12,'[17]Table 1'!$B$13:$G$36,6,FALSE)</f>
        <v>23.794009564183618</v>
      </c>
      <c r="J12" s="409">
        <f t="shared" ca="1" si="0"/>
        <v>2.8583294699710002</v>
      </c>
      <c r="K12" s="409">
        <f t="shared" si="1"/>
        <v>2.3298217900553126</v>
      </c>
      <c r="L12" s="410">
        <f t="shared" si="2"/>
        <v>1.6026122777311578</v>
      </c>
      <c r="M12" s="407"/>
    </row>
    <row r="13" spans="2:13">
      <c r="B13" s="408">
        <f>'[2]Table 1'!B17</f>
        <v>2024</v>
      </c>
      <c r="C13" s="409">
        <f ca="1">VLOOKUP($B13,'Table 1'!$B$13:$G$38,6,FALSE)</f>
        <v>12.078116441420407</v>
      </c>
      <c r="D13" s="409">
        <f>VLOOKUP($B13,'[13]Table 1'!$B$13:$G$39,6,FALSE)</f>
        <v>13.722886138874195</v>
      </c>
      <c r="E13" s="409">
        <f>VLOOKUP($B13,'[14]Table 1'!$B$13:$G$39,6,FALSE)</f>
        <v>26.507697498901955</v>
      </c>
      <c r="F13" s="409">
        <f>VLOOKUP($B13,'[15]Table 1'!$B$13:$G$39,6,FALSE)</f>
        <v>67.814809282623315</v>
      </c>
      <c r="G13" s="409">
        <f>VLOOKUP($B13,'[2]Table 1'!$B$13:$G$36,6,FALSE)</f>
        <v>7.3574964236395815</v>
      </c>
      <c r="H13" s="409">
        <f>VLOOKUP($B13,'[16]Table 1'!$B$13:$G$36,6,FALSE)</f>
        <v>8.6174574117579859</v>
      </c>
      <c r="I13" s="409">
        <f>VLOOKUP($B13,'[17]Table 1'!$B$13:$G$36,6,FALSE)</f>
        <v>23.580478416971445</v>
      </c>
      <c r="J13" s="409">
        <f t="shared" ca="1" si="0"/>
        <v>4.720620017780826</v>
      </c>
      <c r="K13" s="409">
        <f t="shared" si="1"/>
        <v>5.1054287271162089</v>
      </c>
      <c r="L13" s="410">
        <f t="shared" si="2"/>
        <v>2.9272190819305095</v>
      </c>
      <c r="M13" s="407"/>
    </row>
    <row r="14" spans="2:13">
      <c r="B14" s="408">
        <f>'[2]Table 1'!B18</f>
        <v>2025</v>
      </c>
      <c r="C14" s="409">
        <f ca="1">VLOOKUP($B14,'Table 1'!$B$13:$G$38,6,FALSE)</f>
        <v>12.708516875745856</v>
      </c>
      <c r="D14" s="409">
        <f>VLOOKUP($B14,'[13]Table 1'!$B$13:$G$39,6,FALSE)</f>
        <v>14.252213448305625</v>
      </c>
      <c r="E14" s="409">
        <f>VLOOKUP($B14,'[14]Table 1'!$B$13:$G$39,6,FALSE)</f>
        <v>26.792956421924252</v>
      </c>
      <c r="F14" s="409">
        <f>VLOOKUP($B14,'[15]Table 1'!$B$13:$G$39,6,FALSE)</f>
        <v>68.975868728225009</v>
      </c>
      <c r="G14" s="409">
        <f>VLOOKUP($B14,'[2]Table 1'!$B$13:$G$36,6,FALSE)</f>
        <v>8.3516273156751168</v>
      </c>
      <c r="H14" s="409">
        <f>VLOOKUP($B14,'[16]Table 1'!$B$13:$G$36,6,FALSE)</f>
        <v>9.2588632072101333</v>
      </c>
      <c r="I14" s="409">
        <f>VLOOKUP($B14,'[17]Table 1'!$B$13:$G$36,6,FALSE)</f>
        <v>24.003521957728527</v>
      </c>
      <c r="J14" s="409">
        <f t="shared" ca="1" si="0"/>
        <v>4.3568895600707389</v>
      </c>
      <c r="K14" s="409">
        <f t="shared" si="1"/>
        <v>4.9933502410954915</v>
      </c>
      <c r="L14" s="410">
        <f t="shared" si="2"/>
        <v>2.7894344641957254</v>
      </c>
      <c r="M14" s="407"/>
    </row>
    <row r="15" spans="2:13">
      <c r="B15" s="408">
        <f>'[2]Table 1'!B19</f>
        <v>2026</v>
      </c>
      <c r="C15" s="409">
        <f ca="1">VLOOKUP($B15,'Table 1'!$B$13:$G$38,6,FALSE)</f>
        <v>29.932706104491388</v>
      </c>
      <c r="D15" s="409">
        <f>VLOOKUP($B15,'[13]Table 1'!$B$13:$G$39,6,FALSE)</f>
        <v>14.81122914319673</v>
      </c>
      <c r="E15" s="409">
        <f>VLOOKUP($B15,'[14]Table 1'!$B$13:$G$39,6,FALSE)</f>
        <v>27.936057263560468</v>
      </c>
      <c r="F15" s="409">
        <f>VLOOKUP($B15,'[15]Table 1'!$B$13:$G$39,6,FALSE)</f>
        <v>71.007936220711301</v>
      </c>
      <c r="G15" s="409">
        <f>VLOOKUP($B15,'[2]Table 1'!$B$13:$G$36,6,FALSE)</f>
        <v>28.154260537855517</v>
      </c>
      <c r="H15" s="409">
        <f>VLOOKUP($B15,'[16]Table 1'!$B$13:$G$36,6,FALSE)</f>
        <v>9.8870923452842217</v>
      </c>
      <c r="I15" s="409">
        <f>VLOOKUP($B15,'[17]Table 1'!$B$13:$G$36,6,FALSE)</f>
        <v>25.146189478715577</v>
      </c>
      <c r="J15" s="409">
        <f t="shared" ca="1" si="0"/>
        <v>1.7784455666358703</v>
      </c>
      <c r="K15" s="409">
        <f t="shared" si="1"/>
        <v>4.9241367979125084</v>
      </c>
      <c r="L15" s="410">
        <f t="shared" si="2"/>
        <v>2.7898677848448905</v>
      </c>
      <c r="M15" s="407"/>
    </row>
    <row r="16" spans="2:13">
      <c r="B16" s="408">
        <f>'[2]Table 1'!B20</f>
        <v>2027</v>
      </c>
      <c r="C16" s="409">
        <f ca="1">VLOOKUP($B16,'Table 1'!$B$13:$G$38,6,FALSE)</f>
        <v>31.959952925147469</v>
      </c>
      <c r="D16" s="409">
        <f>VLOOKUP($B16,'[13]Table 1'!$B$13:$G$39,6,FALSE)</f>
        <v>15.663019834559325</v>
      </c>
      <c r="E16" s="409">
        <f>VLOOKUP($B16,'[14]Table 1'!$B$13:$G$39,6,FALSE)</f>
        <v>28.338683032587799</v>
      </c>
      <c r="F16" s="409">
        <f>VLOOKUP($B16,'[15]Table 1'!$B$13:$G$39,6,FALSE)</f>
        <v>71.142142582033088</v>
      </c>
      <c r="G16" s="409">
        <f>VLOOKUP($B16,'[2]Table 1'!$B$13:$G$36,6,FALSE)</f>
        <v>29.320563574732137</v>
      </c>
      <c r="H16" s="409">
        <f>VLOOKUP($B16,'[16]Table 1'!$B$13:$G$36,6,FALSE)</f>
        <v>10.803980311489413</v>
      </c>
      <c r="I16" s="409">
        <f>VLOOKUP($B16,'[17]Table 1'!$B$13:$G$36,6,FALSE)</f>
        <v>25.615176504858681</v>
      </c>
      <c r="J16" s="409">
        <f t="shared" ca="1" si="0"/>
        <v>2.6393893504153318</v>
      </c>
      <c r="K16" s="409">
        <f t="shared" si="1"/>
        <v>4.8590395230699119</v>
      </c>
      <c r="L16" s="410">
        <f t="shared" si="2"/>
        <v>2.7235065277291177</v>
      </c>
      <c r="M16" s="407"/>
    </row>
    <row r="17" spans="1:13">
      <c r="B17" s="408">
        <f>'[2]Table 1'!B21</f>
        <v>2028</v>
      </c>
      <c r="C17" s="409">
        <f ca="1">VLOOKUP($B17,'Table 1'!$B$13:$G$38,6,FALSE)</f>
        <v>35.6292969209658</v>
      </c>
      <c r="D17" s="409">
        <f>VLOOKUP($B17,'[13]Table 1'!$B$13:$G$39,6,FALSE)</f>
        <v>18.265582316776669</v>
      </c>
      <c r="E17" s="409">
        <f>VLOOKUP($B17,'[14]Table 1'!$B$13:$G$39,6,FALSE)</f>
        <v>29.429690325434528</v>
      </c>
      <c r="F17" s="409">
        <f>VLOOKUP($B17,'[15]Table 1'!$B$13:$G$39,6,FALSE)</f>
        <v>68.609006066737052</v>
      </c>
      <c r="G17" s="409">
        <f>VLOOKUP($B17,'[2]Table 1'!$B$13:$G$36,6,FALSE)</f>
        <v>33.739786277103839</v>
      </c>
      <c r="H17" s="409">
        <f>VLOOKUP($B17,'[16]Table 1'!$B$13:$G$36,6,FALSE)</f>
        <v>14.563388162544394</v>
      </c>
      <c r="I17" s="409">
        <f>VLOOKUP($B17,'[17]Table 1'!$B$13:$G$36,6,FALSE)</f>
        <v>27.432844356051625</v>
      </c>
      <c r="J17" s="409">
        <f t="shared" ca="1" si="0"/>
        <v>1.8895106438619607</v>
      </c>
      <c r="K17" s="409">
        <f t="shared" si="1"/>
        <v>3.7021941542322754</v>
      </c>
      <c r="L17" s="410">
        <f t="shared" si="2"/>
        <v>1.9968459693829033</v>
      </c>
      <c r="M17" s="407"/>
    </row>
    <row r="18" spans="1:13">
      <c r="B18" s="408">
        <f>'[2]Table 1'!B22</f>
        <v>2029</v>
      </c>
      <c r="C18" s="409">
        <f ca="1">VLOOKUP($B18,'Table 1'!$B$13:$G$38,6,FALSE)</f>
        <v>36.957346977507839</v>
      </c>
      <c r="D18" s="409">
        <f>VLOOKUP($B18,'[13]Table 1'!$B$13:$G$39,6,FALSE)</f>
        <v>19.57801404000292</v>
      </c>
      <c r="E18" s="409">
        <f>VLOOKUP($B18,'[14]Table 1'!$B$13:$G$39,6,FALSE)</f>
        <v>29.709565187760003</v>
      </c>
      <c r="F18" s="409">
        <f>VLOOKUP($B18,'[15]Table 1'!$B$13:$G$39,6,FALSE)</f>
        <v>68.387702329353047</v>
      </c>
      <c r="G18" s="409">
        <f>VLOOKUP($B18,'[2]Table 1'!$B$13:$G$36,6,FALSE)</f>
        <v>36.235694818829614</v>
      </c>
      <c r="H18" s="409">
        <f>VLOOKUP($B18,'[16]Table 1'!$B$13:$G$36,6,FALSE)</f>
        <v>16.580879526271264</v>
      </c>
      <c r="I18" s="409">
        <f>VLOOKUP($B18,'[17]Table 1'!$B$13:$G$36,6,FALSE)</f>
        <v>28.232577375120719</v>
      </c>
      <c r="J18" s="409">
        <f t="shared" ca="1" si="0"/>
        <v>0.72165215867822496</v>
      </c>
      <c r="K18" s="409">
        <f t="shared" si="1"/>
        <v>2.9971345137316554</v>
      </c>
      <c r="L18" s="410">
        <f t="shared" si="2"/>
        <v>1.4769878126392832</v>
      </c>
      <c r="M18" s="407"/>
    </row>
    <row r="19" spans="1:13">
      <c r="B19" s="408">
        <f>'[2]Table 1'!B23</f>
        <v>2030</v>
      </c>
      <c r="C19" s="409">
        <f ca="1">VLOOKUP($B19,'Table 1'!$B$13:$G$38,6,FALSE)</f>
        <v>36.217562742515675</v>
      </c>
      <c r="D19" s="409">
        <f>VLOOKUP($B19,'[13]Table 1'!$B$13:$G$39,6,FALSE)</f>
        <v>17.997373274964978</v>
      </c>
      <c r="E19" s="409">
        <f>VLOOKUP($B19,'[14]Table 1'!$B$13:$G$39,6,FALSE)</f>
        <v>30.095313816679305</v>
      </c>
      <c r="F19" s="409">
        <f>VLOOKUP($B19,'[15]Table 1'!$B$13:$G$39,6,FALSE)</f>
        <v>74.443331981519805</v>
      </c>
      <c r="G19" s="409">
        <f>VLOOKUP($B19,'[2]Table 1'!$B$13:$G$36,6,FALSE)</f>
        <v>36.59995107463768</v>
      </c>
      <c r="H19" s="409">
        <f>VLOOKUP($B19,'[16]Table 1'!$B$13:$G$36,6,FALSE)</f>
        <v>16.18355535707974</v>
      </c>
      <c r="I19" s="409">
        <f>VLOOKUP($B19,'[17]Table 1'!$B$13:$G$36,6,FALSE)</f>
        <v>28.084245281204478</v>
      </c>
      <c r="J19" s="409">
        <f t="shared" ca="1" si="0"/>
        <v>-0.38238833212200518</v>
      </c>
      <c r="K19" s="409">
        <f t="shared" si="1"/>
        <v>1.8138179178852383</v>
      </c>
      <c r="L19" s="410">
        <f t="shared" si="2"/>
        <v>2.011068535474827</v>
      </c>
      <c r="M19" s="407"/>
    </row>
    <row r="20" spans="1:13">
      <c r="B20" s="408">
        <f>'[2]Table 1'!B24</f>
        <v>2031</v>
      </c>
      <c r="C20" s="409">
        <f ca="1">VLOOKUP($B20,'Table 1'!$B$13:$G$38,6,FALSE)</f>
        <v>38.895907092872548</v>
      </c>
      <c r="D20" s="409">
        <f>VLOOKUP($B20,'[13]Table 1'!$B$13:$G$39,6,FALSE)</f>
        <v>19.892452634286624</v>
      </c>
      <c r="E20" s="409">
        <f>VLOOKUP($B20,'[14]Table 1'!$B$13:$G$39,6,FALSE)</f>
        <v>31.401630117647414</v>
      </c>
      <c r="F20" s="409">
        <f>VLOOKUP($B20,'[15]Table 1'!$B$13:$G$39,6,FALSE)</f>
        <v>74.741796381952497</v>
      </c>
      <c r="G20" s="409">
        <f>VLOOKUP($B20,'[2]Table 1'!$B$13:$G$36,6,FALSE)</f>
        <v>40.940486648992824</v>
      </c>
      <c r="H20" s="409">
        <f>VLOOKUP($B20,'[16]Table 1'!$B$13:$G$36,6,FALSE)</f>
        <v>19.184087668726743</v>
      </c>
      <c r="I20" s="409">
        <f>VLOOKUP($B20,'[17]Table 1'!$B$13:$G$36,6,FALSE)</f>
        <v>29.759811316053668</v>
      </c>
      <c r="J20" s="409">
        <f t="shared" ca="1" si="0"/>
        <v>-2.0445795561202758</v>
      </c>
      <c r="K20" s="409">
        <f t="shared" si="1"/>
        <v>0.70836496555988049</v>
      </c>
      <c r="L20" s="410">
        <f t="shared" si="2"/>
        <v>1.6418188015937467</v>
      </c>
      <c r="M20" s="407"/>
    </row>
    <row r="21" spans="1:13">
      <c r="B21" s="408">
        <f>'[2]Table 1'!B25</f>
        <v>2032</v>
      </c>
      <c r="C21" s="409">
        <f ca="1">VLOOKUP($B21,'Table 1'!$B$13:$G$38,6,FALSE)</f>
        <v>43.628540096297172</v>
      </c>
      <c r="D21" s="409">
        <f>VLOOKUP($B21,'[13]Table 1'!$B$13:$G$39,6,FALSE)</f>
        <v>22.898372978100689</v>
      </c>
      <c r="E21" s="409">
        <f>VLOOKUP($B21,'[14]Table 1'!$B$13:$G$39,6,FALSE)</f>
        <v>31.884792970562113</v>
      </c>
      <c r="F21" s="409">
        <f>VLOOKUP($B21,'[15]Table 1'!$B$13:$G$39,6,FALSE)</f>
        <v>70.091193168022627</v>
      </c>
      <c r="G21" s="409">
        <f>VLOOKUP($B21,'[2]Table 1'!$B$13:$G$36,6,FALSE)</f>
        <v>46.084367638748503</v>
      </c>
      <c r="H21" s="409">
        <f>VLOOKUP($B21,'[16]Table 1'!$B$13:$G$36,6,FALSE)</f>
        <v>21.463424807295212</v>
      </c>
      <c r="I21" s="409">
        <f>VLOOKUP($B21,'[17]Table 1'!$B$13:$G$36,6,FALSE)</f>
        <v>30.655897609244199</v>
      </c>
      <c r="J21" s="409">
        <f t="shared" ca="1" si="0"/>
        <v>-2.4558275424513312</v>
      </c>
      <c r="K21" s="409">
        <f t="shared" si="1"/>
        <v>1.4349481708054768</v>
      </c>
      <c r="L21" s="410">
        <f t="shared" si="2"/>
        <v>1.2288953613179139</v>
      </c>
      <c r="M21" s="407"/>
    </row>
    <row r="22" spans="1:13">
      <c r="B22" s="408">
        <f>'[2]Table 1'!B26</f>
        <v>2033</v>
      </c>
      <c r="C22" s="409">
        <f ca="1">VLOOKUP($B22,'Table 1'!$B$13:$G$38,6,FALSE)</f>
        <v>45.648088036411657</v>
      </c>
      <c r="D22" s="409">
        <f>VLOOKUP($B22,'[13]Table 1'!$B$13:$G$39,6,FALSE)</f>
        <v>23.183324733194073</v>
      </c>
      <c r="E22" s="409">
        <f>VLOOKUP($B22,'[14]Table 1'!$B$13:$G$39,6,FALSE)</f>
        <v>58.446872783303348</v>
      </c>
      <c r="F22" s="409">
        <f>VLOOKUP($B22,'[15]Table 1'!$B$13:$G$39,6,FALSE)</f>
        <v>69.787995558877242</v>
      </c>
      <c r="G22" s="409">
        <f>VLOOKUP($B22,'[2]Table 1'!$B$13:$G$36,6,FALSE)</f>
        <v>46.905736085633976</v>
      </c>
      <c r="H22" s="409">
        <f>VLOOKUP($B22,'[16]Table 1'!$B$13:$G$36,6,FALSE)</f>
        <v>22.126389405366012</v>
      </c>
      <c r="I22" s="409">
        <f>VLOOKUP($B22,'[17]Table 1'!$B$13:$G$36,6,FALSE)</f>
        <v>54.091215768683043</v>
      </c>
      <c r="J22" s="409">
        <f t="shared" ca="1" si="0"/>
        <v>-1.2576480492223183</v>
      </c>
      <c r="K22" s="409">
        <f t="shared" si="1"/>
        <v>1.0569353278280609</v>
      </c>
      <c r="L22" s="410">
        <f t="shared" si="2"/>
        <v>4.3556570146203057</v>
      </c>
      <c r="M22" s="407"/>
    </row>
    <row r="23" spans="1:13">
      <c r="B23" s="411">
        <f>'[2]Table 1'!B27</f>
        <v>2034</v>
      </c>
      <c r="C23" s="412">
        <f ca="1">VLOOKUP($B23,'Table 1'!$B$13:$G$38,6,FALSE)</f>
        <v>47.21642872923114</v>
      </c>
      <c r="D23" s="412">
        <f>VLOOKUP($B23,'[13]Table 1'!$B$13:$G$39,6,FALSE)</f>
        <v>24.316393126007799</v>
      </c>
      <c r="E23" s="412">
        <f>VLOOKUP($B23,'[14]Table 1'!$B$13:$G$39,6,FALSE)</f>
        <v>59.55444334187996</v>
      </c>
      <c r="F23" s="412">
        <f>VLOOKUP($B23,'[15]Table 1'!$B$13:$G$39,6,FALSE)</f>
        <v>126.89780015441356</v>
      </c>
      <c r="G23" s="412">
        <f>VLOOKUP($B23,'[2]Table 1'!$B$13:$G$36,6,FALSE)</f>
        <v>48.554434880663024</v>
      </c>
      <c r="H23" s="412">
        <f>VLOOKUP($B23,'[16]Table 1'!$B$13:$G$36,6,FALSE)</f>
        <v>22.760588427173545</v>
      </c>
      <c r="I23" s="412">
        <f>VLOOKUP($B23,'[17]Table 1'!$B$13:$G$36,6,FALSE)</f>
        <v>55.141159004350833</v>
      </c>
      <c r="J23" s="412">
        <f t="shared" ca="1" si="0"/>
        <v>-1.3380061514318839</v>
      </c>
      <c r="K23" s="412">
        <f t="shared" si="1"/>
        <v>1.5558046988342547</v>
      </c>
      <c r="L23" s="413">
        <f t="shared" si="2"/>
        <v>4.4132843375291273</v>
      </c>
      <c r="M23" s="407"/>
    </row>
    <row r="25" spans="1:13">
      <c r="B25" s="55" t="s">
        <v>244</v>
      </c>
      <c r="M25" s="414"/>
    </row>
    <row r="26" spans="1:13">
      <c r="A26" s="3" t="s">
        <v>245</v>
      </c>
      <c r="B26" s="415" t="s">
        <v>31</v>
      </c>
      <c r="C26" s="409">
        <f ca="1">ROUND('Table 1'!$G$48,2)</f>
        <v>25.82</v>
      </c>
      <c r="D26" s="409">
        <f>ROUND('[13]Table 1'!$G$48,2)</f>
        <v>16.12</v>
      </c>
      <c r="E26" s="409">
        <f>ROUND('[14]Table 1'!$G$48,2)</f>
        <v>26.44</v>
      </c>
      <c r="F26" s="409">
        <f>ROUND('[15]Table 1'!$G$48,2)</f>
        <v>51.79</v>
      </c>
      <c r="G26" s="409">
        <f>ROUND('[2]Table 1'!$G$43,2)</f>
        <v>24.25</v>
      </c>
      <c r="H26" s="409">
        <f>ROUND('[16]Table 1'!$G$43,2)</f>
        <v>13.4</v>
      </c>
      <c r="I26" s="409">
        <f>ROUND('[17]Table 1'!$G$43,2)</f>
        <v>24.39</v>
      </c>
      <c r="J26" s="409">
        <f ca="1">C26-G26</f>
        <v>1.5700000000000003</v>
      </c>
      <c r="K26" s="409">
        <f>D26-H26</f>
        <v>2.7200000000000006</v>
      </c>
      <c r="L26" s="409">
        <f>E26-I26</f>
        <v>2.0500000000000007</v>
      </c>
      <c r="M26" s="416"/>
    </row>
    <row r="27" spans="1:13" ht="17.25" customHeight="1">
      <c r="B27" s="417"/>
      <c r="C27" s="409"/>
      <c r="D27" s="409"/>
      <c r="E27" s="409"/>
      <c r="F27" s="409"/>
      <c r="G27" s="409"/>
      <c r="H27" s="409"/>
      <c r="I27" s="409"/>
      <c r="J27" s="418">
        <f ca="1">J26/G26</f>
        <v>6.474226804123713E-2</v>
      </c>
      <c r="K27" s="418">
        <f>K26/H26</f>
        <v>0.20298507462686571</v>
      </c>
      <c r="L27" s="418">
        <f>L26/I26</f>
        <v>8.4050840508405111E-2</v>
      </c>
    </row>
    <row r="28" spans="1:13" ht="10.5" customHeight="1">
      <c r="B28" s="415"/>
      <c r="C28" s="409"/>
      <c r="D28" s="409"/>
      <c r="E28" s="409"/>
      <c r="F28" s="409"/>
      <c r="G28" s="409"/>
      <c r="H28" s="409"/>
      <c r="I28" s="409"/>
      <c r="J28" s="409"/>
      <c r="K28" s="409"/>
      <c r="L28" s="409"/>
    </row>
    <row r="29" spans="1:13" s="54" customFormat="1" ht="5.25" customHeight="1">
      <c r="G29" s="419"/>
      <c r="H29" s="419"/>
      <c r="I29" s="419"/>
    </row>
    <row r="30" spans="1:13" s="54" customFormat="1">
      <c r="B30" s="54" t="s">
        <v>246</v>
      </c>
      <c r="C30" s="420"/>
      <c r="D30" s="420"/>
      <c r="E30" s="420"/>
      <c r="F30" s="420"/>
      <c r="G30" s="421"/>
      <c r="H30" s="421"/>
      <c r="I30" s="421"/>
      <c r="J30" s="421"/>
      <c r="K30" s="421"/>
      <c r="L30" s="421"/>
    </row>
    <row r="31" spans="1:13" s="54" customFormat="1">
      <c r="B31" s="422" t="s">
        <v>252</v>
      </c>
      <c r="C31" s="420"/>
      <c r="D31" s="420"/>
      <c r="E31" s="420"/>
      <c r="F31" s="420"/>
      <c r="G31" s="421"/>
      <c r="H31" s="421"/>
      <c r="I31" s="421"/>
      <c r="J31" s="421"/>
      <c r="K31" s="421"/>
      <c r="L31" s="421"/>
    </row>
    <row r="32" spans="1:13" s="54" customFormat="1">
      <c r="B32" s="422" t="str">
        <f>"(2)   Total Avoided Costs with Capacity, based on stated CF"</f>
        <v>(2)   Total Avoided Costs with Capacity, based on stated CF</v>
      </c>
    </row>
    <row r="33" spans="2:12" s="54" customFormat="1">
      <c r="B33" s="54" t="str">
        <f>"(3)   15-Years: "&amp;B9&amp;" - "&amp;B23&amp;", levelized monthly"</f>
        <v>(3)   15-Years: 2020 - 2034, levelized monthly</v>
      </c>
    </row>
    <row r="34" spans="2:12" s="54" customFormat="1">
      <c r="B34" s="10"/>
    </row>
    <row r="35" spans="2:12" s="54" customFormat="1">
      <c r="B35" s="10"/>
    </row>
    <row r="36" spans="2:12" s="54" customFormat="1">
      <c r="B36" s="10"/>
    </row>
    <row r="37" spans="2:12" s="54" customFormat="1" hidden="1"/>
    <row r="38" spans="2:12" s="54" customFormat="1">
      <c r="C38" s="409"/>
      <c r="D38" s="409"/>
      <c r="E38" s="409"/>
      <c r="F38" s="409"/>
      <c r="G38" s="409"/>
      <c r="H38" s="409"/>
      <c r="I38" s="409"/>
    </row>
    <row r="40" spans="2:12" s="54" customFormat="1">
      <c r="C40" s="423"/>
      <c r="D40" s="423"/>
      <c r="E40" s="423"/>
      <c r="F40" s="423"/>
      <c r="G40" s="423"/>
      <c r="H40" s="423"/>
      <c r="I40" s="423"/>
      <c r="J40" s="423"/>
      <c r="K40" s="423"/>
      <c r="L40" s="423"/>
    </row>
  </sheetData>
  <conditionalFormatting sqref="G8">
    <cfRule type="expression" dxfId="6" priority="8">
      <formula>ISNA(M8)</formula>
    </cfRule>
  </conditionalFormatting>
  <conditionalFormatting sqref="J8:K21">
    <cfRule type="expression" dxfId="5" priority="7">
      <formula>ISNA(O8)</formula>
    </cfRule>
  </conditionalFormatting>
  <conditionalFormatting sqref="I8">
    <cfRule type="expression" dxfId="4" priority="6">
      <formula>ISNA(O8)</formula>
    </cfRule>
  </conditionalFormatting>
  <conditionalFormatting sqref="H8">
    <cfRule type="expression" dxfId="3" priority="5">
      <formula>ISNA(N8)</formula>
    </cfRule>
  </conditionalFormatting>
  <conditionalFormatting sqref="J23:K23">
    <cfRule type="expression" dxfId="2" priority="3">
      <formula>ISNA(O23)</formula>
    </cfRule>
  </conditionalFormatting>
  <conditionalFormatting sqref="J22:K22">
    <cfRule type="expression" dxfId="1" priority="1">
      <formula>ISNA(O22)</formula>
    </cfRule>
  </conditionalFormatting>
  <printOptions horizontalCentered="1"/>
  <pageMargins left="0.25" right="0.25" top="0.75" bottom="0.75" header="0.3" footer="0.3"/>
  <pageSetup scale="7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3.332031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27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27" ht="15.75">
      <c r="B2" s="116" t="s">
        <v>106</v>
      </c>
      <c r="C2" s="117"/>
      <c r="D2" s="117"/>
      <c r="E2" s="117"/>
      <c r="F2" s="117"/>
      <c r="G2" s="117"/>
      <c r="H2" s="117"/>
      <c r="I2" s="117"/>
      <c r="J2" s="117"/>
    </row>
    <row r="3" spans="2:27" ht="15.75">
      <c r="B3" s="116" t="str">
        <f>TEXT($C$63,"0%")&amp;" Capacity Factor"</f>
        <v>33% Capacity Factor</v>
      </c>
      <c r="C3" s="117"/>
      <c r="D3" s="117"/>
      <c r="E3" s="117"/>
      <c r="F3" s="117"/>
      <c r="G3" s="117"/>
      <c r="H3" s="117"/>
      <c r="I3" s="117"/>
      <c r="J3" s="117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2:27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2:27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R5" s="277"/>
      <c r="S5" s="120"/>
      <c r="T5" s="120"/>
      <c r="U5" s="120"/>
      <c r="V5" s="120"/>
      <c r="W5" s="120"/>
      <c r="X5" s="120"/>
      <c r="Y5" s="383"/>
      <c r="Z5" s="383"/>
      <c r="AA5" s="120"/>
    </row>
    <row r="6" spans="2:27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R6" s="278"/>
      <c r="S6" s="120"/>
      <c r="T6" s="120"/>
      <c r="U6" s="120"/>
      <c r="V6" s="120"/>
      <c r="W6" s="120"/>
      <c r="X6" s="120"/>
      <c r="Y6" s="120"/>
      <c r="Z6" s="120"/>
      <c r="AA6" s="120"/>
    </row>
    <row r="7" spans="2:27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2:27" ht="6" customHeight="1">
      <c r="K8" s="120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2:27" ht="15.75">
      <c r="B9" s="43" t="str">
        <f>C52</f>
        <v>2019 IRP Utah South Solar with Storage - 33%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2:27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  <c r="S10" s="120"/>
      <c r="T10" s="120"/>
      <c r="U10" s="120"/>
      <c r="V10" s="120"/>
      <c r="W10" s="120"/>
      <c r="X10" s="120"/>
      <c r="Y10" s="120"/>
      <c r="Z10" s="120"/>
      <c r="AA10" s="120"/>
    </row>
    <row r="11" spans="2:27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2:27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S12" s="120"/>
      <c r="T12" s="165"/>
      <c r="U12" s="161"/>
      <c r="V12" s="161"/>
      <c r="W12" s="120"/>
      <c r="X12" s="120"/>
      <c r="Y12" s="161"/>
      <c r="Z12" s="161"/>
      <c r="AA12" s="120"/>
    </row>
    <row r="13" spans="2:27">
      <c r="B13" s="136">
        <f t="shared" si="0"/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25.01</v>
      </c>
      <c r="L13" s="120"/>
      <c r="N13" s="118"/>
      <c r="R13" s="120"/>
      <c r="S13" s="120"/>
      <c r="T13" s="120"/>
      <c r="U13" s="120"/>
      <c r="V13" s="161"/>
      <c r="W13" s="120"/>
      <c r="X13" s="120"/>
      <c r="Y13" s="161"/>
      <c r="Z13" s="161"/>
      <c r="AA13" s="120"/>
    </row>
    <row r="14" spans="2:27">
      <c r="B14" s="136">
        <f t="shared" si="0"/>
        <v>2020</v>
      </c>
      <c r="C14" s="137"/>
      <c r="D14" s="129"/>
      <c r="E14" s="129">
        <f t="shared" si="1"/>
        <v>25.49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25.49</v>
      </c>
      <c r="L14" s="120"/>
      <c r="N14" s="118"/>
      <c r="O14" s="133"/>
      <c r="P14" s="134"/>
      <c r="Q14" s="135"/>
      <c r="R14" s="120"/>
      <c r="S14" s="120"/>
      <c r="T14" s="120"/>
      <c r="U14" s="120"/>
      <c r="V14" s="161"/>
      <c r="W14" s="120"/>
      <c r="X14" s="120"/>
      <c r="Y14" s="161"/>
      <c r="Z14" s="161"/>
      <c r="AA14" s="120"/>
    </row>
    <row r="15" spans="2:27">
      <c r="B15" s="136">
        <f t="shared" si="0"/>
        <v>2021</v>
      </c>
      <c r="C15" s="137"/>
      <c r="D15" s="129"/>
      <c r="E15" s="129">
        <f t="shared" si="1"/>
        <v>26</v>
      </c>
      <c r="F15" s="129"/>
      <c r="G15" s="131"/>
      <c r="H15" s="129">
        <f t="shared" si="2"/>
        <v>0</v>
      </c>
      <c r="I15" s="131"/>
      <c r="J15" s="131"/>
      <c r="K15" s="129">
        <f t="shared" si="3"/>
        <v>26</v>
      </c>
      <c r="L15" s="120"/>
      <c r="N15" s="118"/>
      <c r="O15" s="273"/>
      <c r="P15" s="134"/>
      <c r="Q15" s="135"/>
      <c r="R15" s="120"/>
      <c r="S15" s="120"/>
      <c r="T15" s="120"/>
      <c r="U15" s="120"/>
      <c r="V15" s="161"/>
      <c r="W15" s="120"/>
      <c r="X15" s="120"/>
      <c r="Y15" s="161"/>
      <c r="Z15" s="161"/>
      <c r="AA15" s="120"/>
    </row>
    <row r="16" spans="2:27">
      <c r="B16" s="136">
        <f t="shared" si="0"/>
        <v>2022</v>
      </c>
      <c r="C16" s="137"/>
      <c r="D16" s="129"/>
      <c r="E16" s="129">
        <f t="shared" si="1"/>
        <v>26.65</v>
      </c>
      <c r="F16" s="129"/>
      <c r="G16" s="131"/>
      <c r="H16" s="129">
        <f t="shared" si="2"/>
        <v>0</v>
      </c>
      <c r="I16" s="131"/>
      <c r="J16" s="131"/>
      <c r="K16" s="129">
        <f t="shared" si="3"/>
        <v>26.65</v>
      </c>
      <c r="L16" s="120"/>
      <c r="N16" s="118"/>
      <c r="R16" s="120"/>
      <c r="S16" s="120"/>
      <c r="T16" s="120"/>
      <c r="U16" s="120"/>
      <c r="V16" s="161"/>
      <c r="W16" s="120"/>
      <c r="X16" s="120"/>
      <c r="Y16" s="161"/>
      <c r="Z16" s="161"/>
      <c r="AA16" s="120"/>
    </row>
    <row r="17" spans="2:28">
      <c r="B17" s="136">
        <f t="shared" si="0"/>
        <v>2023</v>
      </c>
      <c r="C17" s="137"/>
      <c r="D17" s="129"/>
      <c r="E17" s="129">
        <f t="shared" si="1"/>
        <v>27.32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27.32</v>
      </c>
      <c r="L17" s="120"/>
      <c r="N17" s="118"/>
      <c r="O17" s="133"/>
      <c r="R17" s="120"/>
      <c r="S17" s="120"/>
      <c r="T17" s="120"/>
      <c r="U17" s="120"/>
      <c r="V17" s="161"/>
      <c r="W17" s="120"/>
      <c r="X17" s="120"/>
      <c r="Y17" s="161"/>
      <c r="Z17" s="161"/>
      <c r="AA17" s="120"/>
    </row>
    <row r="18" spans="2:28">
      <c r="B18" s="136">
        <f t="shared" si="0"/>
        <v>2024</v>
      </c>
      <c r="C18" s="349">
        <v>1230.021663778163</v>
      </c>
      <c r="D18" s="129">
        <f>C18*$C$62</f>
        <v>62.546601603119584</v>
      </c>
      <c r="E18" s="129">
        <f t="shared" si="1"/>
        <v>27.98</v>
      </c>
      <c r="F18" s="129">
        <f>C60*(1+INDEX($D$66:$D$74,MATCH(B18,$C$66:$C$74,0),1))</f>
        <v>1.5032584211607054</v>
      </c>
      <c r="G18" s="131">
        <f>(D18+E18+F18)/(8.76*$C$63)</f>
        <v>32.325205487980433</v>
      </c>
      <c r="H18" s="129">
        <f t="shared" si="2"/>
        <v>0</v>
      </c>
      <c r="I18" s="131">
        <f>(G18+H18)</f>
        <v>32.325205487980433</v>
      </c>
      <c r="J18" s="131">
        <f t="shared" ref="J18:J32" si="4">ROUND(I18*$C$63*8.76,2)</f>
        <v>92.03</v>
      </c>
      <c r="K18" s="129">
        <f t="shared" si="3"/>
        <v>92.029860024280296</v>
      </c>
      <c r="L18" s="120"/>
      <c r="N18" s="118"/>
      <c r="P18" s="282"/>
      <c r="Q18" s="154"/>
      <c r="R18" s="120"/>
      <c r="S18" s="120"/>
      <c r="T18" s="165"/>
      <c r="U18" s="161"/>
      <c r="V18" s="161"/>
      <c r="W18" s="120"/>
      <c r="X18" s="161"/>
      <c r="Y18" s="161"/>
      <c r="Z18" s="161"/>
      <c r="AA18" s="388"/>
      <c r="AB18" s="281"/>
    </row>
    <row r="19" spans="2:28">
      <c r="B19" s="136">
        <f t="shared" si="0"/>
        <v>2025</v>
      </c>
      <c r="C19" s="137"/>
      <c r="D19" s="129">
        <f t="shared" ref="D19:F37" si="5">ROUND(D18*(1+(IFERROR(INDEX($D$66:$D$74,MATCH($B19,$C$66:$C$74,0),1),0)+IFERROR(INDEX($G$66:$G$74,MATCH($B19,$F$66:$F$74,0),1),0)+IFERROR(INDEX($J$66:$J$74,MATCH($B19,$I$66:$I$74,0),1),0))),2)</f>
        <v>63.99</v>
      </c>
      <c r="E19" s="129">
        <f t="shared" si="1"/>
        <v>28.62</v>
      </c>
      <c r="F19" s="129">
        <f t="shared" si="5"/>
        <v>1.54</v>
      </c>
      <c r="G19" s="131">
        <f t="shared" ref="G19:G37" si="6">(D19+E19+F19)/(8.76*$C$63)</f>
        <v>33.069898138391288</v>
      </c>
      <c r="H19" s="129">
        <f t="shared" si="2"/>
        <v>0</v>
      </c>
      <c r="I19" s="131">
        <f t="shared" ref="I19:I37" si="7">(G19+H19)</f>
        <v>33.069898138391288</v>
      </c>
      <c r="J19" s="131">
        <f t="shared" si="4"/>
        <v>94.15</v>
      </c>
      <c r="K19" s="129">
        <f t="shared" si="3"/>
        <v>94.15</v>
      </c>
      <c r="L19" s="120"/>
      <c r="N19" s="118"/>
      <c r="R19" s="120"/>
      <c r="S19" s="120"/>
      <c r="T19" s="165"/>
      <c r="U19" s="161"/>
      <c r="V19" s="161"/>
      <c r="W19" s="120"/>
      <c r="X19" s="161"/>
      <c r="Y19" s="161"/>
      <c r="Z19" s="161"/>
      <c r="AA19" s="120"/>
    </row>
    <row r="20" spans="2:28">
      <c r="B20" s="136">
        <f t="shared" si="0"/>
        <v>2026</v>
      </c>
      <c r="C20" s="137"/>
      <c r="D20" s="129">
        <f t="shared" si="5"/>
        <v>65.459999999999994</v>
      </c>
      <c r="E20" s="129">
        <f t="shared" si="1"/>
        <v>29.28</v>
      </c>
      <c r="F20" s="129">
        <f t="shared" si="5"/>
        <v>1.58</v>
      </c>
      <c r="G20" s="131">
        <f t="shared" si="6"/>
        <v>33.832103969090269</v>
      </c>
      <c r="H20" s="129">
        <f t="shared" si="2"/>
        <v>0</v>
      </c>
      <c r="I20" s="131">
        <f t="shared" si="7"/>
        <v>33.832103969090269</v>
      </c>
      <c r="J20" s="131">
        <f t="shared" si="4"/>
        <v>96.32</v>
      </c>
      <c r="K20" s="129">
        <f t="shared" si="3"/>
        <v>96.32</v>
      </c>
      <c r="L20" s="120"/>
      <c r="N20" s="118"/>
      <c r="R20" s="161"/>
      <c r="S20" s="120"/>
      <c r="T20" s="165"/>
      <c r="U20" s="161"/>
      <c r="V20" s="161"/>
      <c r="W20" s="120"/>
      <c r="X20" s="161"/>
      <c r="Y20" s="161"/>
      <c r="Z20" s="161"/>
      <c r="AA20" s="120"/>
    </row>
    <row r="21" spans="2:28">
      <c r="B21" s="136">
        <f t="shared" si="0"/>
        <v>2027</v>
      </c>
      <c r="C21" s="137"/>
      <c r="D21" s="129">
        <f t="shared" si="5"/>
        <v>66.97</v>
      </c>
      <c r="E21" s="129">
        <f t="shared" si="1"/>
        <v>29.95</v>
      </c>
      <c r="F21" s="129">
        <f t="shared" si="5"/>
        <v>1.62</v>
      </c>
      <c r="G21" s="131">
        <f t="shared" si="6"/>
        <v>34.611872146118721</v>
      </c>
      <c r="H21" s="129">
        <f t="shared" si="2"/>
        <v>0</v>
      </c>
      <c r="I21" s="131">
        <f t="shared" si="7"/>
        <v>34.611872146118721</v>
      </c>
      <c r="J21" s="131">
        <f t="shared" si="4"/>
        <v>98.54</v>
      </c>
      <c r="K21" s="129">
        <f t="shared" si="3"/>
        <v>98.54</v>
      </c>
      <c r="L21" s="120"/>
      <c r="N21" s="118"/>
      <c r="R21" s="161"/>
      <c r="S21" s="120"/>
      <c r="T21" s="165"/>
      <c r="U21" s="161"/>
      <c r="V21" s="161"/>
      <c r="W21" s="120"/>
      <c r="X21" s="161"/>
      <c r="Y21" s="161"/>
      <c r="Z21" s="161"/>
      <c r="AA21" s="120"/>
    </row>
    <row r="22" spans="2:28">
      <c r="B22" s="136">
        <f t="shared" si="0"/>
        <v>2028</v>
      </c>
      <c r="C22" s="137"/>
      <c r="D22" s="129">
        <f t="shared" si="5"/>
        <v>68.510000000000005</v>
      </c>
      <c r="E22" s="129">
        <f t="shared" si="1"/>
        <v>30.64</v>
      </c>
      <c r="F22" s="129">
        <f t="shared" si="5"/>
        <v>1.66</v>
      </c>
      <c r="G22" s="131">
        <f t="shared" si="6"/>
        <v>35.409202669476642</v>
      </c>
      <c r="H22" s="129">
        <f t="shared" si="2"/>
        <v>0</v>
      </c>
      <c r="I22" s="131">
        <f t="shared" si="7"/>
        <v>35.409202669476642</v>
      </c>
      <c r="J22" s="131">
        <f t="shared" si="4"/>
        <v>100.81</v>
      </c>
      <c r="K22" s="129">
        <f t="shared" si="3"/>
        <v>100.81</v>
      </c>
      <c r="L22" s="120"/>
      <c r="N22" s="118"/>
      <c r="R22" s="161"/>
      <c r="S22" s="120"/>
      <c r="T22" s="165"/>
      <c r="U22" s="161"/>
      <c r="V22" s="161"/>
      <c r="W22" s="120"/>
      <c r="X22" s="161"/>
      <c r="Y22" s="161"/>
      <c r="Z22" s="161"/>
      <c r="AA22" s="120"/>
    </row>
    <row r="23" spans="2:28">
      <c r="B23" s="136">
        <f t="shared" si="0"/>
        <v>2029</v>
      </c>
      <c r="C23" s="137"/>
      <c r="D23" s="129">
        <f t="shared" si="5"/>
        <v>70.09</v>
      </c>
      <c r="E23" s="129">
        <f t="shared" si="1"/>
        <v>31.34</v>
      </c>
      <c r="F23" s="129">
        <f t="shared" si="5"/>
        <v>1.7</v>
      </c>
      <c r="G23" s="131">
        <f t="shared" si="6"/>
        <v>36.224095539164033</v>
      </c>
      <c r="H23" s="129">
        <f t="shared" si="2"/>
        <v>0</v>
      </c>
      <c r="I23" s="131">
        <f t="shared" si="7"/>
        <v>36.224095539164033</v>
      </c>
      <c r="J23" s="131">
        <f t="shared" si="4"/>
        <v>103.13</v>
      </c>
      <c r="K23" s="129">
        <f t="shared" si="3"/>
        <v>103.13000000000001</v>
      </c>
      <c r="L23" s="120"/>
      <c r="N23" s="118"/>
      <c r="R23" s="161"/>
      <c r="S23" s="120"/>
      <c r="T23" s="165"/>
      <c r="U23" s="161"/>
      <c r="V23" s="161"/>
      <c r="W23" s="120"/>
      <c r="X23" s="161"/>
      <c r="Y23" s="161"/>
      <c r="Z23" s="161"/>
      <c r="AA23" s="120"/>
    </row>
    <row r="24" spans="2:28">
      <c r="B24" s="136">
        <f t="shared" si="0"/>
        <v>2030</v>
      </c>
      <c r="C24" s="137"/>
      <c r="D24" s="129">
        <f t="shared" si="5"/>
        <v>71.63</v>
      </c>
      <c r="E24" s="129">
        <f t="shared" si="1"/>
        <v>32.03</v>
      </c>
      <c r="F24" s="129">
        <f t="shared" si="5"/>
        <v>1.74</v>
      </c>
      <c r="G24" s="131">
        <f t="shared" si="6"/>
        <v>37.021426062521954</v>
      </c>
      <c r="H24" s="129">
        <f t="shared" si="2"/>
        <v>0</v>
      </c>
      <c r="I24" s="131">
        <f t="shared" si="7"/>
        <v>37.021426062521954</v>
      </c>
      <c r="J24" s="131">
        <f t="shared" si="4"/>
        <v>105.4</v>
      </c>
      <c r="K24" s="129">
        <f t="shared" si="3"/>
        <v>105.39999999999999</v>
      </c>
      <c r="L24" s="120"/>
      <c r="N24" s="118"/>
      <c r="R24" s="161"/>
      <c r="S24" s="120"/>
      <c r="T24" s="165"/>
      <c r="U24" s="161"/>
      <c r="V24" s="161"/>
      <c r="W24" s="120"/>
      <c r="X24" s="161"/>
      <c r="Y24" s="161"/>
      <c r="Z24" s="161"/>
      <c r="AA24" s="120"/>
    </row>
    <row r="25" spans="2:28">
      <c r="B25" s="136">
        <f t="shared" si="0"/>
        <v>2031</v>
      </c>
      <c r="C25" s="137"/>
      <c r="D25" s="129">
        <f t="shared" si="5"/>
        <v>73.209999999999994</v>
      </c>
      <c r="E25" s="129">
        <f t="shared" si="1"/>
        <v>32.729999999999997</v>
      </c>
      <c r="F25" s="129">
        <f t="shared" si="5"/>
        <v>1.78</v>
      </c>
      <c r="G25" s="131">
        <f t="shared" si="6"/>
        <v>37.836318932209345</v>
      </c>
      <c r="H25" s="129">
        <f t="shared" si="2"/>
        <v>0</v>
      </c>
      <c r="I25" s="131">
        <f t="shared" si="7"/>
        <v>37.836318932209345</v>
      </c>
      <c r="J25" s="131">
        <f t="shared" si="4"/>
        <v>107.72</v>
      </c>
      <c r="K25" s="129">
        <f t="shared" si="3"/>
        <v>107.72</v>
      </c>
      <c r="L25" s="120"/>
      <c r="N25" s="118"/>
      <c r="R25" s="161"/>
      <c r="S25" s="120"/>
      <c r="T25" s="165"/>
      <c r="U25" s="161"/>
      <c r="V25" s="161"/>
      <c r="W25" s="120"/>
      <c r="X25" s="161"/>
      <c r="Y25" s="161"/>
      <c r="Z25" s="161"/>
      <c r="AA25" s="120"/>
    </row>
    <row r="26" spans="2:28">
      <c r="B26" s="136">
        <f t="shared" si="0"/>
        <v>2032</v>
      </c>
      <c r="C26" s="137"/>
      <c r="D26" s="129">
        <f t="shared" si="5"/>
        <v>74.819999999999993</v>
      </c>
      <c r="E26" s="129">
        <f t="shared" si="1"/>
        <v>33.450000000000003</v>
      </c>
      <c r="F26" s="129">
        <f t="shared" si="5"/>
        <v>1.82</v>
      </c>
      <c r="G26" s="131">
        <f t="shared" si="6"/>
        <v>38.668774148226198</v>
      </c>
      <c r="H26" s="129">
        <f t="shared" si="2"/>
        <v>0</v>
      </c>
      <c r="I26" s="131">
        <f t="shared" si="7"/>
        <v>38.668774148226198</v>
      </c>
      <c r="J26" s="131">
        <f t="shared" si="4"/>
        <v>110.09</v>
      </c>
      <c r="K26" s="129">
        <f t="shared" si="3"/>
        <v>110.08999999999999</v>
      </c>
      <c r="L26" s="120"/>
      <c r="N26" s="118"/>
      <c r="R26" s="161"/>
      <c r="S26" s="120"/>
      <c r="T26" s="165"/>
      <c r="U26" s="161"/>
      <c r="V26" s="161"/>
      <c r="W26" s="120"/>
      <c r="X26" s="161"/>
      <c r="Y26" s="161"/>
      <c r="Z26" s="161"/>
      <c r="AA26" s="120"/>
    </row>
    <row r="27" spans="2:28">
      <c r="B27" s="136">
        <f t="shared" si="0"/>
        <v>2033</v>
      </c>
      <c r="C27" s="137"/>
      <c r="D27" s="129">
        <f t="shared" si="5"/>
        <v>76.39</v>
      </c>
      <c r="E27" s="129">
        <f t="shared" si="1"/>
        <v>34.15</v>
      </c>
      <c r="F27" s="129">
        <f t="shared" si="5"/>
        <v>1.86</v>
      </c>
      <c r="G27" s="131">
        <f t="shared" si="6"/>
        <v>39.480154548647697</v>
      </c>
      <c r="H27" s="129">
        <f t="shared" si="2"/>
        <v>0</v>
      </c>
      <c r="I27" s="131">
        <f t="shared" si="7"/>
        <v>39.480154548647697</v>
      </c>
      <c r="J27" s="131">
        <f t="shared" si="4"/>
        <v>112.4</v>
      </c>
      <c r="K27" s="129">
        <f t="shared" si="3"/>
        <v>112.39999999999999</v>
      </c>
      <c r="L27" s="120"/>
      <c r="N27" s="118"/>
      <c r="R27" s="161"/>
      <c r="S27" s="120"/>
      <c r="T27" s="165"/>
      <c r="U27" s="161"/>
      <c r="V27" s="161"/>
      <c r="W27" s="120"/>
      <c r="X27" s="161"/>
      <c r="Y27" s="161"/>
      <c r="Z27" s="161"/>
      <c r="AA27" s="120"/>
    </row>
    <row r="28" spans="2:28">
      <c r="B28" s="136">
        <f t="shared" si="0"/>
        <v>2034</v>
      </c>
      <c r="C28" s="137"/>
      <c r="D28" s="129">
        <f t="shared" si="5"/>
        <v>77.989999999999995</v>
      </c>
      <c r="E28" s="129">
        <f t="shared" si="1"/>
        <v>34.869999999999997</v>
      </c>
      <c r="F28" s="129">
        <f t="shared" si="5"/>
        <v>1.9</v>
      </c>
      <c r="G28" s="131">
        <f t="shared" si="6"/>
        <v>40.309097295398665</v>
      </c>
      <c r="H28" s="129">
        <f t="shared" si="2"/>
        <v>0</v>
      </c>
      <c r="I28" s="131">
        <f t="shared" si="7"/>
        <v>40.309097295398665</v>
      </c>
      <c r="J28" s="131">
        <f t="shared" si="4"/>
        <v>114.76</v>
      </c>
      <c r="K28" s="129">
        <f t="shared" si="3"/>
        <v>114.75999999999999</v>
      </c>
      <c r="L28" s="120"/>
      <c r="N28" s="118"/>
      <c r="R28" s="161"/>
      <c r="S28" s="120"/>
      <c r="T28" s="165"/>
      <c r="U28" s="161"/>
      <c r="V28" s="161"/>
      <c r="W28" s="120"/>
      <c r="X28" s="161"/>
      <c r="Y28" s="161"/>
      <c r="Z28" s="161"/>
      <c r="AA28" s="120"/>
    </row>
    <row r="29" spans="2:28">
      <c r="B29" s="136">
        <f t="shared" si="0"/>
        <v>2035</v>
      </c>
      <c r="C29" s="137"/>
      <c r="D29" s="129">
        <f t="shared" si="5"/>
        <v>79.63</v>
      </c>
      <c r="E29" s="129">
        <f t="shared" si="1"/>
        <v>35.6</v>
      </c>
      <c r="F29" s="129">
        <f t="shared" si="5"/>
        <v>1.94</v>
      </c>
      <c r="G29" s="131">
        <f t="shared" si="6"/>
        <v>41.155602388479096</v>
      </c>
      <c r="H29" s="129">
        <f t="shared" si="2"/>
        <v>0</v>
      </c>
      <c r="I29" s="131">
        <f t="shared" si="7"/>
        <v>41.155602388479096</v>
      </c>
      <c r="J29" s="131">
        <f t="shared" si="4"/>
        <v>117.17</v>
      </c>
      <c r="K29" s="129">
        <f t="shared" si="3"/>
        <v>117.16999999999999</v>
      </c>
      <c r="L29" s="120"/>
      <c r="N29" s="118"/>
      <c r="R29" s="161"/>
      <c r="S29" s="120"/>
      <c r="T29" s="165"/>
      <c r="U29" s="161"/>
      <c r="V29" s="161"/>
      <c r="W29" s="120"/>
      <c r="X29" s="161"/>
      <c r="Y29" s="161"/>
      <c r="Z29" s="161"/>
      <c r="AA29" s="120"/>
    </row>
    <row r="30" spans="2:28">
      <c r="B30" s="136">
        <f t="shared" si="0"/>
        <v>2036</v>
      </c>
      <c r="C30" s="137"/>
      <c r="D30" s="129">
        <f t="shared" si="5"/>
        <v>81.3</v>
      </c>
      <c r="E30" s="129">
        <f t="shared" si="1"/>
        <v>36.35</v>
      </c>
      <c r="F30" s="129">
        <f t="shared" si="5"/>
        <v>1.98</v>
      </c>
      <c r="G30" s="131">
        <f t="shared" si="6"/>
        <v>42.019669827889011</v>
      </c>
      <c r="H30" s="129">
        <f t="shared" si="2"/>
        <v>0</v>
      </c>
      <c r="I30" s="131">
        <f t="shared" si="7"/>
        <v>42.019669827889011</v>
      </c>
      <c r="J30" s="131">
        <f t="shared" si="4"/>
        <v>119.63</v>
      </c>
      <c r="K30" s="129">
        <f t="shared" si="3"/>
        <v>119.63000000000001</v>
      </c>
      <c r="L30" s="120"/>
      <c r="N30" s="118"/>
      <c r="R30" s="161"/>
      <c r="S30" s="120"/>
      <c r="T30" s="165"/>
      <c r="U30" s="161"/>
      <c r="V30" s="161"/>
      <c r="W30" s="120"/>
      <c r="X30" s="161"/>
      <c r="Y30" s="161"/>
      <c r="Z30" s="161"/>
      <c r="AA30" s="120"/>
    </row>
    <row r="31" spans="2:28">
      <c r="B31" s="136">
        <f t="shared" si="0"/>
        <v>2037</v>
      </c>
      <c r="C31" s="137"/>
      <c r="D31" s="129">
        <f t="shared" si="5"/>
        <v>83.01</v>
      </c>
      <c r="E31" s="129">
        <f t="shared" si="1"/>
        <v>37.11</v>
      </c>
      <c r="F31" s="129">
        <f t="shared" si="5"/>
        <v>2.02</v>
      </c>
      <c r="G31" s="131">
        <f t="shared" si="6"/>
        <v>42.901299613628382</v>
      </c>
      <c r="H31" s="129">
        <f t="shared" si="2"/>
        <v>0</v>
      </c>
      <c r="I31" s="131">
        <f t="shared" si="7"/>
        <v>42.901299613628382</v>
      </c>
      <c r="J31" s="131">
        <f t="shared" si="4"/>
        <v>122.14</v>
      </c>
      <c r="K31" s="129">
        <f t="shared" si="3"/>
        <v>122.14</v>
      </c>
      <c r="L31" s="120"/>
      <c r="N31" s="118"/>
      <c r="R31" s="161"/>
      <c r="S31" s="120"/>
      <c r="T31" s="165"/>
      <c r="U31" s="161"/>
      <c r="V31" s="161"/>
      <c r="W31" s="120"/>
      <c r="X31" s="161"/>
      <c r="Y31" s="161"/>
      <c r="Z31" s="161"/>
      <c r="AA31" s="120"/>
    </row>
    <row r="32" spans="2:28">
      <c r="B32" s="136">
        <f t="shared" si="0"/>
        <v>2038</v>
      </c>
      <c r="C32" s="137"/>
      <c r="D32" s="129">
        <f t="shared" si="5"/>
        <v>84.75</v>
      </c>
      <c r="E32" s="129">
        <f t="shared" si="1"/>
        <v>37.89</v>
      </c>
      <c r="F32" s="129">
        <f t="shared" si="5"/>
        <v>2.06</v>
      </c>
      <c r="G32" s="131">
        <f t="shared" si="6"/>
        <v>43.800491745697229</v>
      </c>
      <c r="H32" s="129">
        <f t="shared" si="2"/>
        <v>0</v>
      </c>
      <c r="I32" s="131">
        <f t="shared" si="7"/>
        <v>43.800491745697229</v>
      </c>
      <c r="J32" s="131">
        <f t="shared" si="4"/>
        <v>124.7</v>
      </c>
      <c r="K32" s="129">
        <f t="shared" si="3"/>
        <v>124.7</v>
      </c>
      <c r="L32" s="120"/>
      <c r="N32" s="118"/>
      <c r="R32" s="161"/>
      <c r="S32" s="120"/>
      <c r="T32" s="165"/>
      <c r="U32" s="161"/>
      <c r="V32" s="161"/>
      <c r="W32" s="120"/>
      <c r="X32" s="161"/>
      <c r="Y32" s="161"/>
      <c r="Z32" s="161"/>
      <c r="AA32" s="120"/>
    </row>
    <row r="33" spans="2:30">
      <c r="B33" s="136">
        <f t="shared" si="0"/>
        <v>2039</v>
      </c>
      <c r="C33" s="137"/>
      <c r="D33" s="129">
        <f t="shared" si="5"/>
        <v>86.53</v>
      </c>
      <c r="E33" s="129">
        <f t="shared" si="1"/>
        <v>38.69</v>
      </c>
      <c r="F33" s="129">
        <f t="shared" si="5"/>
        <v>2.1</v>
      </c>
      <c r="G33" s="131">
        <f t="shared" si="6"/>
        <v>44.720758693361432</v>
      </c>
      <c r="H33" s="129">
        <f t="shared" si="2"/>
        <v>0</v>
      </c>
      <c r="I33" s="131">
        <f t="shared" si="7"/>
        <v>44.720758693361432</v>
      </c>
      <c r="J33" s="131">
        <f t="shared" ref="J33:J37" si="8">ROUND(I33*$C$63*8.76,2)</f>
        <v>127.32</v>
      </c>
      <c r="K33" s="129">
        <f t="shared" si="3"/>
        <v>127.32</v>
      </c>
      <c r="L33" s="120"/>
      <c r="N33" s="118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C33" s="279"/>
    </row>
    <row r="34" spans="2:30">
      <c r="B34" s="136">
        <f t="shared" si="0"/>
        <v>2040</v>
      </c>
      <c r="C34" s="137"/>
      <c r="D34" s="129">
        <f t="shared" si="5"/>
        <v>88.35</v>
      </c>
      <c r="E34" s="129">
        <f t="shared" si="1"/>
        <v>39.5</v>
      </c>
      <c r="F34" s="129">
        <f t="shared" si="5"/>
        <v>2.14</v>
      </c>
      <c r="G34" s="131">
        <f t="shared" si="6"/>
        <v>45.658587987355105</v>
      </c>
      <c r="H34" s="129">
        <f t="shared" si="2"/>
        <v>0</v>
      </c>
      <c r="I34" s="131">
        <f t="shared" si="7"/>
        <v>45.658587987355105</v>
      </c>
      <c r="J34" s="131">
        <f t="shared" si="8"/>
        <v>129.99</v>
      </c>
      <c r="K34" s="129">
        <f t="shared" si="3"/>
        <v>129.98999999999998</v>
      </c>
      <c r="L34" s="120"/>
      <c r="N34" s="118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C34" s="279"/>
    </row>
    <row r="35" spans="2:30">
      <c r="B35" s="136">
        <f t="shared" si="0"/>
        <v>2041</v>
      </c>
      <c r="C35" s="137"/>
      <c r="D35" s="129">
        <f t="shared" si="5"/>
        <v>90.21</v>
      </c>
      <c r="E35" s="129">
        <f t="shared" si="1"/>
        <v>40.33</v>
      </c>
      <c r="F35" s="129">
        <f t="shared" si="5"/>
        <v>2.1800000000000002</v>
      </c>
      <c r="G35" s="131">
        <f t="shared" si="6"/>
        <v>46.617492096944154</v>
      </c>
      <c r="H35" s="129">
        <f t="shared" si="2"/>
        <v>0</v>
      </c>
      <c r="I35" s="131">
        <f t="shared" si="7"/>
        <v>46.617492096944154</v>
      </c>
      <c r="J35" s="131">
        <f t="shared" si="8"/>
        <v>132.72</v>
      </c>
      <c r="K35" s="129">
        <f t="shared" si="3"/>
        <v>132.72</v>
      </c>
      <c r="L35" s="120"/>
      <c r="N35" s="118"/>
      <c r="R35" s="120"/>
      <c r="AC35" s="279"/>
    </row>
    <row r="36" spans="2:30">
      <c r="B36" s="136">
        <f t="shared" si="0"/>
        <v>2042</v>
      </c>
      <c r="C36" s="137"/>
      <c r="D36" s="129">
        <f t="shared" si="5"/>
        <v>92.1</v>
      </c>
      <c r="E36" s="129">
        <f t="shared" si="1"/>
        <v>41.18</v>
      </c>
      <c r="F36" s="129">
        <f t="shared" si="5"/>
        <v>2.23</v>
      </c>
      <c r="G36" s="131">
        <f t="shared" si="6"/>
        <v>47.597471022128552</v>
      </c>
      <c r="H36" s="129">
        <f t="shared" si="2"/>
        <v>0</v>
      </c>
      <c r="I36" s="131">
        <f t="shared" si="7"/>
        <v>47.597471022128552</v>
      </c>
      <c r="J36" s="131">
        <f t="shared" si="8"/>
        <v>135.51</v>
      </c>
      <c r="K36" s="129">
        <f t="shared" si="3"/>
        <v>135.51</v>
      </c>
      <c r="L36" s="120"/>
      <c r="N36" s="118"/>
      <c r="R36" s="120"/>
      <c r="AC36" s="279"/>
    </row>
    <row r="37" spans="2:30">
      <c r="B37" s="136">
        <f t="shared" si="0"/>
        <v>2043</v>
      </c>
      <c r="C37" s="137"/>
      <c r="D37" s="129">
        <f t="shared" si="5"/>
        <v>94.03</v>
      </c>
      <c r="E37" s="129">
        <f t="shared" si="1"/>
        <v>42.04</v>
      </c>
      <c r="F37" s="129">
        <f t="shared" si="5"/>
        <v>2.2799999999999998</v>
      </c>
      <c r="G37" s="131">
        <f t="shared" si="6"/>
        <v>48.595012293642426</v>
      </c>
      <c r="H37" s="129">
        <f t="shared" si="2"/>
        <v>0</v>
      </c>
      <c r="I37" s="131">
        <f t="shared" si="7"/>
        <v>48.595012293642426</v>
      </c>
      <c r="J37" s="131">
        <f t="shared" si="8"/>
        <v>138.35</v>
      </c>
      <c r="K37" s="129">
        <f t="shared" si="3"/>
        <v>138.35</v>
      </c>
      <c r="R37" s="120"/>
      <c r="AC37" s="279"/>
    </row>
    <row r="38" spans="2:30">
      <c r="B38" s="127"/>
      <c r="C38" s="132"/>
      <c r="D38" s="129"/>
      <c r="E38" s="129"/>
      <c r="F38" s="129"/>
      <c r="G38" s="130"/>
      <c r="H38" s="129"/>
      <c r="I38" s="131"/>
      <c r="J38" s="131"/>
      <c r="K38" s="138"/>
      <c r="R38" s="120"/>
      <c r="AC38" s="279"/>
    </row>
    <row r="39" spans="2:30">
      <c r="B39" s="127"/>
      <c r="C39" s="132"/>
      <c r="D39" s="129"/>
      <c r="E39" s="129"/>
      <c r="F39" s="129"/>
      <c r="G39" s="130"/>
      <c r="H39" s="129"/>
      <c r="I39" s="131"/>
      <c r="J39" s="131"/>
      <c r="K39" s="138"/>
      <c r="R39" s="120"/>
      <c r="AC39" s="279"/>
    </row>
    <row r="40" spans="2:30">
      <c r="B40" s="127"/>
      <c r="C40" s="132"/>
      <c r="D40" s="129"/>
      <c r="E40" s="129"/>
      <c r="F40" s="129"/>
      <c r="G40" s="130"/>
      <c r="H40" s="129"/>
      <c r="I40" s="129"/>
      <c r="J40" s="131"/>
      <c r="K40" s="131"/>
      <c r="L40" s="138"/>
      <c r="N40" s="118"/>
      <c r="O40" s="162"/>
      <c r="S40" s="120"/>
      <c r="AD40" s="279"/>
    </row>
    <row r="41" spans="2:30">
      <c r="N41" s="118"/>
      <c r="O41" s="162"/>
      <c r="S41" s="120"/>
      <c r="AD41" s="279"/>
    </row>
    <row r="42" spans="2:30" ht="14.25">
      <c r="B42" s="139" t="s">
        <v>25</v>
      </c>
      <c r="C42" s="140"/>
      <c r="D42" s="140"/>
      <c r="E42" s="140"/>
      <c r="F42" s="140"/>
      <c r="G42" s="140"/>
      <c r="H42" s="140"/>
      <c r="R42" s="120"/>
      <c r="AC42" s="279"/>
    </row>
    <row r="43" spans="2:30">
      <c r="AC43" s="279"/>
    </row>
    <row r="44" spans="2:30">
      <c r="B44" s="118" t="s">
        <v>63</v>
      </c>
      <c r="C44" s="141" t="s">
        <v>64</v>
      </c>
      <c r="D44" s="142" t="s">
        <v>102</v>
      </c>
      <c r="AC44" s="279"/>
    </row>
    <row r="45" spans="2:30">
      <c r="C45" s="141" t="str">
        <f>C7</f>
        <v>(a)</v>
      </c>
      <c r="D45" s="118" t="s">
        <v>65</v>
      </c>
      <c r="AC45" s="279"/>
    </row>
    <row r="46" spans="2:30">
      <c r="C46" s="141" t="str">
        <f>D7</f>
        <v>(b)</v>
      </c>
      <c r="D46" s="131" t="str">
        <f>"= "&amp;C7&amp;" x "&amp;C62</f>
        <v>= (a) x 0.05085</v>
      </c>
      <c r="AC46" s="279"/>
    </row>
    <row r="47" spans="2:30">
      <c r="C47" s="141" t="str">
        <f>F7</f>
        <v>(d)</v>
      </c>
      <c r="D47" s="131" t="str">
        <f>"= ("&amp;$D$7&amp;" + "&amp;$E$7&amp;") /  (8.76 x "&amp;TEXT(C63,"0.0%")&amp;")"</f>
        <v>= ((b) + (c)) /  (8.76 x 32.5%)</v>
      </c>
      <c r="AC47" s="279"/>
    </row>
    <row r="48" spans="2:30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J7</f>
        <v>(h)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103</v>
      </c>
      <c r="Q54" s="276">
        <v>2024</v>
      </c>
    </row>
    <row r="55" spans="2:25">
      <c r="B55" s="85" t="s">
        <v>101</v>
      </c>
      <c r="C55" s="171">
        <v>1611.5125096665929</v>
      </c>
      <c r="D55" s="118" t="s">
        <v>65</v>
      </c>
      <c r="O55" s="280">
        <v>230.8</v>
      </c>
      <c r="P55" s="118" t="s">
        <v>32</v>
      </c>
      <c r="Q55" s="276" t="s">
        <v>107</v>
      </c>
      <c r="R55" s="276" t="s">
        <v>108</v>
      </c>
      <c r="T55" s="276" t="str">
        <f>$Q$55&amp;"Proposed Station Capital Costs"</f>
        <v>L1.US1_PVSProposed Station Capital Costs</v>
      </c>
    </row>
    <row r="56" spans="2:25">
      <c r="B56" s="85" t="s">
        <v>101</v>
      </c>
      <c r="C56" s="270">
        <v>24.570618817436728</v>
      </c>
      <c r="D56" s="118" t="s">
        <v>68</v>
      </c>
      <c r="R56" s="120"/>
      <c r="T56" s="276" t="str">
        <f>$Q$55&amp;"Proposed Station Fixed Costs"</f>
        <v>L1.US1_PVSProposed Station Fixed Costs</v>
      </c>
    </row>
    <row r="57" spans="2:25" ht="24" customHeight="1">
      <c r="B57" s="85"/>
      <c r="C57" s="272"/>
      <c r="D57" s="118" t="s">
        <v>105</v>
      </c>
      <c r="Q57" s="215" t="str">
        <f>Q55&amp;Q54</f>
        <v>L1.US1_PVS2024</v>
      </c>
      <c r="T57" s="276" t="str">
        <f>$Q$55&amp;"Proposed Station Variable O&amp;M Costs"</f>
        <v>L1.US1_PVSProposed Station Variable O&amp;M Costs</v>
      </c>
    </row>
    <row r="58" spans="2:25">
      <c r="B58" s="85" t="s">
        <v>101</v>
      </c>
      <c r="C58" s="270">
        <v>0</v>
      </c>
      <c r="D58" s="118" t="s">
        <v>69</v>
      </c>
      <c r="K58" s="120"/>
      <c r="L58" s="150"/>
      <c r="M58" s="52"/>
      <c r="N58" s="164"/>
      <c r="O58" s="52"/>
      <c r="P58" s="52"/>
      <c r="Q58" s="120" t="s">
        <v>269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70</v>
      </c>
      <c r="I59" s="198" t="s">
        <v>91</v>
      </c>
      <c r="L59" s="152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71" t="str">
        <f>LEFT(RIGHT(INDEX('Table 3 TransCost'!$39:$39,1,MATCH(F60,'Table 3 TransCost'!$4:$4,0)),6),5)</f>
        <v>2023$</v>
      </c>
      <c r="C60" s="272">
        <f>INDEX('Table 3 TransCost'!$39:$39,1,MATCH(F60,'Table 3 TransCost'!$4:$4,0)+2)</f>
        <v>1.4680258019147514</v>
      </c>
      <c r="D60" s="118" t="s">
        <v>218</v>
      </c>
      <c r="F60" s="276" t="s">
        <v>221</v>
      </c>
      <c r="K60" s="152"/>
      <c r="L60" s="152"/>
      <c r="M60" s="152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1"/>
      <c r="K61" s="152"/>
      <c r="L61" s="152"/>
      <c r="M61" s="152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5">
      <c r="C62" s="271">
        <v>5.0849999999999999E-2</v>
      </c>
      <c r="D62" s="118" t="s">
        <v>36</v>
      </c>
      <c r="E62" s="118" t="s">
        <v>109</v>
      </c>
      <c r="K62" s="156"/>
      <c r="L62" s="157"/>
      <c r="M62" s="157"/>
      <c r="O62" s="158"/>
    </row>
    <row r="63" spans="2:25">
      <c r="C63" s="209">
        <v>0.32500000000000001</v>
      </c>
      <c r="D63" s="118" t="s">
        <v>37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20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5"/>
    </row>
    <row r="73" spans="3:14" s="120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5"/>
    </row>
    <row r="74" spans="3:14" s="120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1.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30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30" ht="15.75">
      <c r="B2" s="116" t="s">
        <v>106</v>
      </c>
      <c r="C2" s="117"/>
      <c r="D2" s="117"/>
      <c r="E2" s="117"/>
      <c r="F2" s="117"/>
      <c r="G2" s="117"/>
      <c r="H2" s="117"/>
      <c r="I2" s="117"/>
      <c r="J2" s="117"/>
    </row>
    <row r="3" spans="2:30" ht="15.75">
      <c r="B3" s="116" t="str">
        <f>TEXT($C$63,"0%")&amp;" Capacity Factor"</f>
        <v>33% Capacity Factor</v>
      </c>
      <c r="C3" s="117"/>
      <c r="D3" s="117"/>
      <c r="E3" s="117"/>
      <c r="F3" s="117"/>
      <c r="G3" s="117"/>
      <c r="H3" s="117"/>
      <c r="I3" s="117"/>
      <c r="J3" s="117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30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</row>
    <row r="5" spans="2:30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R5" s="277"/>
      <c r="S5" s="120"/>
      <c r="T5" s="120"/>
      <c r="U5" s="120"/>
      <c r="V5" s="120"/>
      <c r="W5" s="120"/>
      <c r="X5" s="120"/>
      <c r="Y5" s="383"/>
      <c r="Z5" s="383"/>
      <c r="AA5" s="120"/>
      <c r="AB5" s="120"/>
      <c r="AC5" s="120"/>
      <c r="AD5" s="120"/>
    </row>
    <row r="6" spans="2:30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R6" s="278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2:30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2:30" ht="6" customHeight="1">
      <c r="K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2:30" ht="15.75">
      <c r="B9" s="43" t="str">
        <f>C52</f>
        <v>2019 IRP Utah South Solar with Storage - 33%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</row>
    <row r="10" spans="2:30">
      <c r="B10" s="127"/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</row>
    <row r="11" spans="2:30">
      <c r="B11" s="127"/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</row>
    <row r="12" spans="2:30">
      <c r="B12" s="136"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S12" s="120"/>
      <c r="T12" s="165"/>
      <c r="U12" s="161"/>
      <c r="V12" s="161"/>
      <c r="W12" s="120"/>
      <c r="X12" s="120"/>
      <c r="Y12" s="161"/>
      <c r="Z12" s="161"/>
      <c r="AA12" s="120"/>
      <c r="AB12" s="120"/>
      <c r="AC12" s="120"/>
      <c r="AD12" s="120"/>
    </row>
    <row r="13" spans="2:30">
      <c r="B13" s="136">
        <f t="shared" ref="B13:B37" si="0">B12+1</f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25.01</v>
      </c>
      <c r="L13" s="120"/>
      <c r="N13" s="118"/>
      <c r="R13" s="120"/>
      <c r="S13" s="120"/>
      <c r="T13" s="120"/>
      <c r="U13" s="120"/>
      <c r="V13" s="161"/>
      <c r="W13" s="120"/>
      <c r="X13" s="120"/>
      <c r="Y13" s="161"/>
      <c r="Z13" s="161"/>
      <c r="AA13" s="120"/>
      <c r="AB13" s="120"/>
      <c r="AC13" s="120"/>
      <c r="AD13" s="120"/>
    </row>
    <row r="14" spans="2:30">
      <c r="B14" s="136">
        <f t="shared" si="0"/>
        <v>2020</v>
      </c>
      <c r="C14" s="137"/>
      <c r="D14" s="129"/>
      <c r="E14" s="129">
        <f t="shared" si="1"/>
        <v>25.49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25.49</v>
      </c>
      <c r="L14" s="120"/>
      <c r="N14" s="118"/>
      <c r="O14" s="133"/>
      <c r="P14" s="134"/>
      <c r="Q14" s="135"/>
      <c r="R14" s="120"/>
      <c r="S14" s="120"/>
      <c r="T14" s="120"/>
      <c r="U14" s="120"/>
      <c r="V14" s="161"/>
      <c r="W14" s="120"/>
      <c r="X14" s="120"/>
      <c r="Y14" s="161"/>
      <c r="Z14" s="161"/>
      <c r="AA14" s="120"/>
      <c r="AB14" s="120"/>
      <c r="AC14" s="120"/>
      <c r="AD14" s="120"/>
    </row>
    <row r="15" spans="2:30">
      <c r="B15" s="136">
        <f t="shared" si="0"/>
        <v>2021</v>
      </c>
      <c r="C15" s="137"/>
      <c r="D15" s="129"/>
      <c r="E15" s="129">
        <f t="shared" si="1"/>
        <v>26</v>
      </c>
      <c r="F15" s="129"/>
      <c r="G15" s="131"/>
      <c r="H15" s="129">
        <f t="shared" si="2"/>
        <v>0</v>
      </c>
      <c r="I15" s="131"/>
      <c r="J15" s="131"/>
      <c r="K15" s="129">
        <f t="shared" si="3"/>
        <v>26</v>
      </c>
      <c r="L15" s="120"/>
      <c r="N15" s="118"/>
      <c r="O15" s="273"/>
      <c r="P15" s="134"/>
      <c r="Q15" s="135"/>
      <c r="R15" s="120"/>
      <c r="S15" s="120"/>
      <c r="T15" s="120"/>
      <c r="U15" s="120"/>
      <c r="V15" s="161"/>
      <c r="W15" s="120"/>
      <c r="X15" s="120"/>
      <c r="Y15" s="161"/>
      <c r="Z15" s="161"/>
      <c r="AA15" s="120"/>
      <c r="AB15" s="120"/>
      <c r="AC15" s="120"/>
      <c r="AD15" s="120"/>
    </row>
    <row r="16" spans="2:30">
      <c r="B16" s="136">
        <f t="shared" si="0"/>
        <v>2022</v>
      </c>
      <c r="C16" s="137"/>
      <c r="D16" s="129"/>
      <c r="E16" s="129">
        <f t="shared" si="1"/>
        <v>26.65</v>
      </c>
      <c r="F16" s="129"/>
      <c r="G16" s="131"/>
      <c r="H16" s="129">
        <f t="shared" si="2"/>
        <v>0</v>
      </c>
      <c r="I16" s="131"/>
      <c r="J16" s="131"/>
      <c r="K16" s="129">
        <f t="shared" si="3"/>
        <v>26.65</v>
      </c>
      <c r="L16" s="120"/>
      <c r="N16" s="118"/>
      <c r="R16" s="120"/>
      <c r="S16" s="120"/>
      <c r="T16" s="120"/>
      <c r="U16" s="120"/>
      <c r="V16" s="161"/>
      <c r="W16" s="120"/>
      <c r="X16" s="120"/>
      <c r="Y16" s="161"/>
      <c r="Z16" s="161"/>
      <c r="AA16" s="120"/>
      <c r="AB16" s="120"/>
      <c r="AC16" s="120"/>
      <c r="AD16" s="120"/>
    </row>
    <row r="17" spans="2:30">
      <c r="B17" s="136">
        <f t="shared" si="0"/>
        <v>2023</v>
      </c>
      <c r="C17" s="137"/>
      <c r="D17" s="129"/>
      <c r="E17" s="129">
        <f t="shared" si="1"/>
        <v>27.32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27.32</v>
      </c>
      <c r="L17" s="120"/>
      <c r="N17" s="118"/>
      <c r="O17" s="133"/>
      <c r="R17" s="120"/>
      <c r="S17" s="120"/>
      <c r="T17" s="120"/>
      <c r="U17" s="120"/>
      <c r="V17" s="161"/>
      <c r="W17" s="120"/>
      <c r="X17" s="120"/>
      <c r="Y17" s="161"/>
      <c r="Z17" s="161"/>
      <c r="AA17" s="120"/>
      <c r="AB17" s="120"/>
      <c r="AC17" s="120"/>
      <c r="AD17" s="120"/>
    </row>
    <row r="18" spans="2:30">
      <c r="B18" s="136">
        <f t="shared" si="0"/>
        <v>2024</v>
      </c>
      <c r="C18" s="137"/>
      <c r="D18" s="129"/>
      <c r="E18" s="129">
        <f t="shared" si="1"/>
        <v>27.98</v>
      </c>
      <c r="F18" s="129"/>
      <c r="G18" s="131"/>
      <c r="H18" s="129">
        <f t="shared" si="2"/>
        <v>0</v>
      </c>
      <c r="I18" s="131"/>
      <c r="J18" s="131"/>
      <c r="K18" s="129">
        <f t="shared" si="3"/>
        <v>27.98</v>
      </c>
      <c r="L18" s="120"/>
      <c r="N18" s="118"/>
      <c r="P18" s="282"/>
      <c r="Q18" s="154"/>
      <c r="R18" s="120"/>
      <c r="S18" s="120"/>
      <c r="T18" s="165"/>
      <c r="U18" s="161"/>
      <c r="V18" s="161"/>
      <c r="W18" s="120"/>
      <c r="X18" s="161"/>
      <c r="Y18" s="161"/>
      <c r="Z18" s="161"/>
      <c r="AA18" s="388"/>
      <c r="AB18" s="388"/>
      <c r="AC18" s="120"/>
      <c r="AD18" s="120"/>
    </row>
    <row r="19" spans="2:30">
      <c r="B19" s="136">
        <f t="shared" si="0"/>
        <v>2025</v>
      </c>
      <c r="C19" s="137"/>
      <c r="D19" s="129"/>
      <c r="E19" s="129">
        <f t="shared" si="1"/>
        <v>28.62</v>
      </c>
      <c r="F19" s="129"/>
      <c r="G19" s="131"/>
      <c r="H19" s="129">
        <f t="shared" si="2"/>
        <v>0</v>
      </c>
      <c r="I19" s="131"/>
      <c r="J19" s="131"/>
      <c r="K19" s="129">
        <f t="shared" si="3"/>
        <v>28.62</v>
      </c>
      <c r="L19" s="120"/>
      <c r="N19" s="118"/>
      <c r="R19" s="120"/>
      <c r="S19" s="120"/>
      <c r="T19" s="165"/>
      <c r="U19" s="161"/>
      <c r="V19" s="161"/>
      <c r="W19" s="120"/>
      <c r="X19" s="161"/>
      <c r="Y19" s="161"/>
      <c r="Z19" s="161"/>
      <c r="AA19" s="120"/>
      <c r="AB19" s="120"/>
      <c r="AC19" s="120"/>
      <c r="AD19" s="120"/>
    </row>
    <row r="20" spans="2:30">
      <c r="B20" s="136">
        <f t="shared" si="0"/>
        <v>2026</v>
      </c>
      <c r="C20" s="137"/>
      <c r="D20" s="129"/>
      <c r="E20" s="129">
        <f t="shared" si="1"/>
        <v>29.28</v>
      </c>
      <c r="F20" s="129"/>
      <c r="G20" s="131"/>
      <c r="H20" s="129">
        <f t="shared" si="2"/>
        <v>0</v>
      </c>
      <c r="I20" s="131"/>
      <c r="J20" s="131"/>
      <c r="K20" s="129">
        <f t="shared" si="3"/>
        <v>29.28</v>
      </c>
      <c r="L20" s="120"/>
      <c r="N20" s="118"/>
      <c r="R20" s="161"/>
      <c r="S20" s="120"/>
      <c r="T20" s="165"/>
      <c r="U20" s="161"/>
      <c r="V20" s="161"/>
      <c r="W20" s="120"/>
      <c r="X20" s="161"/>
      <c r="Y20" s="161"/>
      <c r="Z20" s="161"/>
      <c r="AA20" s="120"/>
      <c r="AB20" s="120"/>
      <c r="AC20" s="120"/>
      <c r="AD20" s="120"/>
    </row>
    <row r="21" spans="2:30">
      <c r="B21" s="136">
        <f t="shared" si="0"/>
        <v>2027</v>
      </c>
      <c r="C21" s="137"/>
      <c r="D21" s="129"/>
      <c r="E21" s="129">
        <f t="shared" si="1"/>
        <v>29.95</v>
      </c>
      <c r="F21" s="129"/>
      <c r="G21" s="131"/>
      <c r="H21" s="129">
        <f t="shared" si="2"/>
        <v>0</v>
      </c>
      <c r="I21" s="131"/>
      <c r="J21" s="131"/>
      <c r="K21" s="129">
        <f t="shared" si="3"/>
        <v>29.95</v>
      </c>
      <c r="L21" s="120"/>
      <c r="N21" s="118"/>
      <c r="R21" s="161"/>
      <c r="S21" s="120"/>
      <c r="T21" s="165"/>
      <c r="U21" s="161"/>
      <c r="V21" s="161"/>
      <c r="W21" s="120"/>
      <c r="X21" s="161"/>
      <c r="Y21" s="161"/>
      <c r="Z21" s="161"/>
      <c r="AA21" s="120"/>
      <c r="AB21" s="120"/>
      <c r="AC21" s="120"/>
      <c r="AD21" s="120"/>
    </row>
    <row r="22" spans="2:30">
      <c r="B22" s="136">
        <f t="shared" si="0"/>
        <v>2028</v>
      </c>
      <c r="C22" s="137"/>
      <c r="D22" s="129"/>
      <c r="E22" s="129">
        <f t="shared" si="1"/>
        <v>30.64</v>
      </c>
      <c r="F22" s="129"/>
      <c r="G22" s="131"/>
      <c r="H22" s="129">
        <f t="shared" si="2"/>
        <v>0</v>
      </c>
      <c r="I22" s="131"/>
      <c r="J22" s="131"/>
      <c r="K22" s="129">
        <f t="shared" si="3"/>
        <v>30.64</v>
      </c>
      <c r="L22" s="120"/>
      <c r="N22" s="118"/>
      <c r="R22" s="161"/>
      <c r="S22" s="120"/>
      <c r="T22" s="165"/>
      <c r="U22" s="161"/>
      <c r="V22" s="161"/>
      <c r="W22" s="120"/>
      <c r="X22" s="161"/>
      <c r="Y22" s="161"/>
      <c r="Z22" s="161"/>
      <c r="AA22" s="120"/>
      <c r="AB22" s="120"/>
      <c r="AC22" s="120"/>
      <c r="AD22" s="120"/>
    </row>
    <row r="23" spans="2:30">
      <c r="B23" s="136">
        <f t="shared" si="0"/>
        <v>2029</v>
      </c>
      <c r="C23" s="137"/>
      <c r="D23" s="129"/>
      <c r="E23" s="129">
        <f t="shared" si="1"/>
        <v>31.34</v>
      </c>
      <c r="F23" s="129"/>
      <c r="G23" s="131"/>
      <c r="H23" s="129">
        <f t="shared" si="2"/>
        <v>0</v>
      </c>
      <c r="I23" s="131"/>
      <c r="J23" s="131"/>
      <c r="K23" s="129">
        <f t="shared" si="3"/>
        <v>31.34</v>
      </c>
      <c r="L23" s="120"/>
      <c r="N23" s="118"/>
      <c r="R23" s="161"/>
      <c r="S23" s="120"/>
      <c r="T23" s="165"/>
      <c r="U23" s="161"/>
      <c r="V23" s="161"/>
      <c r="W23" s="120"/>
      <c r="X23" s="161"/>
      <c r="Y23" s="161"/>
      <c r="Z23" s="161"/>
      <c r="AA23" s="120"/>
      <c r="AB23" s="120"/>
      <c r="AC23" s="120"/>
      <c r="AD23" s="120"/>
    </row>
    <row r="24" spans="2:30">
      <c r="B24" s="136">
        <f t="shared" si="0"/>
        <v>2030</v>
      </c>
      <c r="C24" s="349">
        <v>1208.8</v>
      </c>
      <c r="D24" s="129">
        <f>C24*$C$62</f>
        <v>81.594000000000008</v>
      </c>
      <c r="E24" s="129">
        <f t="shared" si="1"/>
        <v>32.03</v>
      </c>
      <c r="F24" s="129">
        <f>C60</f>
        <v>21.577297145999619</v>
      </c>
      <c r="G24" s="131">
        <f>(D24+E24+F24)/(8.76*$C$63)</f>
        <v>47.489040093431555</v>
      </c>
      <c r="H24" s="129">
        <f t="shared" si="2"/>
        <v>0</v>
      </c>
      <c r="I24" s="131">
        <f>(G24+H24)</f>
        <v>47.489040093431555</v>
      </c>
      <c r="J24" s="131">
        <f t="shared" ref="J24:J32" si="4">ROUND(I24*$C$63*8.76,2)</f>
        <v>135.19999999999999</v>
      </c>
      <c r="K24" s="129">
        <f t="shared" si="3"/>
        <v>135.20129714599963</v>
      </c>
      <c r="L24" s="120"/>
      <c r="N24" s="118"/>
      <c r="R24" s="161"/>
      <c r="S24" s="120"/>
      <c r="T24" s="165"/>
      <c r="U24" s="161"/>
      <c r="V24" s="161"/>
      <c r="W24" s="120"/>
      <c r="X24" s="161"/>
      <c r="Y24" s="161"/>
      <c r="Z24" s="161"/>
      <c r="AA24" s="120"/>
      <c r="AB24" s="120"/>
      <c r="AC24" s="120"/>
      <c r="AD24" s="120"/>
    </row>
    <row r="25" spans="2:30">
      <c r="B25" s="136">
        <f t="shared" si="0"/>
        <v>2031</v>
      </c>
      <c r="C25" s="137"/>
      <c r="D25" s="129">
        <f t="shared" ref="D25:F37" si="5">ROUND(D24*(1+(IFERROR(INDEX($D$66:$D$74,MATCH($B25,$C$66:$C$74,0),1),0)+IFERROR(INDEX($G$66:$G$74,MATCH($B25,$F$66:$F$74,0),1),0)+IFERROR(INDEX($J$66:$J$74,MATCH($B25,$I$66:$I$74,0),1),0))),2)</f>
        <v>83.39</v>
      </c>
      <c r="E25" s="129">
        <f t="shared" si="1"/>
        <v>32.729999999999997</v>
      </c>
      <c r="F25" s="129">
        <f t="shared" si="5"/>
        <v>22.05</v>
      </c>
      <c r="G25" s="131">
        <f t="shared" ref="G25:G37" si="6">(D25+E25+F25)/(8.76*$C$63)</f>
        <v>48.531787846856346</v>
      </c>
      <c r="H25" s="129">
        <f t="shared" si="2"/>
        <v>0</v>
      </c>
      <c r="I25" s="131">
        <f t="shared" ref="I25:I37" si="7">(G25+H25)</f>
        <v>48.531787846856346</v>
      </c>
      <c r="J25" s="131">
        <f t="shared" si="4"/>
        <v>138.16999999999999</v>
      </c>
      <c r="K25" s="129">
        <f t="shared" si="3"/>
        <v>138.17000000000002</v>
      </c>
      <c r="L25" s="120"/>
      <c r="N25" s="118"/>
      <c r="R25" s="161"/>
      <c r="S25" s="120"/>
      <c r="T25" s="165"/>
      <c r="U25" s="161"/>
      <c r="V25" s="161"/>
      <c r="W25" s="120"/>
      <c r="X25" s="161"/>
      <c r="Y25" s="161"/>
      <c r="Z25" s="161"/>
      <c r="AA25" s="120"/>
      <c r="AB25" s="120"/>
      <c r="AC25" s="120"/>
      <c r="AD25" s="120"/>
    </row>
    <row r="26" spans="2:30">
      <c r="B26" s="136">
        <f t="shared" si="0"/>
        <v>2032</v>
      </c>
      <c r="C26" s="137"/>
      <c r="D26" s="129">
        <f t="shared" si="5"/>
        <v>85.22</v>
      </c>
      <c r="E26" s="129">
        <f t="shared" si="1"/>
        <v>33.450000000000003</v>
      </c>
      <c r="F26" s="129">
        <f t="shared" si="5"/>
        <v>22.54</v>
      </c>
      <c r="G26" s="131">
        <f t="shared" si="6"/>
        <v>49.599578503688093</v>
      </c>
      <c r="H26" s="129">
        <f t="shared" si="2"/>
        <v>0</v>
      </c>
      <c r="I26" s="131">
        <f t="shared" si="7"/>
        <v>49.599578503688093</v>
      </c>
      <c r="J26" s="131">
        <f t="shared" si="4"/>
        <v>141.21</v>
      </c>
      <c r="K26" s="129">
        <f t="shared" si="3"/>
        <v>141.21</v>
      </c>
      <c r="L26" s="120"/>
      <c r="N26" s="118"/>
      <c r="R26" s="161"/>
      <c r="S26" s="120"/>
      <c r="T26" s="165"/>
      <c r="U26" s="161"/>
      <c r="V26" s="161"/>
      <c r="W26" s="120"/>
      <c r="X26" s="161"/>
      <c r="Y26" s="161"/>
      <c r="Z26" s="161"/>
      <c r="AA26" s="120"/>
      <c r="AB26" s="120"/>
      <c r="AC26" s="120"/>
      <c r="AD26" s="120"/>
    </row>
    <row r="27" spans="2:30">
      <c r="B27" s="136">
        <f t="shared" si="0"/>
        <v>2033</v>
      </c>
      <c r="C27" s="137"/>
      <c r="D27" s="129">
        <f t="shared" si="5"/>
        <v>87.01</v>
      </c>
      <c r="E27" s="129">
        <f t="shared" si="1"/>
        <v>34.15</v>
      </c>
      <c r="F27" s="129">
        <f t="shared" si="5"/>
        <v>23.01</v>
      </c>
      <c r="G27" s="131">
        <f t="shared" si="6"/>
        <v>50.639269406392692</v>
      </c>
      <c r="H27" s="129">
        <f t="shared" si="2"/>
        <v>0</v>
      </c>
      <c r="I27" s="131">
        <f t="shared" si="7"/>
        <v>50.639269406392692</v>
      </c>
      <c r="J27" s="131">
        <f t="shared" si="4"/>
        <v>144.16999999999999</v>
      </c>
      <c r="K27" s="129">
        <f t="shared" si="3"/>
        <v>144.16999999999999</v>
      </c>
      <c r="L27" s="120"/>
      <c r="N27" s="118"/>
      <c r="R27" s="161"/>
      <c r="S27" s="120"/>
      <c r="T27" s="165"/>
      <c r="U27" s="161"/>
      <c r="V27" s="161"/>
      <c r="W27" s="120"/>
      <c r="X27" s="161"/>
      <c r="Y27" s="161"/>
      <c r="Z27" s="161"/>
      <c r="AA27" s="120"/>
      <c r="AB27" s="120"/>
      <c r="AC27" s="120"/>
      <c r="AD27" s="120"/>
    </row>
    <row r="28" spans="2:30">
      <c r="B28" s="136">
        <f t="shared" si="0"/>
        <v>2034</v>
      </c>
      <c r="C28" s="137"/>
      <c r="D28" s="129">
        <f t="shared" si="5"/>
        <v>88.84</v>
      </c>
      <c r="E28" s="129">
        <f t="shared" si="1"/>
        <v>34.869999999999997</v>
      </c>
      <c r="F28" s="129">
        <f t="shared" si="5"/>
        <v>23.49</v>
      </c>
      <c r="G28" s="131">
        <f t="shared" si="6"/>
        <v>51.703547593958561</v>
      </c>
      <c r="H28" s="129">
        <f t="shared" si="2"/>
        <v>0</v>
      </c>
      <c r="I28" s="131">
        <f t="shared" si="7"/>
        <v>51.703547593958561</v>
      </c>
      <c r="J28" s="131">
        <f t="shared" si="4"/>
        <v>147.19999999999999</v>
      </c>
      <c r="K28" s="129">
        <f t="shared" si="3"/>
        <v>147.20000000000002</v>
      </c>
      <c r="L28" s="120"/>
      <c r="N28" s="118"/>
      <c r="R28" s="161"/>
      <c r="S28" s="120"/>
      <c r="T28" s="165"/>
      <c r="U28" s="161"/>
      <c r="V28" s="161"/>
      <c r="W28" s="120"/>
      <c r="X28" s="161"/>
      <c r="Y28" s="161"/>
      <c r="Z28" s="161"/>
      <c r="AA28" s="120"/>
      <c r="AB28" s="120"/>
      <c r="AC28" s="120"/>
      <c r="AD28" s="120"/>
    </row>
    <row r="29" spans="2:30">
      <c r="B29" s="136">
        <f t="shared" si="0"/>
        <v>2035</v>
      </c>
      <c r="C29" s="137"/>
      <c r="D29" s="129">
        <f t="shared" si="5"/>
        <v>90.71</v>
      </c>
      <c r="E29" s="129">
        <f t="shared" si="1"/>
        <v>35.6</v>
      </c>
      <c r="F29" s="129">
        <f t="shared" si="5"/>
        <v>23.98</v>
      </c>
      <c r="G29" s="131">
        <f t="shared" si="6"/>
        <v>52.78890059711977</v>
      </c>
      <c r="H29" s="129">
        <f t="shared" si="2"/>
        <v>0</v>
      </c>
      <c r="I29" s="131">
        <f t="shared" si="7"/>
        <v>52.78890059711977</v>
      </c>
      <c r="J29" s="131">
        <f t="shared" si="4"/>
        <v>150.29</v>
      </c>
      <c r="K29" s="129">
        <f t="shared" si="3"/>
        <v>150.29</v>
      </c>
      <c r="L29" s="120"/>
      <c r="N29" s="118"/>
      <c r="R29" s="161"/>
      <c r="S29" s="120"/>
      <c r="T29" s="165"/>
      <c r="U29" s="161"/>
      <c r="V29" s="161"/>
      <c r="W29" s="120"/>
      <c r="X29" s="161"/>
      <c r="Y29" s="161"/>
      <c r="Z29" s="161"/>
      <c r="AA29" s="120"/>
      <c r="AB29" s="120"/>
      <c r="AC29" s="120"/>
      <c r="AD29" s="120"/>
    </row>
    <row r="30" spans="2:30">
      <c r="B30" s="136">
        <f t="shared" si="0"/>
        <v>2036</v>
      </c>
      <c r="C30" s="137"/>
      <c r="D30" s="129">
        <f t="shared" si="5"/>
        <v>92.61</v>
      </c>
      <c r="E30" s="129">
        <f t="shared" si="1"/>
        <v>36.35</v>
      </c>
      <c r="F30" s="129">
        <f t="shared" si="5"/>
        <v>24.48</v>
      </c>
      <c r="G30" s="131">
        <f t="shared" si="6"/>
        <v>53.895328415876364</v>
      </c>
      <c r="H30" s="129">
        <f t="shared" si="2"/>
        <v>0</v>
      </c>
      <c r="I30" s="131">
        <f t="shared" si="7"/>
        <v>53.895328415876364</v>
      </c>
      <c r="J30" s="131">
        <f t="shared" si="4"/>
        <v>153.44</v>
      </c>
      <c r="K30" s="129">
        <f t="shared" si="3"/>
        <v>153.44</v>
      </c>
      <c r="L30" s="120"/>
      <c r="N30" s="118"/>
      <c r="R30" s="161"/>
      <c r="S30" s="120"/>
      <c r="T30" s="165"/>
      <c r="U30" s="161"/>
      <c r="V30" s="161"/>
      <c r="W30" s="120"/>
      <c r="X30" s="161"/>
      <c r="Y30" s="161"/>
      <c r="Z30" s="161"/>
      <c r="AA30" s="120"/>
      <c r="AB30" s="120"/>
      <c r="AC30" s="120"/>
      <c r="AD30" s="120"/>
    </row>
    <row r="31" spans="2:30">
      <c r="B31" s="136">
        <f t="shared" si="0"/>
        <v>2037</v>
      </c>
      <c r="C31" s="137"/>
      <c r="D31" s="129">
        <f t="shared" si="5"/>
        <v>94.55</v>
      </c>
      <c r="E31" s="129">
        <f t="shared" si="1"/>
        <v>37.11</v>
      </c>
      <c r="F31" s="129">
        <f t="shared" si="5"/>
        <v>24.99</v>
      </c>
      <c r="G31" s="131">
        <f t="shared" si="6"/>
        <v>55.022831050228312</v>
      </c>
      <c r="H31" s="129">
        <f t="shared" si="2"/>
        <v>0</v>
      </c>
      <c r="I31" s="131">
        <f t="shared" si="7"/>
        <v>55.022831050228312</v>
      </c>
      <c r="J31" s="131">
        <f t="shared" si="4"/>
        <v>156.65</v>
      </c>
      <c r="K31" s="129">
        <f t="shared" si="3"/>
        <v>156.65</v>
      </c>
      <c r="L31" s="120"/>
      <c r="N31" s="118"/>
      <c r="R31" s="161"/>
      <c r="S31" s="120"/>
      <c r="T31" s="165"/>
      <c r="U31" s="161"/>
      <c r="V31" s="161"/>
      <c r="W31" s="120"/>
      <c r="X31" s="161"/>
      <c r="Y31" s="161"/>
      <c r="Z31" s="161"/>
      <c r="AA31" s="120"/>
      <c r="AB31" s="120"/>
      <c r="AC31" s="120"/>
      <c r="AD31" s="120"/>
    </row>
    <row r="32" spans="2:30">
      <c r="B32" s="136">
        <f t="shared" si="0"/>
        <v>2038</v>
      </c>
      <c r="C32" s="137"/>
      <c r="D32" s="129">
        <f t="shared" si="5"/>
        <v>96.54</v>
      </c>
      <c r="E32" s="129">
        <f t="shared" si="1"/>
        <v>37.89</v>
      </c>
      <c r="F32" s="129">
        <f t="shared" si="5"/>
        <v>25.51</v>
      </c>
      <c r="G32" s="131">
        <f t="shared" si="6"/>
        <v>56.178433438707408</v>
      </c>
      <c r="H32" s="129">
        <f t="shared" si="2"/>
        <v>0</v>
      </c>
      <c r="I32" s="131">
        <f t="shared" si="7"/>
        <v>56.178433438707408</v>
      </c>
      <c r="J32" s="131">
        <f t="shared" si="4"/>
        <v>159.94</v>
      </c>
      <c r="K32" s="129">
        <f t="shared" si="3"/>
        <v>159.94</v>
      </c>
      <c r="L32" s="120"/>
      <c r="N32" s="118"/>
      <c r="R32" s="161"/>
      <c r="S32" s="120"/>
      <c r="T32" s="165"/>
      <c r="U32" s="161"/>
      <c r="V32" s="161"/>
      <c r="W32" s="120"/>
      <c r="X32" s="161"/>
      <c r="Y32" s="161"/>
      <c r="Z32" s="161"/>
      <c r="AA32" s="120"/>
      <c r="AB32" s="120"/>
      <c r="AC32" s="120"/>
      <c r="AD32" s="120"/>
    </row>
    <row r="33" spans="2:30">
      <c r="B33" s="136">
        <f t="shared" si="0"/>
        <v>2039</v>
      </c>
      <c r="C33" s="137"/>
      <c r="D33" s="129">
        <f t="shared" si="5"/>
        <v>98.57</v>
      </c>
      <c r="E33" s="129">
        <f t="shared" si="1"/>
        <v>38.69</v>
      </c>
      <c r="F33" s="129">
        <f t="shared" si="5"/>
        <v>26.05</v>
      </c>
      <c r="G33" s="131">
        <f t="shared" si="6"/>
        <v>57.362135581313666</v>
      </c>
      <c r="H33" s="129">
        <f t="shared" si="2"/>
        <v>0</v>
      </c>
      <c r="I33" s="131">
        <f t="shared" si="7"/>
        <v>57.362135581313666</v>
      </c>
      <c r="J33" s="131">
        <f t="shared" ref="J33:J37" si="8">ROUND(I33*$C$63*8.76,2)</f>
        <v>163.31</v>
      </c>
      <c r="K33" s="129">
        <f t="shared" si="3"/>
        <v>163.31</v>
      </c>
      <c r="L33" s="120"/>
      <c r="N33" s="118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</row>
    <row r="34" spans="2:30">
      <c r="B34" s="136">
        <f t="shared" si="0"/>
        <v>2040</v>
      </c>
      <c r="C34" s="137"/>
      <c r="D34" s="129">
        <f t="shared" si="5"/>
        <v>100.64</v>
      </c>
      <c r="E34" s="129">
        <f t="shared" si="1"/>
        <v>39.5</v>
      </c>
      <c r="F34" s="129">
        <f t="shared" si="5"/>
        <v>26.6</v>
      </c>
      <c r="G34" s="131">
        <f t="shared" si="6"/>
        <v>58.566912539515272</v>
      </c>
      <c r="H34" s="129">
        <f t="shared" si="2"/>
        <v>0</v>
      </c>
      <c r="I34" s="131">
        <f t="shared" si="7"/>
        <v>58.566912539515272</v>
      </c>
      <c r="J34" s="131">
        <f t="shared" si="8"/>
        <v>166.74</v>
      </c>
      <c r="K34" s="129">
        <f t="shared" si="3"/>
        <v>166.73999999999998</v>
      </c>
      <c r="L34" s="120"/>
      <c r="N34" s="118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</row>
    <row r="35" spans="2:30">
      <c r="B35" s="136">
        <f t="shared" si="0"/>
        <v>2041</v>
      </c>
      <c r="C35" s="137"/>
      <c r="D35" s="129">
        <f t="shared" si="5"/>
        <v>102.75</v>
      </c>
      <c r="E35" s="129">
        <f t="shared" si="1"/>
        <v>40.33</v>
      </c>
      <c r="F35" s="129">
        <f t="shared" si="5"/>
        <v>27.16</v>
      </c>
      <c r="G35" s="131">
        <f t="shared" si="6"/>
        <v>59.796276782578147</v>
      </c>
      <c r="H35" s="129">
        <f t="shared" si="2"/>
        <v>0</v>
      </c>
      <c r="I35" s="131">
        <f t="shared" si="7"/>
        <v>59.796276782578147</v>
      </c>
      <c r="J35" s="131">
        <f t="shared" si="8"/>
        <v>170.24</v>
      </c>
      <c r="K35" s="129">
        <f t="shared" si="3"/>
        <v>170.23999999999998</v>
      </c>
      <c r="L35" s="120"/>
      <c r="N35" s="118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</row>
    <row r="36" spans="2:30">
      <c r="B36" s="136">
        <f t="shared" si="0"/>
        <v>2042</v>
      </c>
      <c r="C36" s="137"/>
      <c r="D36" s="129">
        <f t="shared" si="5"/>
        <v>104.91</v>
      </c>
      <c r="E36" s="129">
        <f t="shared" si="1"/>
        <v>41.18</v>
      </c>
      <c r="F36" s="129">
        <f t="shared" si="5"/>
        <v>27.73</v>
      </c>
      <c r="G36" s="131">
        <f t="shared" si="6"/>
        <v>61.053740779768177</v>
      </c>
      <c r="H36" s="129">
        <f t="shared" si="2"/>
        <v>0</v>
      </c>
      <c r="I36" s="131">
        <f t="shared" si="7"/>
        <v>61.053740779768177</v>
      </c>
      <c r="J36" s="131">
        <f t="shared" si="8"/>
        <v>173.82</v>
      </c>
      <c r="K36" s="129">
        <f t="shared" si="3"/>
        <v>173.82</v>
      </c>
      <c r="L36" s="120"/>
      <c r="N36" s="118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</row>
    <row r="37" spans="2:30">
      <c r="B37" s="136">
        <f t="shared" si="0"/>
        <v>2043</v>
      </c>
      <c r="C37" s="132"/>
      <c r="D37" s="129">
        <f t="shared" si="5"/>
        <v>107.11</v>
      </c>
      <c r="E37" s="129">
        <f t="shared" si="1"/>
        <v>42.04</v>
      </c>
      <c r="F37" s="129">
        <f t="shared" si="5"/>
        <v>28.31</v>
      </c>
      <c r="G37" s="131">
        <f t="shared" si="6"/>
        <v>62.332279592553569</v>
      </c>
      <c r="H37" s="129">
        <f t="shared" si="2"/>
        <v>0</v>
      </c>
      <c r="I37" s="131">
        <f t="shared" si="7"/>
        <v>62.332279592553569</v>
      </c>
      <c r="J37" s="131">
        <f t="shared" si="8"/>
        <v>177.46</v>
      </c>
      <c r="K37" s="129">
        <f t="shared" si="3"/>
        <v>177.46</v>
      </c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</row>
    <row r="38" spans="2:30">
      <c r="B38" s="127"/>
      <c r="C38" s="132"/>
      <c r="D38" s="129"/>
      <c r="E38" s="129"/>
      <c r="F38" s="130"/>
      <c r="G38" s="129"/>
      <c r="H38" s="129"/>
      <c r="I38" s="131"/>
      <c r="J38" s="131"/>
      <c r="K38" s="138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</row>
    <row r="39" spans="2:30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</row>
    <row r="40" spans="2:30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</row>
    <row r="41" spans="2:30"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</row>
    <row r="42" spans="2:30" ht="14.25">
      <c r="B42" s="139" t="s">
        <v>25</v>
      </c>
      <c r="C42" s="140"/>
      <c r="D42" s="140"/>
      <c r="E42" s="140"/>
      <c r="F42" s="140"/>
      <c r="G42" s="140"/>
      <c r="H42" s="14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</row>
    <row r="43" spans="2:30"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</row>
    <row r="44" spans="2:30">
      <c r="B44" s="118" t="s">
        <v>63</v>
      </c>
      <c r="C44" s="141" t="s">
        <v>64</v>
      </c>
      <c r="D44" s="142" t="s">
        <v>102</v>
      </c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</row>
    <row r="45" spans="2:30">
      <c r="C45" s="141" t="str">
        <f>C7</f>
        <v>(a)</v>
      </c>
      <c r="D45" s="118" t="s">
        <v>65</v>
      </c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</row>
    <row r="46" spans="2:30">
      <c r="C46" s="141" t="str">
        <f>D7</f>
        <v>(b)</v>
      </c>
      <c r="D46" s="131" t="str">
        <f>"= "&amp;C7&amp;" x "&amp;C62</f>
        <v>= (a) x 0.0675</v>
      </c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</row>
    <row r="47" spans="2:30">
      <c r="C47" s="141" t="str">
        <f>G7</f>
        <v>(e)</v>
      </c>
      <c r="D47" s="131" t="str">
        <f>"= ("&amp;$D$7&amp;" + "&amp;$E$7&amp;") /  (8.76 x "&amp;TEXT(C63,"0.0%")&amp;")"</f>
        <v>= ((b) + (c)) /  (8.76 x 32.5%)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</row>
    <row r="48" spans="2:30">
      <c r="C48" s="141" t="str">
        <f>I7</f>
        <v>(g)</v>
      </c>
      <c r="D48" s="131" t="str">
        <f>"= "&amp;$G$7&amp;" + "&amp;$H$7</f>
        <v>= (e) + (f)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103</v>
      </c>
      <c r="Q54" s="276">
        <v>2030</v>
      </c>
    </row>
    <row r="55" spans="2:25">
      <c r="B55" s="85" t="s">
        <v>101</v>
      </c>
      <c r="C55" s="171">
        <v>1611.5125096665929</v>
      </c>
      <c r="D55" s="118" t="s">
        <v>65</v>
      </c>
      <c r="O55" s="280">
        <v>500</v>
      </c>
      <c r="P55" s="118" t="s">
        <v>32</v>
      </c>
      <c r="Q55" s="276" t="s">
        <v>174</v>
      </c>
      <c r="R55" s="276" t="s">
        <v>175</v>
      </c>
      <c r="T55" s="276" t="str">
        <f>$Q$55&amp;"Proposed Station Capital Costs"</f>
        <v>L_.US4_PVSProposed Station Capital Costs</v>
      </c>
    </row>
    <row r="56" spans="2:25">
      <c r="B56" s="85" t="s">
        <v>101</v>
      </c>
      <c r="C56" s="270">
        <v>24.570618817436728</v>
      </c>
      <c r="D56" s="118" t="s">
        <v>68</v>
      </c>
      <c r="R56" s="120"/>
      <c r="T56" s="276" t="str">
        <f>$Q$55&amp;"Proposed Station Fixed Costs"</f>
        <v>L_.US4_PVSProposed Station Fixed Costs</v>
      </c>
    </row>
    <row r="57" spans="2:25" ht="24" customHeight="1">
      <c r="B57" s="85"/>
      <c r="C57" s="272"/>
      <c r="D57" s="118" t="s">
        <v>105</v>
      </c>
      <c r="Q57" s="215" t="str">
        <f>Q55&amp;Q54</f>
        <v>L_.US4_PVS2030</v>
      </c>
      <c r="T57" s="276" t="str">
        <f>$Q$55&amp;"Proposed Station Variable O&amp;M Costs"</f>
        <v>L_.US4_PVSProposed Station Variable O&amp;M Costs</v>
      </c>
    </row>
    <row r="58" spans="2:25">
      <c r="B58" s="85" t="s">
        <v>101</v>
      </c>
      <c r="C58" s="270">
        <v>0</v>
      </c>
      <c r="D58" s="118" t="s">
        <v>69</v>
      </c>
      <c r="K58" s="120"/>
      <c r="L58" s="150"/>
      <c r="M58" s="52"/>
      <c r="N58" s="164"/>
      <c r="O58" s="52"/>
      <c r="P58" s="52"/>
      <c r="Q58" s="120" t="s">
        <v>269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70</v>
      </c>
      <c r="I59" s="198" t="s">
        <v>91</v>
      </c>
      <c r="L59" s="152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71" t="str">
        <f>LEFT(RIGHT(INDEX('Table 3 TransCost'!$39:$39,1,MATCH(F60,'Table 3 TransCost'!$4:$4,0)),6),5)</f>
        <v>2030$</v>
      </c>
      <c r="C60" s="272">
        <f>INDEX('Table 3 TransCost'!$39:$39,1,MATCH(F60,'Table 3 TransCost'!$4:$4,0)+2)</f>
        <v>21.577297145999619</v>
      </c>
      <c r="D60" s="118" t="s">
        <v>218</v>
      </c>
      <c r="F60" s="276" t="s">
        <v>222</v>
      </c>
      <c r="K60" s="152"/>
      <c r="L60" s="152"/>
      <c r="M60" s="152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1"/>
      <c r="K61" s="152"/>
      <c r="L61" s="152"/>
      <c r="M61" s="152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5">
      <c r="C62" s="271">
        <v>6.7500000000000004E-2</v>
      </c>
      <c r="D62" s="118" t="s">
        <v>36</v>
      </c>
      <c r="E62" s="118" t="s">
        <v>109</v>
      </c>
      <c r="K62" s="156"/>
      <c r="L62" s="157"/>
      <c r="M62" s="157"/>
      <c r="O62" s="158"/>
    </row>
    <row r="63" spans="2:25">
      <c r="C63" s="209">
        <v>0.32500000000000001</v>
      </c>
      <c r="D63" s="118" t="s">
        <v>37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20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5"/>
    </row>
    <row r="73" spans="3:14" s="120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5"/>
    </row>
    <row r="74" spans="3:14" s="120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20" sqref="K20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0.6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4" width="9.33203125" style="118"/>
    <col min="25" max="25" width="12" style="118" bestFit="1" customWidth="1"/>
    <col min="26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32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32" ht="15.75">
      <c r="B2" s="116" t="s">
        <v>147</v>
      </c>
      <c r="C2" s="117"/>
      <c r="D2" s="117"/>
      <c r="E2" s="117"/>
      <c r="F2" s="117"/>
      <c r="G2" s="117"/>
      <c r="H2" s="117"/>
      <c r="I2" s="117"/>
      <c r="J2" s="117"/>
      <c r="R2" s="120"/>
      <c r="S2" s="120"/>
      <c r="T2" s="120"/>
      <c r="U2" s="120"/>
      <c r="V2" s="120"/>
      <c r="W2" s="120"/>
      <c r="X2" s="120"/>
      <c r="Y2" s="120"/>
    </row>
    <row r="3" spans="2:32" ht="15.75">
      <c r="B3" s="116" t="str">
        <f>TEXT($C$63,"0%")&amp;" Capacity Factor"</f>
        <v>30% Capacity Factor</v>
      </c>
      <c r="C3" s="117"/>
      <c r="D3" s="117"/>
      <c r="E3" s="117"/>
      <c r="F3" s="117"/>
      <c r="G3" s="117"/>
      <c r="H3" s="117"/>
      <c r="I3" s="117"/>
      <c r="J3" s="117"/>
      <c r="R3" s="120"/>
      <c r="S3" s="120"/>
      <c r="T3" s="120"/>
      <c r="U3" s="120"/>
      <c r="V3" s="120"/>
      <c r="W3" s="120"/>
      <c r="X3" s="120"/>
      <c r="Y3" s="120"/>
    </row>
    <row r="4" spans="2:32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  <c r="S4" s="120"/>
      <c r="T4" s="120"/>
      <c r="U4" s="120"/>
      <c r="V4" s="120"/>
      <c r="W4" s="120"/>
      <c r="X4" s="120"/>
      <c r="Y4" s="120"/>
    </row>
    <row r="5" spans="2:32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R5" s="277"/>
      <c r="S5" s="120"/>
      <c r="T5" s="120"/>
      <c r="U5" s="120"/>
      <c r="V5" s="120"/>
      <c r="W5" s="120"/>
      <c r="X5" s="120"/>
      <c r="Y5" s="383"/>
      <c r="Z5" s="215"/>
    </row>
    <row r="6" spans="2:32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R6" s="278"/>
      <c r="S6" s="120"/>
      <c r="T6" s="120"/>
      <c r="U6" s="120"/>
      <c r="V6" s="120"/>
      <c r="W6" s="120"/>
      <c r="X6" s="120"/>
      <c r="Y6" s="120"/>
    </row>
    <row r="7" spans="2:32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R7" s="120"/>
      <c r="S7" s="120"/>
      <c r="T7" s="120"/>
      <c r="U7" s="120"/>
      <c r="V7" s="120"/>
      <c r="W7" s="120"/>
      <c r="X7" s="120"/>
      <c r="Y7" s="120"/>
    </row>
    <row r="8" spans="2:32" ht="6" customHeight="1">
      <c r="K8" s="120"/>
      <c r="R8" s="120"/>
      <c r="S8" s="120"/>
      <c r="T8" s="120"/>
      <c r="U8" s="120"/>
      <c r="V8" s="120"/>
      <c r="W8" s="120"/>
      <c r="X8" s="120"/>
      <c r="Y8" s="120"/>
    </row>
    <row r="9" spans="2:32" ht="15.75">
      <c r="B9" s="43" t="str">
        <f>C52</f>
        <v>2019 IRP Jim Bridger Solar with Storage - 30%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</row>
    <row r="10" spans="2:32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32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32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W12" s="280"/>
      <c r="Y12" s="154"/>
      <c r="Z12" s="154"/>
      <c r="AF12" s="154"/>
    </row>
    <row r="13" spans="2:32">
      <c r="B13" s="136">
        <f t="shared" si="0"/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25.01</v>
      </c>
      <c r="L13" s="120"/>
      <c r="N13" s="118"/>
      <c r="R13" s="120"/>
      <c r="V13" s="154"/>
      <c r="Y13" s="154"/>
      <c r="Z13" s="154"/>
      <c r="AF13" s="154"/>
    </row>
    <row r="14" spans="2:32">
      <c r="B14" s="136">
        <f t="shared" si="0"/>
        <v>2020</v>
      </c>
      <c r="C14" s="137"/>
      <c r="D14" s="129"/>
      <c r="E14" s="129">
        <f t="shared" si="1"/>
        <v>25.49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25.49</v>
      </c>
      <c r="L14" s="120"/>
      <c r="N14" s="118"/>
      <c r="O14" s="133"/>
      <c r="P14" s="134"/>
      <c r="Q14" s="135"/>
      <c r="R14" s="120"/>
      <c r="V14" s="154"/>
      <c r="Y14" s="154"/>
      <c r="Z14" s="154"/>
      <c r="AF14" s="154"/>
    </row>
    <row r="15" spans="2:32">
      <c r="B15" s="136">
        <f t="shared" si="0"/>
        <v>2021</v>
      </c>
      <c r="C15" s="137"/>
      <c r="D15" s="129"/>
      <c r="E15" s="129">
        <f t="shared" si="1"/>
        <v>26</v>
      </c>
      <c r="F15" s="129"/>
      <c r="G15" s="131"/>
      <c r="H15" s="129">
        <f t="shared" si="2"/>
        <v>0</v>
      </c>
      <c r="I15" s="131"/>
      <c r="J15" s="131"/>
      <c r="K15" s="129">
        <f t="shared" si="3"/>
        <v>26</v>
      </c>
      <c r="L15" s="120"/>
      <c r="N15" s="118"/>
      <c r="O15" s="273"/>
      <c r="P15" s="134"/>
      <c r="Q15" s="135"/>
      <c r="R15" s="120"/>
      <c r="V15" s="154"/>
      <c r="Y15" s="154"/>
      <c r="Z15" s="154"/>
      <c r="AF15" s="154"/>
    </row>
    <row r="16" spans="2:32">
      <c r="B16" s="136">
        <f t="shared" si="0"/>
        <v>2022</v>
      </c>
      <c r="C16" s="137"/>
      <c r="D16" s="129"/>
      <c r="E16" s="129">
        <f t="shared" si="1"/>
        <v>26.65</v>
      </c>
      <c r="F16" s="129"/>
      <c r="G16" s="131"/>
      <c r="H16" s="129">
        <f t="shared" si="2"/>
        <v>0</v>
      </c>
      <c r="I16" s="131"/>
      <c r="J16" s="131"/>
      <c r="K16" s="129">
        <f t="shared" si="3"/>
        <v>26.65</v>
      </c>
      <c r="L16" s="120"/>
      <c r="N16" s="118"/>
      <c r="O16" s="350"/>
      <c r="R16" s="120"/>
      <c r="V16" s="154"/>
      <c r="Y16" s="154"/>
      <c r="Z16" s="154"/>
      <c r="AF16" s="154"/>
    </row>
    <row r="17" spans="2:32">
      <c r="B17" s="136">
        <f t="shared" si="0"/>
        <v>2023</v>
      </c>
      <c r="C17" s="137"/>
      <c r="D17" s="129"/>
      <c r="E17" s="129">
        <f t="shared" si="1"/>
        <v>27.32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27.32</v>
      </c>
      <c r="L17" s="120"/>
      <c r="N17" s="118"/>
      <c r="O17" s="199"/>
      <c r="R17" s="120"/>
      <c r="V17" s="154"/>
      <c r="Y17" s="154"/>
      <c r="Z17" s="154"/>
      <c r="AF17" s="154"/>
    </row>
    <row r="18" spans="2:32">
      <c r="B18" s="136">
        <f t="shared" si="0"/>
        <v>2024</v>
      </c>
      <c r="C18" s="349">
        <v>1227.9632768361582</v>
      </c>
      <c r="D18" s="129">
        <f>C18*$C$62</f>
        <v>62.441932627118646</v>
      </c>
      <c r="E18" s="129">
        <f t="shared" si="1"/>
        <v>27.98</v>
      </c>
      <c r="F18" s="129">
        <f>C60</f>
        <v>0</v>
      </c>
      <c r="G18" s="131">
        <f>(D18+E18+F18)/(8.76*$C$63)</f>
        <v>34.292818696854724</v>
      </c>
      <c r="H18" s="129">
        <f t="shared" si="2"/>
        <v>0</v>
      </c>
      <c r="I18" s="131">
        <f>(G18+H18)</f>
        <v>34.292818696854724</v>
      </c>
      <c r="J18" s="131">
        <f t="shared" ref="J18:J32" si="4">ROUND(I18*$C$63*8.76,2)</f>
        <v>90.42</v>
      </c>
      <c r="K18" s="129">
        <f t="shared" si="3"/>
        <v>90.42193262711865</v>
      </c>
      <c r="L18" s="120"/>
      <c r="N18" s="118"/>
      <c r="O18" s="351"/>
      <c r="Q18" s="154"/>
      <c r="R18" s="120"/>
      <c r="T18" s="162"/>
      <c r="U18" s="154"/>
      <c r="V18" s="154"/>
      <c r="W18" s="154"/>
      <c r="X18" s="154"/>
      <c r="Y18" s="154"/>
      <c r="Z18" s="154"/>
      <c r="AA18" s="282"/>
      <c r="AB18" s="281"/>
      <c r="AF18" s="154"/>
    </row>
    <row r="19" spans="2:32">
      <c r="B19" s="136">
        <f t="shared" si="0"/>
        <v>2025</v>
      </c>
      <c r="C19" s="137"/>
      <c r="D19" s="129">
        <f t="shared" ref="D19:F37" si="5">ROUND(D18*(1+(IFERROR(INDEX($D$66:$D$74,MATCH($B19,$C$66:$C$74,0),1),0)+IFERROR(INDEX($G$66:$G$74,MATCH($B19,$F$66:$F$74,0),1),0)+IFERROR(INDEX($J$66:$J$74,MATCH($B19,$I$66:$I$74,0),1),0))),2)</f>
        <v>63.88</v>
      </c>
      <c r="E19" s="129">
        <f t="shared" si="1"/>
        <v>28.62</v>
      </c>
      <c r="F19" s="129">
        <f t="shared" si="5"/>
        <v>0</v>
      </c>
      <c r="G19" s="131">
        <f t="shared" ref="G19:G37" si="6">(D19+E19+F19)/(8.76*$C$63)</f>
        <v>35.080932659779428</v>
      </c>
      <c r="H19" s="129">
        <f t="shared" si="2"/>
        <v>0</v>
      </c>
      <c r="I19" s="131">
        <f t="shared" ref="I19:I37" si="7">(G19+H19)</f>
        <v>35.080932659779428</v>
      </c>
      <c r="J19" s="131">
        <f t="shared" si="4"/>
        <v>92.5</v>
      </c>
      <c r="K19" s="129">
        <f t="shared" si="3"/>
        <v>92.5</v>
      </c>
      <c r="L19" s="120"/>
      <c r="N19" s="118"/>
      <c r="R19" s="120"/>
      <c r="T19" s="162"/>
      <c r="U19" s="154"/>
      <c r="V19" s="154"/>
      <c r="W19" s="154"/>
      <c r="X19" s="154"/>
      <c r="Y19" s="154"/>
      <c r="Z19" s="154"/>
      <c r="AF19" s="154"/>
    </row>
    <row r="20" spans="2:32">
      <c r="B20" s="136">
        <f t="shared" si="0"/>
        <v>2026</v>
      </c>
      <c r="C20" s="137"/>
      <c r="D20" s="129">
        <f t="shared" si="5"/>
        <v>65.349999999999994</v>
      </c>
      <c r="E20" s="129">
        <f t="shared" si="1"/>
        <v>29.28</v>
      </c>
      <c r="F20" s="129">
        <f t="shared" si="5"/>
        <v>0</v>
      </c>
      <c r="G20" s="131">
        <f t="shared" si="6"/>
        <v>35.888742244269487</v>
      </c>
      <c r="H20" s="129">
        <f t="shared" si="2"/>
        <v>0</v>
      </c>
      <c r="I20" s="131">
        <f t="shared" si="7"/>
        <v>35.888742244269487</v>
      </c>
      <c r="J20" s="131">
        <f t="shared" si="4"/>
        <v>94.63</v>
      </c>
      <c r="K20" s="129">
        <f t="shared" si="3"/>
        <v>94.63</v>
      </c>
      <c r="L20" s="120"/>
      <c r="N20" s="118"/>
      <c r="R20" s="161"/>
      <c r="T20" s="162"/>
      <c r="U20" s="154"/>
      <c r="V20" s="154"/>
      <c r="W20" s="154"/>
      <c r="X20" s="154"/>
      <c r="Y20" s="154"/>
      <c r="Z20" s="154"/>
      <c r="AF20" s="154"/>
    </row>
    <row r="21" spans="2:32">
      <c r="B21" s="136">
        <f t="shared" si="0"/>
        <v>2027</v>
      </c>
      <c r="C21" s="137"/>
      <c r="D21" s="129">
        <f t="shared" si="5"/>
        <v>66.849999999999994</v>
      </c>
      <c r="E21" s="129">
        <f t="shared" si="1"/>
        <v>29.95</v>
      </c>
      <c r="F21" s="129">
        <f t="shared" si="5"/>
        <v>0</v>
      </c>
      <c r="G21" s="131">
        <f t="shared" si="6"/>
        <v>36.711721961801608</v>
      </c>
      <c r="H21" s="129">
        <f t="shared" si="2"/>
        <v>0</v>
      </c>
      <c r="I21" s="131">
        <f t="shared" si="7"/>
        <v>36.711721961801608</v>
      </c>
      <c r="J21" s="131">
        <f t="shared" si="4"/>
        <v>96.8</v>
      </c>
      <c r="K21" s="129">
        <f t="shared" si="3"/>
        <v>96.8</v>
      </c>
      <c r="L21" s="120"/>
      <c r="N21" s="118"/>
      <c r="R21" s="161"/>
      <c r="T21" s="162"/>
      <c r="U21" s="154"/>
      <c r="V21" s="154"/>
      <c r="W21" s="154"/>
      <c r="X21" s="154"/>
      <c r="Y21" s="154"/>
      <c r="Z21" s="154"/>
      <c r="AF21" s="154"/>
    </row>
    <row r="22" spans="2:32">
      <c r="B22" s="136">
        <f t="shared" si="0"/>
        <v>2028</v>
      </c>
      <c r="C22" s="137"/>
      <c r="D22" s="129">
        <f t="shared" si="5"/>
        <v>68.39</v>
      </c>
      <c r="E22" s="129">
        <f t="shared" si="1"/>
        <v>30.64</v>
      </c>
      <c r="F22" s="129">
        <f t="shared" si="5"/>
        <v>0</v>
      </c>
      <c r="G22" s="131">
        <f t="shared" si="6"/>
        <v>37.557456878896829</v>
      </c>
      <c r="H22" s="129">
        <f t="shared" si="2"/>
        <v>0</v>
      </c>
      <c r="I22" s="131">
        <f t="shared" si="7"/>
        <v>37.557456878896829</v>
      </c>
      <c r="J22" s="131">
        <f t="shared" si="4"/>
        <v>99.03</v>
      </c>
      <c r="K22" s="129">
        <f t="shared" si="3"/>
        <v>99.03</v>
      </c>
      <c r="L22" s="120"/>
      <c r="N22" s="118"/>
      <c r="R22" s="161"/>
      <c r="T22" s="162"/>
      <c r="U22" s="154"/>
      <c r="V22" s="154"/>
      <c r="W22" s="154"/>
      <c r="X22" s="154"/>
      <c r="Y22" s="154"/>
      <c r="Z22" s="154"/>
      <c r="AF22" s="154"/>
    </row>
    <row r="23" spans="2:32">
      <c r="B23" s="136">
        <f t="shared" si="0"/>
        <v>2029</v>
      </c>
      <c r="C23" s="137"/>
      <c r="D23" s="129">
        <f t="shared" si="5"/>
        <v>69.959999999999994</v>
      </c>
      <c r="E23" s="129">
        <f t="shared" si="1"/>
        <v>31.34</v>
      </c>
      <c r="F23" s="129">
        <f t="shared" si="5"/>
        <v>0</v>
      </c>
      <c r="G23" s="131">
        <f t="shared" si="6"/>
        <v>38.41836192903412</v>
      </c>
      <c r="H23" s="129">
        <f t="shared" si="2"/>
        <v>0</v>
      </c>
      <c r="I23" s="131">
        <f t="shared" si="7"/>
        <v>38.41836192903412</v>
      </c>
      <c r="J23" s="131">
        <f t="shared" si="4"/>
        <v>101.3</v>
      </c>
      <c r="K23" s="129">
        <f t="shared" si="3"/>
        <v>101.3</v>
      </c>
      <c r="L23" s="120"/>
      <c r="N23" s="118"/>
      <c r="R23" s="161"/>
      <c r="T23" s="162"/>
      <c r="U23" s="154"/>
      <c r="V23" s="154"/>
      <c r="W23" s="154"/>
      <c r="X23" s="154"/>
      <c r="Y23" s="154"/>
      <c r="Z23" s="154"/>
      <c r="AF23" s="154"/>
    </row>
    <row r="24" spans="2:32">
      <c r="B24" s="136">
        <f t="shared" si="0"/>
        <v>2030</v>
      </c>
      <c r="C24" s="137"/>
      <c r="D24" s="129">
        <f t="shared" si="5"/>
        <v>71.5</v>
      </c>
      <c r="E24" s="129">
        <f t="shared" si="1"/>
        <v>32.03</v>
      </c>
      <c r="F24" s="129">
        <f t="shared" si="5"/>
        <v>0</v>
      </c>
      <c r="G24" s="131">
        <f t="shared" si="6"/>
        <v>39.264096846129341</v>
      </c>
      <c r="H24" s="129">
        <f t="shared" si="2"/>
        <v>0</v>
      </c>
      <c r="I24" s="131">
        <f t="shared" si="7"/>
        <v>39.264096846129341</v>
      </c>
      <c r="J24" s="131">
        <f t="shared" si="4"/>
        <v>103.53</v>
      </c>
      <c r="K24" s="129">
        <f t="shared" si="3"/>
        <v>103.53</v>
      </c>
      <c r="L24" s="120"/>
      <c r="N24" s="118"/>
      <c r="R24" s="161"/>
      <c r="T24" s="162"/>
      <c r="U24" s="154"/>
      <c r="V24" s="154"/>
      <c r="W24" s="154"/>
      <c r="X24" s="154"/>
      <c r="Y24" s="154"/>
      <c r="Z24" s="154"/>
      <c r="AF24" s="154"/>
    </row>
    <row r="25" spans="2:32">
      <c r="B25" s="136">
        <f t="shared" si="0"/>
        <v>2031</v>
      </c>
      <c r="C25" s="137"/>
      <c r="D25" s="129">
        <f t="shared" si="5"/>
        <v>73.069999999999993</v>
      </c>
      <c r="E25" s="129">
        <f t="shared" si="1"/>
        <v>32.729999999999997</v>
      </c>
      <c r="F25" s="129">
        <f t="shared" si="5"/>
        <v>0</v>
      </c>
      <c r="G25" s="131">
        <f t="shared" si="6"/>
        <v>40.125001896266625</v>
      </c>
      <c r="H25" s="129">
        <f t="shared" si="2"/>
        <v>0</v>
      </c>
      <c r="I25" s="131">
        <f t="shared" si="7"/>
        <v>40.125001896266625</v>
      </c>
      <c r="J25" s="131">
        <f t="shared" si="4"/>
        <v>105.8</v>
      </c>
      <c r="K25" s="129">
        <f t="shared" si="3"/>
        <v>105.79999999999998</v>
      </c>
      <c r="L25" s="120"/>
      <c r="N25" s="118"/>
      <c r="R25" s="161"/>
      <c r="T25" s="162"/>
      <c r="U25" s="154"/>
      <c r="V25" s="154"/>
      <c r="W25" s="154"/>
      <c r="X25" s="154"/>
      <c r="Y25" s="154"/>
      <c r="Z25" s="154"/>
      <c r="AF25" s="154"/>
    </row>
    <row r="26" spans="2:32">
      <c r="B26" s="136">
        <f t="shared" si="0"/>
        <v>2032</v>
      </c>
      <c r="C26" s="137"/>
      <c r="D26" s="129">
        <f t="shared" si="5"/>
        <v>74.680000000000007</v>
      </c>
      <c r="E26" s="129">
        <f t="shared" si="1"/>
        <v>33.450000000000003</v>
      </c>
      <c r="F26" s="129">
        <f t="shared" si="5"/>
        <v>0</v>
      </c>
      <c r="G26" s="131">
        <f t="shared" si="6"/>
        <v>41.00866214596703</v>
      </c>
      <c r="H26" s="129">
        <f t="shared" si="2"/>
        <v>0</v>
      </c>
      <c r="I26" s="131">
        <f t="shared" si="7"/>
        <v>41.00866214596703</v>
      </c>
      <c r="J26" s="131">
        <f t="shared" si="4"/>
        <v>108.13</v>
      </c>
      <c r="K26" s="129">
        <f t="shared" si="3"/>
        <v>108.13000000000001</v>
      </c>
      <c r="L26" s="120"/>
      <c r="N26" s="118"/>
      <c r="R26" s="161"/>
      <c r="T26" s="162"/>
      <c r="U26" s="154"/>
      <c r="V26" s="154"/>
      <c r="W26" s="154"/>
      <c r="X26" s="154"/>
      <c r="Y26" s="154"/>
      <c r="Z26" s="154"/>
      <c r="AF26" s="154"/>
    </row>
    <row r="27" spans="2:32">
      <c r="B27" s="136">
        <f t="shared" si="0"/>
        <v>2033</v>
      </c>
      <c r="C27" s="137"/>
      <c r="D27" s="129">
        <f t="shared" si="5"/>
        <v>76.25</v>
      </c>
      <c r="E27" s="129">
        <f t="shared" si="1"/>
        <v>34.15</v>
      </c>
      <c r="F27" s="129">
        <f t="shared" si="5"/>
        <v>0</v>
      </c>
      <c r="G27" s="131">
        <f t="shared" si="6"/>
        <v>41.869567196104313</v>
      </c>
      <c r="H27" s="129">
        <f t="shared" si="2"/>
        <v>0</v>
      </c>
      <c r="I27" s="131">
        <f t="shared" si="7"/>
        <v>41.869567196104313</v>
      </c>
      <c r="J27" s="131">
        <f t="shared" si="4"/>
        <v>110.4</v>
      </c>
      <c r="K27" s="129">
        <f t="shared" si="3"/>
        <v>110.4</v>
      </c>
      <c r="L27" s="120"/>
      <c r="N27" s="118"/>
      <c r="R27" s="161"/>
      <c r="T27" s="162"/>
      <c r="U27" s="154"/>
      <c r="V27" s="154"/>
      <c r="W27" s="154"/>
      <c r="X27" s="154"/>
      <c r="Y27" s="154"/>
      <c r="Z27" s="154"/>
      <c r="AF27" s="154"/>
    </row>
    <row r="28" spans="2:32">
      <c r="B28" s="136">
        <f t="shared" si="0"/>
        <v>2034</v>
      </c>
      <c r="C28" s="137"/>
      <c r="D28" s="129">
        <f t="shared" si="5"/>
        <v>77.849999999999994</v>
      </c>
      <c r="E28" s="129">
        <f t="shared" si="1"/>
        <v>34.869999999999997</v>
      </c>
      <c r="F28" s="129">
        <f t="shared" si="5"/>
        <v>0</v>
      </c>
      <c r="G28" s="131">
        <f t="shared" si="6"/>
        <v>42.749434912544189</v>
      </c>
      <c r="H28" s="129">
        <f t="shared" si="2"/>
        <v>0</v>
      </c>
      <c r="I28" s="131">
        <f t="shared" si="7"/>
        <v>42.749434912544189</v>
      </c>
      <c r="J28" s="131">
        <f t="shared" si="4"/>
        <v>112.72</v>
      </c>
      <c r="K28" s="129">
        <f t="shared" si="3"/>
        <v>112.72</v>
      </c>
      <c r="L28" s="120"/>
      <c r="N28" s="118"/>
      <c r="R28" s="161"/>
      <c r="T28" s="162"/>
      <c r="U28" s="154"/>
      <c r="V28" s="154"/>
      <c r="W28" s="154"/>
      <c r="X28" s="154"/>
      <c r="Y28" s="154"/>
      <c r="Z28" s="154"/>
      <c r="AF28" s="154"/>
    </row>
    <row r="29" spans="2:32">
      <c r="B29" s="136">
        <f t="shared" si="0"/>
        <v>2035</v>
      </c>
      <c r="C29" s="137"/>
      <c r="D29" s="129">
        <f t="shared" si="5"/>
        <v>79.48</v>
      </c>
      <c r="E29" s="129">
        <f t="shared" si="1"/>
        <v>35.6</v>
      </c>
      <c r="F29" s="129">
        <f t="shared" si="5"/>
        <v>0</v>
      </c>
      <c r="G29" s="131">
        <f t="shared" si="6"/>
        <v>43.644472762026133</v>
      </c>
      <c r="H29" s="129">
        <f t="shared" si="2"/>
        <v>0</v>
      </c>
      <c r="I29" s="131">
        <f t="shared" si="7"/>
        <v>43.644472762026133</v>
      </c>
      <c r="J29" s="131">
        <f t="shared" si="4"/>
        <v>115.08</v>
      </c>
      <c r="K29" s="129">
        <f t="shared" si="3"/>
        <v>115.08000000000001</v>
      </c>
      <c r="L29" s="120"/>
      <c r="N29" s="118"/>
      <c r="R29" s="161"/>
      <c r="T29" s="162"/>
      <c r="U29" s="154"/>
      <c r="V29" s="154"/>
      <c r="W29" s="154"/>
      <c r="X29" s="154"/>
      <c r="Y29" s="154"/>
      <c r="Z29" s="154"/>
      <c r="AF29" s="154"/>
    </row>
    <row r="30" spans="2:32">
      <c r="B30" s="136">
        <f t="shared" si="0"/>
        <v>2036</v>
      </c>
      <c r="C30" s="137"/>
      <c r="D30" s="129">
        <f t="shared" si="5"/>
        <v>81.150000000000006</v>
      </c>
      <c r="E30" s="129">
        <f t="shared" si="1"/>
        <v>36.35</v>
      </c>
      <c r="F30" s="129">
        <f t="shared" si="5"/>
        <v>0</v>
      </c>
      <c r="G30" s="131">
        <f t="shared" si="6"/>
        <v>44.562265811071164</v>
      </c>
      <c r="H30" s="129">
        <f t="shared" si="2"/>
        <v>0</v>
      </c>
      <c r="I30" s="131">
        <f t="shared" si="7"/>
        <v>44.562265811071164</v>
      </c>
      <c r="J30" s="131">
        <f t="shared" si="4"/>
        <v>117.5</v>
      </c>
      <c r="K30" s="129">
        <f t="shared" si="3"/>
        <v>117.5</v>
      </c>
      <c r="L30" s="120"/>
      <c r="N30" s="118"/>
      <c r="R30" s="161"/>
      <c r="T30" s="162"/>
      <c r="U30" s="154"/>
      <c r="V30" s="154"/>
      <c r="W30" s="154"/>
      <c r="X30" s="154"/>
      <c r="Y30" s="154"/>
      <c r="Z30" s="154"/>
      <c r="AF30" s="154"/>
    </row>
    <row r="31" spans="2:32">
      <c r="B31" s="136">
        <f t="shared" si="0"/>
        <v>2037</v>
      </c>
      <c r="C31" s="137"/>
      <c r="D31" s="129">
        <f t="shared" si="5"/>
        <v>82.85</v>
      </c>
      <c r="E31" s="129">
        <f t="shared" si="1"/>
        <v>37.11</v>
      </c>
      <c r="F31" s="129">
        <f t="shared" si="5"/>
        <v>0</v>
      </c>
      <c r="G31" s="131">
        <f t="shared" si="6"/>
        <v>45.495228993158271</v>
      </c>
      <c r="H31" s="129">
        <f t="shared" si="2"/>
        <v>0</v>
      </c>
      <c r="I31" s="131">
        <f t="shared" si="7"/>
        <v>45.495228993158271</v>
      </c>
      <c r="J31" s="131">
        <f t="shared" si="4"/>
        <v>119.96</v>
      </c>
      <c r="K31" s="129">
        <f t="shared" si="3"/>
        <v>119.96</v>
      </c>
      <c r="L31" s="120"/>
      <c r="N31" s="118"/>
      <c r="R31" s="161"/>
      <c r="T31" s="162"/>
      <c r="U31" s="154"/>
      <c r="V31" s="154"/>
      <c r="W31" s="154"/>
      <c r="X31" s="154"/>
      <c r="Y31" s="154"/>
      <c r="Z31" s="154"/>
      <c r="AF31" s="154"/>
    </row>
    <row r="32" spans="2:32">
      <c r="B32" s="136">
        <f t="shared" si="0"/>
        <v>2038</v>
      </c>
      <c r="C32" s="137"/>
      <c r="D32" s="129">
        <f t="shared" si="5"/>
        <v>84.59</v>
      </c>
      <c r="E32" s="129">
        <f t="shared" si="1"/>
        <v>37.89</v>
      </c>
      <c r="F32" s="129">
        <f t="shared" si="5"/>
        <v>0</v>
      </c>
      <c r="G32" s="131">
        <f t="shared" si="6"/>
        <v>46.450947374808486</v>
      </c>
      <c r="H32" s="129">
        <f t="shared" si="2"/>
        <v>0</v>
      </c>
      <c r="I32" s="131">
        <f t="shared" si="7"/>
        <v>46.450947374808486</v>
      </c>
      <c r="J32" s="131">
        <f t="shared" si="4"/>
        <v>122.48</v>
      </c>
      <c r="K32" s="129">
        <f t="shared" si="3"/>
        <v>122.48</v>
      </c>
      <c r="L32" s="120"/>
      <c r="N32" s="118"/>
      <c r="R32" s="161"/>
      <c r="T32" s="162"/>
      <c r="U32" s="154"/>
      <c r="V32" s="154"/>
      <c r="W32" s="154"/>
      <c r="X32" s="154"/>
      <c r="Y32" s="154"/>
      <c r="Z32" s="154"/>
      <c r="AF32" s="154"/>
    </row>
    <row r="33" spans="2:32">
      <c r="B33" s="136">
        <f t="shared" si="0"/>
        <v>2039</v>
      </c>
      <c r="C33" s="137"/>
      <c r="D33" s="129">
        <f t="shared" si="5"/>
        <v>86.37</v>
      </c>
      <c r="E33" s="129">
        <f t="shared" si="1"/>
        <v>38.69</v>
      </c>
      <c r="F33" s="129">
        <f t="shared" si="5"/>
        <v>0</v>
      </c>
      <c r="G33" s="131">
        <f t="shared" si="6"/>
        <v>47.429420956021787</v>
      </c>
      <c r="H33" s="129">
        <f t="shared" si="2"/>
        <v>0</v>
      </c>
      <c r="I33" s="131">
        <f t="shared" si="7"/>
        <v>47.429420956021787</v>
      </c>
      <c r="J33" s="131">
        <f t="shared" ref="J33:J37" si="8">ROUND(I33*$C$63*8.76,2)</f>
        <v>125.06</v>
      </c>
      <c r="K33" s="129">
        <f t="shared" si="3"/>
        <v>125.06</v>
      </c>
      <c r="L33" s="120"/>
      <c r="N33" s="118"/>
      <c r="R33" s="161"/>
      <c r="T33" s="162"/>
      <c r="U33" s="154"/>
      <c r="V33" s="154"/>
      <c r="W33" s="154"/>
      <c r="X33" s="154"/>
      <c r="Y33" s="154"/>
      <c r="Z33" s="154"/>
      <c r="AF33" s="154"/>
    </row>
    <row r="34" spans="2:32">
      <c r="B34" s="136">
        <f t="shared" si="0"/>
        <v>2040</v>
      </c>
      <c r="C34" s="137"/>
      <c r="D34" s="129">
        <f t="shared" si="5"/>
        <v>88.18</v>
      </c>
      <c r="E34" s="129">
        <f t="shared" si="1"/>
        <v>39.5</v>
      </c>
      <c r="F34" s="129">
        <f t="shared" si="5"/>
        <v>0</v>
      </c>
      <c r="G34" s="131">
        <f t="shared" si="6"/>
        <v>48.423064670277164</v>
      </c>
      <c r="H34" s="129">
        <f t="shared" si="2"/>
        <v>0</v>
      </c>
      <c r="I34" s="131">
        <f t="shared" si="7"/>
        <v>48.423064670277164</v>
      </c>
      <c r="J34" s="131">
        <f t="shared" si="8"/>
        <v>127.68</v>
      </c>
      <c r="K34" s="129">
        <f t="shared" si="3"/>
        <v>127.68</v>
      </c>
      <c r="L34" s="120"/>
      <c r="N34" s="118"/>
      <c r="R34" s="161"/>
      <c r="T34" s="162"/>
      <c r="U34" s="154"/>
      <c r="V34" s="154"/>
      <c r="W34" s="154"/>
      <c r="X34" s="154"/>
      <c r="Y34" s="154"/>
      <c r="Z34" s="154"/>
      <c r="AF34" s="154"/>
    </row>
    <row r="35" spans="2:32">
      <c r="B35" s="136">
        <f t="shared" si="0"/>
        <v>2041</v>
      </c>
      <c r="C35" s="137"/>
      <c r="D35" s="129">
        <f t="shared" si="5"/>
        <v>90.03</v>
      </c>
      <c r="E35" s="129">
        <f t="shared" si="1"/>
        <v>40.33</v>
      </c>
      <c r="F35" s="129">
        <f t="shared" si="5"/>
        <v>0</v>
      </c>
      <c r="G35" s="131">
        <f t="shared" si="6"/>
        <v>49.439463584095641</v>
      </c>
      <c r="H35" s="129">
        <f t="shared" si="2"/>
        <v>0</v>
      </c>
      <c r="I35" s="131">
        <f t="shared" si="7"/>
        <v>49.439463584095641</v>
      </c>
      <c r="J35" s="131">
        <f t="shared" si="8"/>
        <v>130.36000000000001</v>
      </c>
      <c r="K35" s="129">
        <f t="shared" si="3"/>
        <v>130.36000000000001</v>
      </c>
      <c r="L35" s="120"/>
      <c r="N35" s="118"/>
      <c r="R35" s="161"/>
      <c r="T35" s="162"/>
      <c r="U35" s="154"/>
      <c r="V35" s="154"/>
      <c r="W35" s="154"/>
      <c r="X35" s="154"/>
      <c r="Y35" s="154"/>
      <c r="Z35" s="154"/>
      <c r="AF35" s="154"/>
    </row>
    <row r="36" spans="2:32">
      <c r="B36" s="136">
        <f t="shared" si="0"/>
        <v>2042</v>
      </c>
      <c r="C36" s="137"/>
      <c r="D36" s="129">
        <f t="shared" si="5"/>
        <v>91.92</v>
      </c>
      <c r="E36" s="129">
        <f t="shared" si="1"/>
        <v>41.18</v>
      </c>
      <c r="F36" s="129">
        <f t="shared" si="5"/>
        <v>0</v>
      </c>
      <c r="G36" s="131">
        <f t="shared" si="6"/>
        <v>50.478617697477212</v>
      </c>
      <c r="H36" s="129">
        <f t="shared" si="2"/>
        <v>0</v>
      </c>
      <c r="I36" s="131">
        <f t="shared" si="7"/>
        <v>50.478617697477212</v>
      </c>
      <c r="J36" s="131">
        <f t="shared" si="8"/>
        <v>133.1</v>
      </c>
      <c r="K36" s="129">
        <f t="shared" si="3"/>
        <v>133.1</v>
      </c>
      <c r="L36" s="120"/>
      <c r="N36" s="118"/>
      <c r="R36" s="161"/>
      <c r="T36" s="162"/>
      <c r="U36" s="154"/>
      <c r="V36" s="154"/>
      <c r="W36" s="154"/>
      <c r="X36" s="154"/>
      <c r="Y36" s="154"/>
      <c r="Z36" s="154"/>
      <c r="AF36" s="154"/>
    </row>
    <row r="37" spans="2:32">
      <c r="B37" s="136">
        <f t="shared" si="0"/>
        <v>2043</v>
      </c>
      <c r="C37" s="137"/>
      <c r="D37" s="129">
        <f t="shared" si="5"/>
        <v>93.85</v>
      </c>
      <c r="E37" s="129">
        <f t="shared" si="1"/>
        <v>42.04</v>
      </c>
      <c r="F37" s="129">
        <f t="shared" si="5"/>
        <v>0</v>
      </c>
      <c r="G37" s="131">
        <f t="shared" si="6"/>
        <v>51.536734477161367</v>
      </c>
      <c r="H37" s="129">
        <f t="shared" si="2"/>
        <v>0</v>
      </c>
      <c r="I37" s="131">
        <f t="shared" si="7"/>
        <v>51.536734477161367</v>
      </c>
      <c r="J37" s="131">
        <f t="shared" si="8"/>
        <v>135.88999999999999</v>
      </c>
      <c r="K37" s="129">
        <f t="shared" si="3"/>
        <v>135.88999999999999</v>
      </c>
      <c r="L37" s="120"/>
      <c r="N37" s="118"/>
      <c r="R37" s="161"/>
      <c r="T37" s="162"/>
      <c r="U37" s="154"/>
      <c r="V37" s="154"/>
      <c r="W37" s="154"/>
      <c r="X37" s="154"/>
      <c r="Y37" s="154"/>
      <c r="Z37" s="154"/>
      <c r="AF37" s="154"/>
    </row>
    <row r="38" spans="2:32">
      <c r="B38" s="127"/>
      <c r="C38" s="132"/>
      <c r="D38" s="129"/>
      <c r="E38" s="129"/>
      <c r="F38" s="130"/>
      <c r="G38" s="129"/>
      <c r="H38" s="129"/>
      <c r="I38" s="131"/>
      <c r="J38" s="131"/>
      <c r="K38" s="138"/>
      <c r="R38" s="120"/>
    </row>
    <row r="39" spans="2:32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</row>
    <row r="40" spans="2:32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</row>
    <row r="41" spans="2:32">
      <c r="R41" s="120"/>
    </row>
    <row r="42" spans="2:32" ht="14.25">
      <c r="B42" s="139" t="s">
        <v>25</v>
      </c>
      <c r="C42" s="140"/>
      <c r="D42" s="140"/>
      <c r="E42" s="140"/>
      <c r="F42" s="140"/>
      <c r="G42" s="140"/>
      <c r="H42" s="140"/>
      <c r="R42" s="120"/>
    </row>
    <row r="44" spans="2:32">
      <c r="B44" s="118" t="s">
        <v>63</v>
      </c>
      <c r="C44" s="141" t="s">
        <v>64</v>
      </c>
      <c r="D44" s="142" t="s">
        <v>102</v>
      </c>
    </row>
    <row r="45" spans="2:32">
      <c r="C45" s="141" t="str">
        <f>C7</f>
        <v>(a)</v>
      </c>
      <c r="D45" s="118" t="s">
        <v>65</v>
      </c>
    </row>
    <row r="46" spans="2:32">
      <c r="C46" s="141" t="str">
        <f>D7</f>
        <v>(b)</v>
      </c>
      <c r="D46" s="131" t="str">
        <f>"= "&amp;C7&amp;" x "&amp;C62</f>
        <v>= (a) x 0.05085</v>
      </c>
    </row>
    <row r="47" spans="2:32">
      <c r="C47" s="141" t="str">
        <f>G7</f>
        <v>(e)</v>
      </c>
      <c r="D47" s="131" t="str">
        <f>"= ("&amp;$D$7&amp;" + "&amp;$E$7&amp;") /  (8.76 x "&amp;TEXT(C63,"0.0%")&amp;")"</f>
        <v>= ((b) + (c)) /  (8.76 x 30.1%)</v>
      </c>
    </row>
    <row r="48" spans="2:32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103</v>
      </c>
      <c r="Q54" s="276">
        <v>2024</v>
      </c>
    </row>
    <row r="55" spans="2:25">
      <c r="B55" s="85" t="s">
        <v>101</v>
      </c>
      <c r="C55" s="171">
        <v>1608.8221683005897</v>
      </c>
      <c r="D55" s="118" t="s">
        <v>65</v>
      </c>
      <c r="O55" s="284">
        <v>354</v>
      </c>
      <c r="P55" s="118" t="s">
        <v>32</v>
      </c>
      <c r="Q55" s="276" t="s">
        <v>144</v>
      </c>
      <c r="R55" s="276" t="s">
        <v>108</v>
      </c>
      <c r="T55" s="276" t="str">
        <f>$Q$55&amp;"Proposed Station Capital Costs"</f>
        <v>L1.JBB_PVSProposed Station Capital Costs</v>
      </c>
    </row>
    <row r="56" spans="2:25">
      <c r="B56" s="85" t="s">
        <v>101</v>
      </c>
      <c r="C56" s="270">
        <v>24.570618817436728</v>
      </c>
      <c r="D56" s="118" t="s">
        <v>68</v>
      </c>
      <c r="R56" s="120"/>
      <c r="T56" s="276" t="str">
        <f>$Q$55&amp;"Proposed Station Fixed Costs"</f>
        <v>L1.JBB_PVSProposed Station Fixed Costs</v>
      </c>
    </row>
    <row r="57" spans="2:25" ht="24" customHeight="1">
      <c r="B57" s="85"/>
      <c r="C57" s="272"/>
      <c r="D57" s="118" t="s">
        <v>105</v>
      </c>
      <c r="Q57" s="348" t="str">
        <f>Q55&amp;Q54</f>
        <v>L1.JBB_PVS2024</v>
      </c>
      <c r="T57" s="276" t="str">
        <f>$Q$55&amp;"Proposed Station Variable O&amp;M Costs"</f>
        <v>L1.JBB_PVSProposed Station Variable O&amp;M Costs</v>
      </c>
    </row>
    <row r="58" spans="2:25">
      <c r="B58" s="85" t="s">
        <v>101</v>
      </c>
      <c r="C58" s="270">
        <v>0</v>
      </c>
      <c r="D58" s="118" t="s">
        <v>69</v>
      </c>
      <c r="K58" s="120"/>
      <c r="L58" s="150"/>
      <c r="M58" s="52"/>
      <c r="N58" s="164"/>
      <c r="O58" s="52"/>
      <c r="P58" s="52"/>
      <c r="Q58" s="120" t="s">
        <v>269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70</v>
      </c>
      <c r="I59" s="198" t="s">
        <v>91</v>
      </c>
      <c r="L59" s="152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71" t="str">
        <f>LEFT(RIGHT(INDEX('Table 3 TransCost'!$39:$39,1,MATCH(F60,'Table 3 TransCost'!$4:$4,0)),6),5)</f>
        <v>2024$</v>
      </c>
      <c r="C60" s="272">
        <f>INDEX('Table 3 TransCost'!$39:$39,1,MATCH(F60,'Table 3 TransCost'!$4:$4,0)+2)</f>
        <v>0</v>
      </c>
      <c r="D60" s="118" t="s">
        <v>218</v>
      </c>
      <c r="F60" s="276" t="s">
        <v>220</v>
      </c>
      <c r="K60" s="152"/>
      <c r="L60" s="152"/>
      <c r="M60" s="152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1"/>
      <c r="K61" s="152"/>
      <c r="L61" s="152"/>
      <c r="M61" s="152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5">
      <c r="C62" s="271">
        <v>5.0849999999999999E-2</v>
      </c>
      <c r="D62" s="118" t="s">
        <v>36</v>
      </c>
      <c r="E62" s="118" t="s">
        <v>109</v>
      </c>
      <c r="K62" s="156"/>
      <c r="L62" s="157"/>
      <c r="M62" s="157"/>
      <c r="O62" s="158"/>
    </row>
    <row r="63" spans="2:25">
      <c r="C63" s="209">
        <v>0.30099999999999999</v>
      </c>
      <c r="D63" s="118" t="s">
        <v>37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20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5"/>
    </row>
    <row r="73" spans="3:14" s="120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5"/>
    </row>
    <row r="74" spans="3:14" s="120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11.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1.832031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4" width="9.33203125" style="118"/>
    <col min="25" max="25" width="12" style="118" bestFit="1" customWidth="1"/>
    <col min="26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32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32" ht="15.75">
      <c r="B2" s="116" t="s">
        <v>147</v>
      </c>
      <c r="C2" s="117"/>
      <c r="D2" s="117"/>
      <c r="E2" s="117"/>
      <c r="F2" s="117"/>
      <c r="G2" s="117"/>
      <c r="H2" s="117"/>
      <c r="I2" s="117"/>
      <c r="J2" s="117"/>
    </row>
    <row r="3" spans="2:32" ht="15.75">
      <c r="B3" s="116" t="str">
        <f>TEXT($C$63,"0%")&amp;" Capacity Factor"</f>
        <v>30% Capacity Factor</v>
      </c>
      <c r="C3" s="117"/>
      <c r="D3" s="117"/>
      <c r="E3" s="117"/>
      <c r="F3" s="117"/>
      <c r="G3" s="117"/>
      <c r="H3" s="117"/>
      <c r="I3" s="117"/>
      <c r="J3" s="117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2:32">
      <c r="B4" s="119"/>
      <c r="C4" s="119"/>
      <c r="D4" s="119"/>
      <c r="E4" s="119"/>
      <c r="F4" s="119"/>
      <c r="G4" s="119"/>
      <c r="H4" s="119"/>
      <c r="I4" s="120"/>
      <c r="J4" s="120"/>
      <c r="K4" s="120"/>
      <c r="Q4" s="120"/>
      <c r="R4" s="120"/>
      <c r="S4" s="120"/>
      <c r="T4" s="120"/>
      <c r="U4" s="120"/>
      <c r="V4" s="120"/>
      <c r="W4" s="120"/>
      <c r="X4" s="120"/>
      <c r="Y4" s="120"/>
      <c r="Z4" s="120"/>
    </row>
    <row r="5" spans="2:32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Q5" s="120"/>
      <c r="R5" s="277"/>
      <c r="S5" s="120"/>
      <c r="T5" s="120"/>
      <c r="U5" s="120"/>
      <c r="V5" s="120"/>
      <c r="W5" s="120"/>
      <c r="X5" s="120"/>
      <c r="Y5" s="383"/>
      <c r="Z5" s="383"/>
    </row>
    <row r="6" spans="2:32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Q6" s="120"/>
      <c r="R6" s="278"/>
      <c r="S6" s="120"/>
      <c r="T6" s="120"/>
      <c r="U6" s="120"/>
      <c r="V6" s="120"/>
      <c r="W6" s="120"/>
      <c r="X6" s="120"/>
      <c r="Y6" s="120"/>
      <c r="Z6" s="120"/>
    </row>
    <row r="7" spans="2:32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2:32" ht="6" customHeight="1">
      <c r="K8" s="120"/>
      <c r="Q8" s="120"/>
      <c r="R8" s="120"/>
      <c r="S8" s="120"/>
      <c r="T8" s="120"/>
      <c r="U8" s="120"/>
      <c r="V8" s="120"/>
      <c r="W8" s="120"/>
      <c r="X8" s="120"/>
      <c r="Y8" s="120"/>
      <c r="Z8" s="120"/>
    </row>
    <row r="9" spans="2:32" ht="15.75">
      <c r="B9" s="43" t="str">
        <f>C52</f>
        <v>2019 IRP Jim Bridger Solar with Storage - 30% Capacity Factor</v>
      </c>
      <c r="C9" s="120"/>
      <c r="E9" s="120"/>
      <c r="F9" s="120"/>
      <c r="G9" s="120"/>
      <c r="H9" s="120"/>
      <c r="I9" s="120"/>
      <c r="J9" s="120"/>
      <c r="K9" s="120"/>
      <c r="N9" s="118"/>
      <c r="Q9" s="120"/>
      <c r="R9" s="120"/>
      <c r="S9" s="120"/>
      <c r="T9" s="120"/>
      <c r="U9" s="120"/>
      <c r="V9" s="120"/>
      <c r="W9" s="120"/>
      <c r="X9" s="120"/>
      <c r="Y9" s="120"/>
      <c r="Z9" s="120"/>
    </row>
    <row r="10" spans="2:32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Q10" s="120"/>
      <c r="R10" s="120"/>
      <c r="S10" s="120"/>
      <c r="T10" s="120"/>
      <c r="U10" s="120"/>
      <c r="V10" s="120"/>
      <c r="W10" s="120"/>
      <c r="X10" s="120"/>
      <c r="Y10" s="120"/>
      <c r="Z10" s="120"/>
    </row>
    <row r="11" spans="2:32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Q11" s="120"/>
      <c r="R11" s="120"/>
      <c r="S11" s="120"/>
      <c r="T11" s="120"/>
      <c r="U11" s="120"/>
      <c r="V11" s="120"/>
      <c r="W11" s="120"/>
      <c r="X11" s="120"/>
      <c r="Y11" s="120"/>
      <c r="Z11" s="120"/>
    </row>
    <row r="12" spans="2:32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Q12" s="120"/>
      <c r="R12" s="120"/>
      <c r="S12" s="120"/>
      <c r="T12" s="165"/>
      <c r="U12" s="161"/>
      <c r="V12" s="161"/>
      <c r="W12" s="120"/>
      <c r="X12" s="120"/>
      <c r="Y12" s="161"/>
      <c r="Z12" s="161"/>
      <c r="AF12" s="154"/>
    </row>
    <row r="13" spans="2:32">
      <c r="B13" s="136">
        <f t="shared" si="0"/>
        <v>2019</v>
      </c>
      <c r="C13" s="137"/>
      <c r="D13" s="129"/>
      <c r="E13" s="129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25.01</v>
      </c>
      <c r="L13" s="120"/>
      <c r="N13" s="118"/>
      <c r="R13" s="120"/>
      <c r="V13" s="154"/>
      <c r="Y13" s="154"/>
      <c r="Z13" s="154"/>
      <c r="AF13" s="154"/>
    </row>
    <row r="14" spans="2:32">
      <c r="B14" s="136">
        <f t="shared" si="0"/>
        <v>2020</v>
      </c>
      <c r="C14" s="137"/>
      <c r="D14" s="129"/>
      <c r="E14" s="129">
        <f t="shared" si="1"/>
        <v>25.49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25.49</v>
      </c>
      <c r="L14" s="120"/>
      <c r="N14" s="118"/>
      <c r="O14" s="133"/>
      <c r="P14" s="134"/>
      <c r="Q14" s="135"/>
      <c r="R14" s="120"/>
      <c r="V14" s="154"/>
      <c r="Y14" s="154"/>
      <c r="Z14" s="154"/>
      <c r="AF14" s="154"/>
    </row>
    <row r="15" spans="2:32">
      <c r="B15" s="136">
        <f t="shared" si="0"/>
        <v>2021</v>
      </c>
      <c r="C15" s="137"/>
      <c r="D15" s="129"/>
      <c r="E15" s="129">
        <f t="shared" si="1"/>
        <v>26</v>
      </c>
      <c r="F15" s="129"/>
      <c r="G15" s="131"/>
      <c r="H15" s="129">
        <f t="shared" si="2"/>
        <v>0</v>
      </c>
      <c r="I15" s="131"/>
      <c r="J15" s="131"/>
      <c r="K15" s="129">
        <f t="shared" si="3"/>
        <v>26</v>
      </c>
      <c r="L15" s="120"/>
      <c r="N15" s="118"/>
      <c r="O15" s="273"/>
      <c r="P15" s="134"/>
      <c r="Q15" s="135"/>
      <c r="R15" s="120"/>
      <c r="V15" s="154"/>
      <c r="Y15" s="154"/>
      <c r="Z15" s="154"/>
      <c r="AF15" s="154"/>
    </row>
    <row r="16" spans="2:32">
      <c r="B16" s="136">
        <f t="shared" si="0"/>
        <v>2022</v>
      </c>
      <c r="C16" s="137"/>
      <c r="D16" s="129"/>
      <c r="E16" s="129">
        <f t="shared" si="1"/>
        <v>26.65</v>
      </c>
      <c r="F16" s="129"/>
      <c r="G16" s="131"/>
      <c r="H16" s="129">
        <f t="shared" si="2"/>
        <v>0</v>
      </c>
      <c r="I16" s="131"/>
      <c r="J16" s="131"/>
      <c r="K16" s="129">
        <f t="shared" si="3"/>
        <v>26.65</v>
      </c>
      <c r="L16" s="120"/>
      <c r="N16" s="118"/>
      <c r="O16" s="350"/>
      <c r="R16" s="120"/>
      <c r="V16" s="154"/>
      <c r="Y16" s="154"/>
      <c r="Z16" s="154"/>
      <c r="AF16" s="154"/>
    </row>
    <row r="17" spans="2:32">
      <c r="B17" s="136">
        <f t="shared" si="0"/>
        <v>2023</v>
      </c>
      <c r="C17" s="137"/>
      <c r="D17" s="129"/>
      <c r="E17" s="129">
        <f t="shared" si="1"/>
        <v>27.32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27.32</v>
      </c>
      <c r="L17" s="120"/>
      <c r="N17" s="118"/>
      <c r="O17" s="199"/>
      <c r="R17" s="120"/>
      <c r="V17" s="154"/>
      <c r="Y17" s="154"/>
      <c r="Z17" s="154"/>
      <c r="AF17" s="154"/>
    </row>
    <row r="18" spans="2:32">
      <c r="B18" s="136">
        <f t="shared" si="0"/>
        <v>2024</v>
      </c>
      <c r="C18" s="137"/>
      <c r="D18" s="129"/>
      <c r="E18" s="129">
        <f t="shared" si="1"/>
        <v>27.98</v>
      </c>
      <c r="F18" s="129"/>
      <c r="G18" s="131"/>
      <c r="H18" s="129">
        <f t="shared" si="2"/>
        <v>0</v>
      </c>
      <c r="I18" s="131"/>
      <c r="J18" s="131"/>
      <c r="K18" s="129">
        <f t="shared" si="3"/>
        <v>27.98</v>
      </c>
      <c r="L18" s="120"/>
      <c r="N18" s="118"/>
      <c r="O18" s="351"/>
      <c r="Q18" s="154"/>
      <c r="R18" s="120"/>
      <c r="T18" s="162"/>
      <c r="U18" s="154"/>
      <c r="V18" s="154"/>
      <c r="X18" s="154"/>
      <c r="Y18" s="154"/>
      <c r="Z18" s="154"/>
      <c r="AA18" s="282"/>
      <c r="AB18" s="281"/>
      <c r="AF18" s="154"/>
    </row>
    <row r="19" spans="2:32">
      <c r="B19" s="136">
        <f t="shared" si="0"/>
        <v>2025</v>
      </c>
      <c r="C19" s="137"/>
      <c r="D19" s="129"/>
      <c r="E19" s="129">
        <f t="shared" si="1"/>
        <v>28.62</v>
      </c>
      <c r="F19" s="129"/>
      <c r="G19" s="131"/>
      <c r="H19" s="129">
        <f t="shared" si="2"/>
        <v>0</v>
      </c>
      <c r="I19" s="131"/>
      <c r="J19" s="131"/>
      <c r="K19" s="129">
        <f t="shared" si="3"/>
        <v>28.62</v>
      </c>
      <c r="L19" s="120"/>
      <c r="N19" s="118"/>
      <c r="R19" s="120"/>
      <c r="T19" s="162"/>
      <c r="U19" s="154"/>
      <c r="V19" s="154"/>
      <c r="X19" s="154"/>
      <c r="Y19" s="154"/>
      <c r="Z19" s="154"/>
      <c r="AF19" s="154"/>
    </row>
    <row r="20" spans="2:32">
      <c r="B20" s="136">
        <f t="shared" si="0"/>
        <v>2026</v>
      </c>
      <c r="C20" s="137"/>
      <c r="D20" s="129"/>
      <c r="E20" s="129">
        <f t="shared" si="1"/>
        <v>29.28</v>
      </c>
      <c r="F20" s="129"/>
      <c r="G20" s="131"/>
      <c r="H20" s="129">
        <f t="shared" si="2"/>
        <v>0</v>
      </c>
      <c r="I20" s="131"/>
      <c r="J20" s="131"/>
      <c r="K20" s="129">
        <f t="shared" si="3"/>
        <v>29.28</v>
      </c>
      <c r="L20" s="120"/>
      <c r="N20" s="118"/>
      <c r="R20" s="161"/>
      <c r="T20" s="162"/>
      <c r="U20" s="154"/>
      <c r="V20" s="154"/>
      <c r="X20" s="154"/>
      <c r="Y20" s="154"/>
      <c r="Z20" s="154"/>
      <c r="AF20" s="154"/>
    </row>
    <row r="21" spans="2:32">
      <c r="B21" s="136">
        <f t="shared" si="0"/>
        <v>2027</v>
      </c>
      <c r="C21" s="137"/>
      <c r="D21" s="129"/>
      <c r="E21" s="129">
        <f t="shared" si="1"/>
        <v>29.95</v>
      </c>
      <c r="F21" s="129"/>
      <c r="G21" s="131"/>
      <c r="H21" s="129">
        <f t="shared" si="2"/>
        <v>0</v>
      </c>
      <c r="I21" s="131"/>
      <c r="J21" s="131"/>
      <c r="K21" s="129">
        <f t="shared" si="3"/>
        <v>29.95</v>
      </c>
      <c r="L21" s="120"/>
      <c r="N21" s="118"/>
      <c r="R21" s="161"/>
      <c r="T21" s="162"/>
      <c r="U21" s="154"/>
      <c r="V21" s="154"/>
      <c r="X21" s="154"/>
      <c r="Y21" s="154"/>
      <c r="Z21" s="154"/>
      <c r="AF21" s="154"/>
    </row>
    <row r="22" spans="2:32">
      <c r="B22" s="136">
        <f t="shared" si="0"/>
        <v>2028</v>
      </c>
      <c r="C22" s="137"/>
      <c r="D22" s="129"/>
      <c r="E22" s="129">
        <f t="shared" si="1"/>
        <v>30.64</v>
      </c>
      <c r="F22" s="129"/>
      <c r="G22" s="131"/>
      <c r="H22" s="129">
        <f t="shared" si="2"/>
        <v>0</v>
      </c>
      <c r="I22" s="131"/>
      <c r="J22" s="131"/>
      <c r="K22" s="129">
        <f t="shared" si="3"/>
        <v>30.64</v>
      </c>
      <c r="L22" s="120"/>
      <c r="N22" s="118"/>
      <c r="R22" s="161"/>
      <c r="T22" s="162"/>
      <c r="U22" s="154"/>
      <c r="V22" s="154"/>
      <c r="X22" s="154"/>
      <c r="Y22" s="154"/>
      <c r="Z22" s="154"/>
      <c r="AF22" s="154"/>
    </row>
    <row r="23" spans="2:32">
      <c r="B23" s="136">
        <f t="shared" si="0"/>
        <v>2029</v>
      </c>
      <c r="C23" s="349">
        <v>1210.0083472454089</v>
      </c>
      <c r="D23" s="129">
        <f>C23*$C$62</f>
        <v>61.528924457429042</v>
      </c>
      <c r="E23" s="129">
        <f t="shared" ref="E23:E37" si="4">ROUND(E22*(1+(IFERROR(INDEX($D$66:$D$74,MATCH($B23,$C$66:$C$74,0),1),0)+IFERROR(INDEX($G$66:$G$74,MATCH($B23,$F$66:$F$74,0),1),0)+IFERROR(INDEX($J$66:$J$74,MATCH($B23,$I$66:$I$74,0),1),0))),2)</f>
        <v>31.34</v>
      </c>
      <c r="F23" s="129">
        <f>C60</f>
        <v>0</v>
      </c>
      <c r="G23" s="131">
        <f>(D23+E23+F23)/(8.76*$C$63)</f>
        <v>35.220848487321206</v>
      </c>
      <c r="H23" s="129">
        <f t="shared" si="2"/>
        <v>0</v>
      </c>
      <c r="I23" s="131">
        <f>(G23+H23)</f>
        <v>35.220848487321206</v>
      </c>
      <c r="J23" s="131">
        <f t="shared" ref="J23" si="5">ROUND(I23*$C$63*8.76,2)</f>
        <v>92.87</v>
      </c>
      <c r="K23" s="129">
        <f t="shared" si="3"/>
        <v>92.868924457429046</v>
      </c>
      <c r="L23" s="120"/>
      <c r="N23" s="118"/>
      <c r="R23" s="161"/>
      <c r="T23" s="162"/>
      <c r="U23" s="154"/>
      <c r="V23" s="154"/>
      <c r="X23" s="154"/>
      <c r="Y23" s="154"/>
      <c r="Z23" s="154"/>
      <c r="AF23" s="154"/>
    </row>
    <row r="24" spans="2:32">
      <c r="B24" s="136">
        <f t="shared" si="0"/>
        <v>2030</v>
      </c>
      <c r="C24" s="349"/>
      <c r="D24" s="129">
        <f t="shared" ref="D24:F37" si="6">ROUND(D23*(1+(IFERROR(INDEX($D$66:$D$74,MATCH($B24,$C$66:$C$74,0),1),0)+IFERROR(INDEX($G$66:$G$74,MATCH($B24,$F$66:$F$74,0),1),0)+IFERROR(INDEX($J$66:$J$74,MATCH($B24,$I$66:$I$74,0),1),0))),2)</f>
        <v>62.88</v>
      </c>
      <c r="E24" s="129">
        <f t="shared" si="4"/>
        <v>32.03</v>
      </c>
      <c r="F24" s="129">
        <f t="shared" si="6"/>
        <v>0</v>
      </c>
      <c r="G24" s="131">
        <f t="shared" ref="G24:G37" si="7">(D24+E24+F24)/(8.76*$C$63)</f>
        <v>35.994933175563951</v>
      </c>
      <c r="H24" s="129">
        <f t="shared" si="2"/>
        <v>0</v>
      </c>
      <c r="I24" s="131">
        <f t="shared" ref="I24:I37" si="8">(G24+H24)</f>
        <v>35.994933175563951</v>
      </c>
      <c r="J24" s="131">
        <f t="shared" ref="J24:J32" si="9">ROUND(I24*$C$63*8.76,2)</f>
        <v>94.91</v>
      </c>
      <c r="K24" s="129">
        <f t="shared" si="3"/>
        <v>94.91</v>
      </c>
      <c r="L24" s="120"/>
      <c r="N24" s="118"/>
      <c r="R24" s="161"/>
      <c r="T24" s="162"/>
      <c r="U24" s="154"/>
      <c r="V24" s="154"/>
      <c r="X24" s="154"/>
      <c r="Y24" s="154"/>
      <c r="Z24" s="154"/>
      <c r="AF24" s="154"/>
    </row>
    <row r="25" spans="2:32">
      <c r="B25" s="136">
        <f t="shared" si="0"/>
        <v>2031</v>
      </c>
      <c r="C25" s="137"/>
      <c r="D25" s="129">
        <f t="shared" si="6"/>
        <v>64.260000000000005</v>
      </c>
      <c r="E25" s="129">
        <f t="shared" si="4"/>
        <v>32.729999999999997</v>
      </c>
      <c r="F25" s="129">
        <f t="shared" si="6"/>
        <v>0</v>
      </c>
      <c r="G25" s="131">
        <f t="shared" si="7"/>
        <v>36.783780093751432</v>
      </c>
      <c r="H25" s="129">
        <f t="shared" si="2"/>
        <v>0</v>
      </c>
      <c r="I25" s="131">
        <f t="shared" si="8"/>
        <v>36.783780093751432</v>
      </c>
      <c r="J25" s="131">
        <f t="shared" si="9"/>
        <v>96.99</v>
      </c>
      <c r="K25" s="129">
        <f t="shared" si="3"/>
        <v>96.990000000000009</v>
      </c>
      <c r="L25" s="120"/>
      <c r="N25" s="118"/>
      <c r="R25" s="161"/>
      <c r="T25" s="162"/>
      <c r="U25" s="154"/>
      <c r="V25" s="154"/>
      <c r="X25" s="154"/>
      <c r="Y25" s="154"/>
      <c r="Z25" s="154"/>
      <c r="AF25" s="154"/>
    </row>
    <row r="26" spans="2:32">
      <c r="B26" s="136">
        <f t="shared" si="0"/>
        <v>2032</v>
      </c>
      <c r="C26" s="137"/>
      <c r="D26" s="129">
        <f t="shared" si="6"/>
        <v>65.67</v>
      </c>
      <c r="E26" s="129">
        <f t="shared" si="4"/>
        <v>33.450000000000003</v>
      </c>
      <c r="F26" s="129">
        <f t="shared" si="6"/>
        <v>0</v>
      </c>
      <c r="G26" s="131">
        <f t="shared" si="7"/>
        <v>37.591589678241483</v>
      </c>
      <c r="H26" s="129">
        <f t="shared" si="2"/>
        <v>0</v>
      </c>
      <c r="I26" s="131">
        <f t="shared" si="8"/>
        <v>37.591589678241483</v>
      </c>
      <c r="J26" s="131">
        <f t="shared" si="9"/>
        <v>99.12</v>
      </c>
      <c r="K26" s="129">
        <f t="shared" si="3"/>
        <v>99.12</v>
      </c>
      <c r="L26" s="120"/>
      <c r="N26" s="118"/>
      <c r="R26" s="161"/>
      <c r="T26" s="162"/>
      <c r="U26" s="154"/>
      <c r="V26" s="154"/>
      <c r="X26" s="154"/>
      <c r="Y26" s="154"/>
      <c r="Z26" s="154"/>
      <c r="AF26" s="154"/>
    </row>
    <row r="27" spans="2:32">
      <c r="B27" s="136">
        <f t="shared" si="0"/>
        <v>2033</v>
      </c>
      <c r="C27" s="137"/>
      <c r="D27" s="129">
        <f t="shared" si="6"/>
        <v>67.05</v>
      </c>
      <c r="E27" s="129">
        <f t="shared" si="4"/>
        <v>34.15</v>
      </c>
      <c r="F27" s="129">
        <f t="shared" si="6"/>
        <v>0</v>
      </c>
      <c r="G27" s="131">
        <f t="shared" si="7"/>
        <v>38.38043659642895</v>
      </c>
      <c r="H27" s="129">
        <f t="shared" si="2"/>
        <v>0</v>
      </c>
      <c r="I27" s="131">
        <f t="shared" si="8"/>
        <v>38.38043659642895</v>
      </c>
      <c r="J27" s="131">
        <f t="shared" si="9"/>
        <v>101.2</v>
      </c>
      <c r="K27" s="129">
        <f t="shared" si="3"/>
        <v>101.19999999999999</v>
      </c>
      <c r="L27" s="120"/>
      <c r="N27" s="118"/>
      <c r="R27" s="161"/>
      <c r="T27" s="162"/>
      <c r="U27" s="154"/>
      <c r="V27" s="154"/>
      <c r="X27" s="154"/>
      <c r="Y27" s="154"/>
      <c r="Z27" s="154"/>
      <c r="AF27" s="154"/>
    </row>
    <row r="28" spans="2:32">
      <c r="B28" s="136">
        <f t="shared" si="0"/>
        <v>2034</v>
      </c>
      <c r="C28" s="137"/>
      <c r="D28" s="129">
        <f t="shared" si="6"/>
        <v>68.459999999999994</v>
      </c>
      <c r="E28" s="129">
        <f t="shared" si="4"/>
        <v>34.869999999999997</v>
      </c>
      <c r="F28" s="129">
        <f t="shared" si="6"/>
        <v>0</v>
      </c>
      <c r="G28" s="131">
        <f t="shared" si="7"/>
        <v>39.188246180919002</v>
      </c>
      <c r="H28" s="129">
        <f t="shared" si="2"/>
        <v>0</v>
      </c>
      <c r="I28" s="131">
        <f t="shared" si="8"/>
        <v>39.188246180919002</v>
      </c>
      <c r="J28" s="131">
        <f t="shared" si="9"/>
        <v>103.33</v>
      </c>
      <c r="K28" s="129">
        <f t="shared" si="3"/>
        <v>103.32999999999998</v>
      </c>
      <c r="L28" s="120"/>
      <c r="N28" s="118"/>
      <c r="R28" s="161"/>
      <c r="T28" s="162"/>
      <c r="U28" s="154"/>
      <c r="V28" s="154"/>
      <c r="X28" s="154"/>
      <c r="Y28" s="154"/>
      <c r="Z28" s="154"/>
      <c r="AF28" s="154"/>
    </row>
    <row r="29" spans="2:32">
      <c r="B29" s="136">
        <f t="shared" si="0"/>
        <v>2035</v>
      </c>
      <c r="C29" s="137"/>
      <c r="D29" s="129">
        <f t="shared" si="6"/>
        <v>69.900000000000006</v>
      </c>
      <c r="E29" s="129">
        <f t="shared" si="4"/>
        <v>35.6</v>
      </c>
      <c r="F29" s="129">
        <f t="shared" si="6"/>
        <v>0</v>
      </c>
      <c r="G29" s="131">
        <f t="shared" si="7"/>
        <v>40.01122589845113</v>
      </c>
      <c r="H29" s="129">
        <f t="shared" si="2"/>
        <v>0</v>
      </c>
      <c r="I29" s="131">
        <f t="shared" si="8"/>
        <v>40.01122589845113</v>
      </c>
      <c r="J29" s="131">
        <f t="shared" si="9"/>
        <v>105.5</v>
      </c>
      <c r="K29" s="129">
        <f t="shared" si="3"/>
        <v>105.5</v>
      </c>
      <c r="L29" s="120"/>
      <c r="N29" s="118"/>
      <c r="R29" s="161"/>
      <c r="T29" s="162"/>
      <c r="U29" s="154"/>
      <c r="V29" s="154"/>
      <c r="X29" s="154"/>
      <c r="Y29" s="154"/>
      <c r="Z29" s="154"/>
      <c r="AF29" s="154"/>
    </row>
    <row r="30" spans="2:32">
      <c r="B30" s="136">
        <f t="shared" si="0"/>
        <v>2036</v>
      </c>
      <c r="C30" s="137"/>
      <c r="D30" s="129">
        <f t="shared" si="6"/>
        <v>71.37</v>
      </c>
      <c r="E30" s="129">
        <f t="shared" si="4"/>
        <v>36.35</v>
      </c>
      <c r="F30" s="129">
        <f t="shared" si="6"/>
        <v>0</v>
      </c>
      <c r="G30" s="131">
        <f t="shared" si="7"/>
        <v>40.853168282285836</v>
      </c>
      <c r="H30" s="129">
        <f t="shared" si="2"/>
        <v>0</v>
      </c>
      <c r="I30" s="131">
        <f t="shared" si="8"/>
        <v>40.853168282285836</v>
      </c>
      <c r="J30" s="131">
        <f t="shared" si="9"/>
        <v>107.72</v>
      </c>
      <c r="K30" s="129">
        <f t="shared" si="3"/>
        <v>107.72</v>
      </c>
      <c r="L30" s="120"/>
      <c r="N30" s="118"/>
      <c r="R30" s="161"/>
      <c r="T30" s="162"/>
      <c r="U30" s="154"/>
      <c r="V30" s="154"/>
      <c r="X30" s="154"/>
      <c r="Y30" s="154"/>
      <c r="Z30" s="154"/>
      <c r="AF30" s="154"/>
    </row>
    <row r="31" spans="2:32">
      <c r="B31" s="136">
        <f t="shared" si="0"/>
        <v>2037</v>
      </c>
      <c r="C31" s="137"/>
      <c r="D31" s="129">
        <f t="shared" si="6"/>
        <v>72.87</v>
      </c>
      <c r="E31" s="129">
        <f t="shared" si="4"/>
        <v>37.11</v>
      </c>
      <c r="F31" s="129">
        <f t="shared" si="6"/>
        <v>0</v>
      </c>
      <c r="G31" s="131">
        <f t="shared" si="7"/>
        <v>41.710280799162611</v>
      </c>
      <c r="H31" s="129">
        <f t="shared" si="2"/>
        <v>0</v>
      </c>
      <c r="I31" s="131">
        <f t="shared" si="8"/>
        <v>41.710280799162611</v>
      </c>
      <c r="J31" s="131">
        <f t="shared" si="9"/>
        <v>109.98</v>
      </c>
      <c r="K31" s="129">
        <f t="shared" si="3"/>
        <v>109.98</v>
      </c>
      <c r="L31" s="120"/>
      <c r="N31" s="118"/>
      <c r="R31" s="161"/>
      <c r="T31" s="162"/>
      <c r="U31" s="154"/>
      <c r="V31" s="154"/>
      <c r="X31" s="154"/>
      <c r="Y31" s="154"/>
      <c r="Z31" s="154"/>
      <c r="AF31" s="154"/>
    </row>
    <row r="32" spans="2:32">
      <c r="B32" s="136">
        <f t="shared" si="0"/>
        <v>2038</v>
      </c>
      <c r="C32" s="137"/>
      <c r="D32" s="129">
        <f t="shared" si="6"/>
        <v>74.400000000000006</v>
      </c>
      <c r="E32" s="129">
        <f t="shared" si="4"/>
        <v>37.89</v>
      </c>
      <c r="F32" s="129">
        <f t="shared" si="6"/>
        <v>0</v>
      </c>
      <c r="G32" s="131">
        <f t="shared" si="7"/>
        <v>42.586355982341971</v>
      </c>
      <c r="H32" s="129">
        <f t="shared" si="2"/>
        <v>0</v>
      </c>
      <c r="I32" s="131">
        <f t="shared" si="8"/>
        <v>42.586355982341971</v>
      </c>
      <c r="J32" s="131">
        <f t="shared" si="9"/>
        <v>112.29</v>
      </c>
      <c r="K32" s="129">
        <f t="shared" si="3"/>
        <v>112.29</v>
      </c>
      <c r="L32" s="120"/>
      <c r="N32" s="118"/>
      <c r="R32" s="161"/>
      <c r="T32" s="162"/>
      <c r="U32" s="154"/>
      <c r="V32" s="154"/>
      <c r="X32" s="154"/>
      <c r="Y32" s="154"/>
      <c r="Z32" s="154"/>
      <c r="AF32" s="154"/>
    </row>
    <row r="33" spans="2:32">
      <c r="B33" s="136">
        <f t="shared" si="0"/>
        <v>2039</v>
      </c>
      <c r="C33" s="137"/>
      <c r="D33" s="129">
        <f t="shared" si="6"/>
        <v>75.959999999999994</v>
      </c>
      <c r="E33" s="129">
        <f t="shared" si="4"/>
        <v>38.69</v>
      </c>
      <c r="F33" s="129">
        <f t="shared" si="6"/>
        <v>0</v>
      </c>
      <c r="G33" s="131">
        <f t="shared" si="7"/>
        <v>43.481393831823908</v>
      </c>
      <c r="H33" s="129">
        <f t="shared" si="2"/>
        <v>0</v>
      </c>
      <c r="I33" s="131">
        <f t="shared" si="8"/>
        <v>43.481393831823908</v>
      </c>
      <c r="J33" s="131">
        <f t="shared" ref="J33:J37" si="10">ROUND(I33*$C$63*8.76,2)</f>
        <v>114.65</v>
      </c>
      <c r="K33" s="129">
        <f t="shared" si="3"/>
        <v>114.64999999999999</v>
      </c>
      <c r="L33" s="120"/>
      <c r="N33" s="118"/>
      <c r="R33" s="161"/>
      <c r="T33" s="162"/>
      <c r="U33" s="154"/>
      <c r="V33" s="154"/>
      <c r="X33" s="154"/>
      <c r="Y33" s="154"/>
      <c r="Z33" s="154"/>
      <c r="AF33" s="154"/>
    </row>
    <row r="34" spans="2:32">
      <c r="B34" s="136">
        <f t="shared" si="0"/>
        <v>2040</v>
      </c>
      <c r="C34" s="137"/>
      <c r="D34" s="129">
        <f t="shared" si="6"/>
        <v>77.56</v>
      </c>
      <c r="E34" s="129">
        <f t="shared" si="4"/>
        <v>39.5</v>
      </c>
      <c r="F34" s="129">
        <f t="shared" si="6"/>
        <v>0</v>
      </c>
      <c r="G34" s="131">
        <f t="shared" si="7"/>
        <v>44.395394347608431</v>
      </c>
      <c r="H34" s="129">
        <f t="shared" si="2"/>
        <v>0</v>
      </c>
      <c r="I34" s="131">
        <f t="shared" si="8"/>
        <v>44.395394347608431</v>
      </c>
      <c r="J34" s="131">
        <f t="shared" si="10"/>
        <v>117.06</v>
      </c>
      <c r="K34" s="129">
        <f t="shared" si="3"/>
        <v>117.06</v>
      </c>
      <c r="L34" s="120"/>
      <c r="N34" s="118"/>
      <c r="R34" s="161"/>
      <c r="T34" s="162"/>
      <c r="U34" s="154"/>
      <c r="V34" s="154"/>
      <c r="X34" s="154"/>
      <c r="Y34" s="154"/>
      <c r="Z34" s="154"/>
      <c r="AF34" s="154"/>
    </row>
    <row r="35" spans="2:32">
      <c r="B35" s="136">
        <f t="shared" si="0"/>
        <v>2041</v>
      </c>
      <c r="C35" s="137"/>
      <c r="D35" s="129">
        <f t="shared" si="6"/>
        <v>79.19</v>
      </c>
      <c r="E35" s="129">
        <f t="shared" si="4"/>
        <v>40.33</v>
      </c>
      <c r="F35" s="129">
        <f t="shared" si="6"/>
        <v>0</v>
      </c>
      <c r="G35" s="131">
        <f t="shared" si="7"/>
        <v>45.328357529695538</v>
      </c>
      <c r="H35" s="129">
        <f t="shared" si="2"/>
        <v>0</v>
      </c>
      <c r="I35" s="131">
        <f t="shared" si="8"/>
        <v>45.328357529695538</v>
      </c>
      <c r="J35" s="131">
        <f t="shared" si="10"/>
        <v>119.52</v>
      </c>
      <c r="K35" s="129">
        <f t="shared" si="3"/>
        <v>119.52</v>
      </c>
      <c r="L35" s="120"/>
      <c r="N35" s="118"/>
      <c r="R35" s="161"/>
      <c r="T35" s="162"/>
      <c r="U35" s="154"/>
      <c r="V35" s="154"/>
      <c r="X35" s="154"/>
      <c r="Y35" s="154"/>
      <c r="Z35" s="154"/>
      <c r="AF35" s="154"/>
    </row>
    <row r="36" spans="2:32">
      <c r="B36" s="136">
        <f t="shared" si="0"/>
        <v>2042</v>
      </c>
      <c r="C36" s="137"/>
      <c r="D36" s="129">
        <f t="shared" si="6"/>
        <v>80.849999999999994</v>
      </c>
      <c r="E36" s="129">
        <f t="shared" si="4"/>
        <v>41.18</v>
      </c>
      <c r="F36" s="129">
        <f t="shared" si="6"/>
        <v>0</v>
      </c>
      <c r="G36" s="131">
        <f t="shared" si="7"/>
        <v>46.28028337808523</v>
      </c>
      <c r="H36" s="129">
        <f t="shared" si="2"/>
        <v>0</v>
      </c>
      <c r="I36" s="131">
        <f t="shared" si="8"/>
        <v>46.28028337808523</v>
      </c>
      <c r="J36" s="131">
        <f t="shared" si="10"/>
        <v>122.03</v>
      </c>
      <c r="K36" s="129">
        <f t="shared" si="3"/>
        <v>122.03</v>
      </c>
      <c r="L36" s="120"/>
      <c r="N36" s="118"/>
      <c r="R36" s="161"/>
      <c r="T36" s="162"/>
      <c r="U36" s="154"/>
      <c r="V36" s="154"/>
      <c r="X36" s="154"/>
      <c r="Y36" s="154"/>
      <c r="Z36" s="154"/>
      <c r="AF36" s="154"/>
    </row>
    <row r="37" spans="2:32">
      <c r="B37" s="136">
        <f t="shared" si="0"/>
        <v>2043</v>
      </c>
      <c r="C37" s="137"/>
      <c r="D37" s="129">
        <f t="shared" si="6"/>
        <v>82.55</v>
      </c>
      <c r="E37" s="129">
        <f t="shared" si="4"/>
        <v>42.04</v>
      </c>
      <c r="F37" s="129">
        <f t="shared" si="6"/>
        <v>0</v>
      </c>
      <c r="G37" s="131">
        <f t="shared" si="7"/>
        <v>47.251171892777506</v>
      </c>
      <c r="H37" s="129">
        <f t="shared" si="2"/>
        <v>0</v>
      </c>
      <c r="I37" s="131">
        <f t="shared" si="8"/>
        <v>47.251171892777506</v>
      </c>
      <c r="J37" s="131">
        <f t="shared" si="10"/>
        <v>124.59</v>
      </c>
      <c r="K37" s="129">
        <f t="shared" si="3"/>
        <v>124.59</v>
      </c>
      <c r="L37" s="120"/>
      <c r="N37" s="118"/>
      <c r="R37" s="161"/>
      <c r="T37" s="162"/>
      <c r="U37" s="154"/>
      <c r="V37" s="154"/>
      <c r="X37" s="154"/>
      <c r="Y37" s="154"/>
      <c r="Z37" s="154"/>
      <c r="AF37" s="154"/>
    </row>
    <row r="38" spans="2:32">
      <c r="B38" s="136"/>
      <c r="C38" s="137"/>
      <c r="D38" s="129"/>
      <c r="E38" s="129"/>
      <c r="F38" s="131"/>
      <c r="G38" s="129"/>
      <c r="H38" s="129"/>
      <c r="I38" s="131"/>
      <c r="J38" s="131"/>
      <c r="K38" s="129"/>
      <c r="L38" s="120"/>
      <c r="N38" s="118"/>
      <c r="R38" s="161"/>
      <c r="T38" s="162"/>
      <c r="U38" s="154"/>
      <c r="V38" s="154"/>
      <c r="X38" s="154"/>
      <c r="Y38" s="154"/>
      <c r="Z38" s="154"/>
      <c r="AF38" s="154"/>
    </row>
    <row r="39" spans="2:32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</row>
    <row r="40" spans="2:32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</row>
    <row r="41" spans="2:32">
      <c r="R41" s="120"/>
    </row>
    <row r="42" spans="2:32" ht="14.25">
      <c r="B42" s="139" t="s">
        <v>25</v>
      </c>
      <c r="C42" s="140"/>
      <c r="D42" s="140"/>
      <c r="E42" s="140"/>
      <c r="F42" s="140"/>
      <c r="G42" s="140"/>
      <c r="H42" s="140"/>
      <c r="R42" s="120"/>
    </row>
    <row r="44" spans="2:32">
      <c r="B44" s="118" t="s">
        <v>63</v>
      </c>
      <c r="C44" s="141" t="s">
        <v>64</v>
      </c>
      <c r="D44" s="142" t="s">
        <v>102</v>
      </c>
      <c r="AC44" s="279"/>
    </row>
    <row r="45" spans="2:32">
      <c r="C45" s="141" t="str">
        <f>C7</f>
        <v>(a)</v>
      </c>
      <c r="D45" s="118" t="s">
        <v>65</v>
      </c>
      <c r="AC45" s="279"/>
    </row>
    <row r="46" spans="2:32">
      <c r="C46" s="141" t="str">
        <f>D7</f>
        <v>(b)</v>
      </c>
      <c r="D46" s="131" t="str">
        <f>"= "&amp;C7&amp;" x "&amp;C62</f>
        <v>= (a) x 0.05085</v>
      </c>
      <c r="AC46" s="279"/>
    </row>
    <row r="47" spans="2:32">
      <c r="C47" s="141" t="str">
        <f>G7</f>
        <v>(e)</v>
      </c>
      <c r="D47" s="131" t="str">
        <f>"= ("&amp;$D$7&amp;" + "&amp;$E$7&amp;") /  (8.76 x "&amp;TEXT(C63,"0.0%")&amp;")"</f>
        <v>= ((b) + (c)) /  (8.76 x 30.1%)</v>
      </c>
      <c r="AC47" s="279"/>
    </row>
    <row r="48" spans="2:32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103</v>
      </c>
      <c r="Q54" s="276">
        <v>2029</v>
      </c>
    </row>
    <row r="55" spans="2:25">
      <c r="B55" s="85" t="s">
        <v>101</v>
      </c>
      <c r="C55" s="171">
        <v>1608.8221683005897</v>
      </c>
      <c r="D55" s="118" t="s">
        <v>65</v>
      </c>
      <c r="O55" s="284">
        <v>359.4</v>
      </c>
      <c r="P55" s="118" t="s">
        <v>32</v>
      </c>
      <c r="Q55" s="276" t="s">
        <v>170</v>
      </c>
      <c r="R55" s="276" t="s">
        <v>108</v>
      </c>
      <c r="T55" s="276" t="str">
        <f>$Q$55&amp;"Proposed Station Capital Costs"</f>
        <v>L_.JBB_PVSProposed Station Capital Costs</v>
      </c>
    </row>
    <row r="56" spans="2:25">
      <c r="B56" s="85" t="s">
        <v>101</v>
      </c>
      <c r="C56" s="270">
        <v>24.570618817436728</v>
      </c>
      <c r="D56" s="118" t="s">
        <v>68</v>
      </c>
      <c r="R56" s="120"/>
      <c r="T56" s="276" t="str">
        <f>$Q$55&amp;"Proposed Station Fixed Costs"</f>
        <v>L_.JBB_PVSProposed Station Fixed Costs</v>
      </c>
    </row>
    <row r="57" spans="2:25" ht="24" customHeight="1">
      <c r="B57" s="85"/>
      <c r="C57" s="272"/>
      <c r="D57" s="118" t="s">
        <v>105</v>
      </c>
      <c r="Q57" s="348" t="str">
        <f>Q55&amp;Q54</f>
        <v>L_.JBB_PVS2029</v>
      </c>
      <c r="T57" s="276" t="str">
        <f>$Q$55&amp;"Proposed Station Variable O&amp;M Costs"</f>
        <v>L_.JBB_PVSProposed Station Variable O&amp;M Costs</v>
      </c>
    </row>
    <row r="58" spans="2:25">
      <c r="B58" s="85" t="s">
        <v>101</v>
      </c>
      <c r="C58" s="270">
        <v>0</v>
      </c>
      <c r="D58" s="118" t="s">
        <v>69</v>
      </c>
      <c r="K58" s="120"/>
      <c r="L58" s="150"/>
      <c r="M58" s="52"/>
      <c r="N58" s="164"/>
      <c r="O58" s="52"/>
      <c r="P58" s="52"/>
      <c r="Q58" s="120" t="s">
        <v>269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70</v>
      </c>
      <c r="I59" s="198" t="s">
        <v>91</v>
      </c>
      <c r="L59" s="152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71" t="str">
        <f>LEFT(RIGHT(INDEX('Table 3 TransCost'!$39:$39,1,MATCH(F60,'Table 3 TransCost'!$4:$4,0)),6),5)</f>
        <v>2029$</v>
      </c>
      <c r="C60" s="272">
        <f>INDEX('Table 3 TransCost'!$39:$39,1,MATCH(F60,'Table 3 TransCost'!$4:$4,0)+2)</f>
        <v>0</v>
      </c>
      <c r="D60" s="118" t="s">
        <v>218</v>
      </c>
      <c r="F60" s="276" t="s">
        <v>219</v>
      </c>
      <c r="K60" s="152"/>
      <c r="L60" s="152"/>
      <c r="M60" s="152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1"/>
      <c r="K61" s="152"/>
      <c r="L61" s="152"/>
      <c r="M61" s="152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5">
      <c r="C62" s="271">
        <v>5.0849999999999999E-2</v>
      </c>
      <c r="D62" s="118" t="s">
        <v>36</v>
      </c>
      <c r="E62" s="118" t="s">
        <v>109</v>
      </c>
      <c r="K62" s="156"/>
      <c r="L62" s="157"/>
      <c r="M62" s="157"/>
      <c r="O62" s="158"/>
    </row>
    <row r="63" spans="2:25">
      <c r="C63" s="209">
        <v>0.30099999999999999</v>
      </c>
      <c r="D63" s="118" t="s">
        <v>37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2.1000000000000001E-2</v>
      </c>
    </row>
    <row r="69" spans="3:14">
      <c r="C69" s="87">
        <f t="shared" si="11"/>
        <v>2020</v>
      </c>
      <c r="D69" s="41">
        <v>1.9E-2</v>
      </c>
      <c r="E69" s="85"/>
      <c r="F69" s="87">
        <f t="shared" si="12"/>
        <v>2029</v>
      </c>
      <c r="G69" s="41">
        <v>2.3E-2</v>
      </c>
      <c r="H69" s="41"/>
      <c r="I69" s="87">
        <f t="shared" si="13"/>
        <v>2038</v>
      </c>
      <c r="J69" s="41">
        <v>2.1000000000000001E-2</v>
      </c>
    </row>
    <row r="70" spans="3:14">
      <c r="C70" s="87">
        <f t="shared" si="11"/>
        <v>2021</v>
      </c>
      <c r="D70" s="41">
        <v>0.02</v>
      </c>
      <c r="E70" s="85"/>
      <c r="F70" s="87">
        <f t="shared" si="12"/>
        <v>2030</v>
      </c>
      <c r="G70" s="41">
        <v>2.1999999999999999E-2</v>
      </c>
      <c r="H70" s="41"/>
      <c r="I70" s="87">
        <f t="shared" si="13"/>
        <v>2039</v>
      </c>
      <c r="J70" s="41">
        <v>2.1000000000000001E-2</v>
      </c>
    </row>
    <row r="71" spans="3:14">
      <c r="C71" s="87">
        <f t="shared" si="11"/>
        <v>2022</v>
      </c>
      <c r="D71" s="41">
        <v>2.5000000000000001E-2</v>
      </c>
      <c r="E71" s="85"/>
      <c r="F71" s="87">
        <f t="shared" si="12"/>
        <v>2031</v>
      </c>
      <c r="G71" s="41">
        <v>2.1999999999999999E-2</v>
      </c>
      <c r="H71" s="41"/>
      <c r="I71" s="87">
        <f t="shared" si="13"/>
        <v>2040</v>
      </c>
      <c r="J71" s="41">
        <v>2.1000000000000001E-2</v>
      </c>
    </row>
    <row r="72" spans="3:14" s="120" customFormat="1">
      <c r="C72" s="87">
        <f t="shared" si="11"/>
        <v>2023</v>
      </c>
      <c r="D72" s="41">
        <v>2.5000000000000001E-2</v>
      </c>
      <c r="E72" s="86"/>
      <c r="F72" s="87">
        <f t="shared" si="12"/>
        <v>2032</v>
      </c>
      <c r="G72" s="41">
        <v>2.1999999999999999E-2</v>
      </c>
      <c r="H72" s="41"/>
      <c r="I72" s="87">
        <f t="shared" si="13"/>
        <v>2041</v>
      </c>
      <c r="J72" s="41">
        <v>2.1000000000000001E-2</v>
      </c>
      <c r="N72" s="165"/>
    </row>
    <row r="73" spans="3:14" s="120" customFormat="1">
      <c r="C73" s="87">
        <f t="shared" si="11"/>
        <v>2024</v>
      </c>
      <c r="D73" s="41">
        <v>2.4E-2</v>
      </c>
      <c r="E73" s="86"/>
      <c r="F73" s="87">
        <f t="shared" si="12"/>
        <v>2033</v>
      </c>
      <c r="G73" s="41">
        <v>2.1000000000000001E-2</v>
      </c>
      <c r="H73" s="41"/>
      <c r="I73" s="87">
        <f t="shared" si="13"/>
        <v>2042</v>
      </c>
      <c r="J73" s="41">
        <v>2.1000000000000001E-2</v>
      </c>
      <c r="N73" s="165"/>
    </row>
    <row r="74" spans="3:14" s="120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2.1000000000000001E-2</v>
      </c>
      <c r="H74" s="41"/>
      <c r="I74" s="87">
        <f t="shared" si="13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2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11.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4" width="9.33203125" style="118"/>
    <col min="25" max="25" width="12" style="118" bestFit="1" customWidth="1"/>
    <col min="26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32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32" ht="15.75">
      <c r="B2" s="116" t="s">
        <v>149</v>
      </c>
      <c r="C2" s="117"/>
      <c r="D2" s="117"/>
      <c r="E2" s="117"/>
      <c r="F2" s="117"/>
      <c r="G2" s="117"/>
      <c r="H2" s="117"/>
      <c r="I2" s="117"/>
      <c r="J2" s="117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2:32" ht="15.75">
      <c r="B3" s="116" t="str">
        <f>TEXT($C$63,"0%")&amp;" Capacity Factor"</f>
        <v>30% Capacity Factor</v>
      </c>
      <c r="C3" s="117"/>
      <c r="D3" s="117"/>
      <c r="E3" s="117"/>
      <c r="F3" s="117"/>
      <c r="G3" s="117"/>
      <c r="H3" s="117"/>
      <c r="I3" s="117"/>
      <c r="J3" s="117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2:32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2:32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R5" s="277"/>
      <c r="S5" s="120"/>
      <c r="T5" s="120"/>
      <c r="U5" s="120"/>
      <c r="V5" s="120"/>
      <c r="W5" s="120"/>
      <c r="X5" s="120"/>
      <c r="Y5" s="383"/>
      <c r="Z5" s="383"/>
      <c r="AA5" s="120"/>
    </row>
    <row r="6" spans="2:32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R6" s="278"/>
      <c r="S6" s="120"/>
      <c r="T6" s="120"/>
      <c r="U6" s="120"/>
      <c r="V6" s="120"/>
      <c r="W6" s="120"/>
      <c r="X6" s="120"/>
      <c r="Y6" s="120"/>
      <c r="Z6" s="120"/>
      <c r="AA6" s="120"/>
    </row>
    <row r="7" spans="2:32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2:32" ht="6" customHeight="1">
      <c r="K8" s="120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2:32" ht="15.75">
      <c r="B9" s="43" t="str">
        <f>C52</f>
        <v>2019 IRP Southen Oregon Solar with Storage - 30%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2:32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32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32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W12" s="154"/>
      <c r="Y12" s="154"/>
      <c r="Z12" s="154"/>
      <c r="AF12" s="154"/>
    </row>
    <row r="13" spans="2:32">
      <c r="B13" s="136">
        <f t="shared" si="0"/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25.01</v>
      </c>
      <c r="L13" s="120"/>
      <c r="N13" s="118"/>
      <c r="R13" s="120"/>
      <c r="V13" s="154"/>
      <c r="W13" s="154"/>
      <c r="Y13" s="154"/>
      <c r="Z13" s="154"/>
      <c r="AF13" s="154"/>
    </row>
    <row r="14" spans="2:32">
      <c r="B14" s="136">
        <f t="shared" si="0"/>
        <v>2020</v>
      </c>
      <c r="C14" s="137"/>
      <c r="D14" s="129"/>
      <c r="E14" s="129">
        <f t="shared" si="1"/>
        <v>25.49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25.49</v>
      </c>
      <c r="L14" s="120"/>
      <c r="N14" s="118"/>
      <c r="O14" s="133"/>
      <c r="P14" s="134"/>
      <c r="Q14" s="135"/>
      <c r="R14" s="120"/>
      <c r="V14" s="154"/>
      <c r="W14" s="154"/>
      <c r="Y14" s="154"/>
      <c r="Z14" s="154"/>
      <c r="AF14" s="154"/>
    </row>
    <row r="15" spans="2:32">
      <c r="B15" s="136">
        <f t="shared" si="0"/>
        <v>2021</v>
      </c>
      <c r="C15" s="137"/>
      <c r="D15" s="129"/>
      <c r="E15" s="129">
        <f t="shared" si="1"/>
        <v>26</v>
      </c>
      <c r="F15" s="129"/>
      <c r="G15" s="131"/>
      <c r="H15" s="129">
        <f t="shared" si="2"/>
        <v>0</v>
      </c>
      <c r="I15" s="131"/>
      <c r="J15" s="131"/>
      <c r="K15" s="129">
        <f t="shared" si="3"/>
        <v>26</v>
      </c>
      <c r="L15" s="120"/>
      <c r="N15" s="118"/>
      <c r="O15" s="273"/>
      <c r="P15" s="134"/>
      <c r="Q15" s="135"/>
      <c r="R15" s="120"/>
      <c r="V15" s="154"/>
      <c r="W15" s="154"/>
      <c r="Y15" s="154"/>
      <c r="Z15" s="154"/>
      <c r="AF15" s="154"/>
    </row>
    <row r="16" spans="2:32">
      <c r="B16" s="136">
        <f t="shared" si="0"/>
        <v>2022</v>
      </c>
      <c r="C16" s="137"/>
      <c r="D16" s="129"/>
      <c r="E16" s="129">
        <f t="shared" si="1"/>
        <v>26.65</v>
      </c>
      <c r="F16" s="129"/>
      <c r="G16" s="131"/>
      <c r="H16" s="129">
        <f t="shared" si="2"/>
        <v>0</v>
      </c>
      <c r="I16" s="131"/>
      <c r="J16" s="131"/>
      <c r="K16" s="129">
        <f t="shared" si="3"/>
        <v>26.65</v>
      </c>
      <c r="L16" s="120"/>
      <c r="N16" s="118"/>
      <c r="O16" s="350"/>
      <c r="R16" s="120"/>
      <c r="V16" s="154"/>
      <c r="W16" s="154"/>
      <c r="Y16" s="154"/>
      <c r="Z16" s="154"/>
      <c r="AF16" s="154"/>
    </row>
    <row r="17" spans="2:32">
      <c r="B17" s="136">
        <f t="shared" si="0"/>
        <v>2023</v>
      </c>
      <c r="C17" s="137"/>
      <c r="D17" s="129"/>
      <c r="E17" s="129">
        <f t="shared" si="1"/>
        <v>27.32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27.32</v>
      </c>
      <c r="L17" s="120"/>
      <c r="N17" s="118"/>
      <c r="O17" s="199"/>
      <c r="R17" s="120"/>
      <c r="V17" s="154"/>
      <c r="W17" s="154"/>
      <c r="Y17" s="154"/>
      <c r="Z17" s="154"/>
      <c r="AF17" s="154"/>
    </row>
    <row r="18" spans="2:32">
      <c r="B18" s="136">
        <f t="shared" si="0"/>
        <v>2024</v>
      </c>
      <c r="C18" s="349">
        <v>1296.5513342379013</v>
      </c>
      <c r="D18" s="129">
        <f>C18*$C$62</f>
        <v>65.929635345997283</v>
      </c>
      <c r="E18" s="129">
        <f t="shared" si="1"/>
        <v>27.98</v>
      </c>
      <c r="F18" s="200">
        <f>C60</f>
        <v>0</v>
      </c>
      <c r="G18" s="131">
        <f>(D18+E18+F18)/(8.76*$C$63)</f>
        <v>36.095212146578916</v>
      </c>
      <c r="H18" s="129">
        <f t="shared" si="2"/>
        <v>0</v>
      </c>
      <c r="I18" s="131">
        <f>(G18+H18)</f>
        <v>36.095212146578916</v>
      </c>
      <c r="J18" s="131">
        <f t="shared" ref="J18:J32" si="4">ROUND(I18*$C$63*8.76,2)</f>
        <v>93.91</v>
      </c>
      <c r="K18" s="129">
        <f t="shared" si="3"/>
        <v>93.909635345997287</v>
      </c>
      <c r="L18" s="120"/>
      <c r="N18" s="118"/>
      <c r="O18" s="351"/>
      <c r="Q18" s="154"/>
      <c r="R18" s="120"/>
      <c r="T18" s="162"/>
      <c r="U18" s="154"/>
      <c r="V18" s="154"/>
      <c r="W18" s="154"/>
      <c r="X18" s="154"/>
      <c r="Y18" s="154"/>
      <c r="Z18" s="154"/>
      <c r="AA18" s="282"/>
      <c r="AB18" s="281"/>
      <c r="AF18" s="154"/>
    </row>
    <row r="19" spans="2:32">
      <c r="B19" s="136">
        <f t="shared" si="0"/>
        <v>2025</v>
      </c>
      <c r="C19" s="137"/>
      <c r="D19" s="129">
        <f t="shared" ref="D19:F37" si="5">ROUND(D18*(1+(IFERROR(INDEX($D$66:$D$74,MATCH($B19,$C$66:$C$74,0),1),0)+IFERROR(INDEX($G$66:$G$74,MATCH($B19,$F$66:$F$74,0),1),0)+IFERROR(INDEX($J$66:$J$74,MATCH($B19,$I$66:$I$74,0),1),0))),2)</f>
        <v>67.45</v>
      </c>
      <c r="E19" s="129">
        <f t="shared" si="1"/>
        <v>28.62</v>
      </c>
      <c r="F19" s="129">
        <f t="shared" si="5"/>
        <v>0</v>
      </c>
      <c r="G19" s="131">
        <f t="shared" ref="G19:G37" si="6">(D19+E19+F19)/(8.76*$C$63)</f>
        <v>36.925572313700172</v>
      </c>
      <c r="H19" s="129">
        <f t="shared" si="2"/>
        <v>0</v>
      </c>
      <c r="I19" s="131">
        <f t="shared" ref="I19:I37" si="7">(G19+H19)</f>
        <v>36.925572313700172</v>
      </c>
      <c r="J19" s="131">
        <f t="shared" si="4"/>
        <v>96.07</v>
      </c>
      <c r="K19" s="129">
        <f t="shared" si="3"/>
        <v>96.070000000000007</v>
      </c>
      <c r="L19" s="120"/>
      <c r="N19" s="118"/>
      <c r="R19" s="120"/>
      <c r="T19" s="162"/>
      <c r="U19" s="154"/>
      <c r="V19" s="154"/>
      <c r="W19" s="154"/>
      <c r="X19" s="154"/>
      <c r="Y19" s="154"/>
      <c r="Z19" s="154"/>
      <c r="AF19" s="154"/>
    </row>
    <row r="20" spans="2:32">
      <c r="B20" s="136">
        <f t="shared" si="0"/>
        <v>2026</v>
      </c>
      <c r="C20" s="137"/>
      <c r="D20" s="129">
        <f t="shared" si="5"/>
        <v>69</v>
      </c>
      <c r="E20" s="129">
        <f t="shared" si="1"/>
        <v>29.28</v>
      </c>
      <c r="F20" s="129">
        <f t="shared" si="5"/>
        <v>0</v>
      </c>
      <c r="G20" s="131">
        <f t="shared" si="6"/>
        <v>37.775010377750107</v>
      </c>
      <c r="H20" s="129">
        <f t="shared" si="2"/>
        <v>0</v>
      </c>
      <c r="I20" s="131">
        <f t="shared" si="7"/>
        <v>37.775010377750107</v>
      </c>
      <c r="J20" s="131">
        <f t="shared" si="4"/>
        <v>98.28</v>
      </c>
      <c r="K20" s="129">
        <f t="shared" si="3"/>
        <v>98.28</v>
      </c>
      <c r="L20" s="120"/>
      <c r="N20" s="118"/>
      <c r="R20" s="161"/>
      <c r="T20" s="162"/>
      <c r="U20" s="154"/>
      <c r="V20" s="154"/>
      <c r="W20" s="154"/>
      <c r="X20" s="154"/>
      <c r="Y20" s="154"/>
      <c r="Z20" s="154"/>
      <c r="AF20" s="154"/>
    </row>
    <row r="21" spans="2:32">
      <c r="B21" s="136">
        <f t="shared" si="0"/>
        <v>2027</v>
      </c>
      <c r="C21" s="137"/>
      <c r="D21" s="129">
        <f t="shared" si="5"/>
        <v>70.59</v>
      </c>
      <c r="E21" s="129">
        <f t="shared" si="1"/>
        <v>29.95</v>
      </c>
      <c r="F21" s="129">
        <f t="shared" si="5"/>
        <v>0</v>
      </c>
      <c r="G21" s="131">
        <f t="shared" si="6"/>
        <v>38.643666497547784</v>
      </c>
      <c r="H21" s="129">
        <f t="shared" si="2"/>
        <v>0</v>
      </c>
      <c r="I21" s="131">
        <f t="shared" si="7"/>
        <v>38.643666497547784</v>
      </c>
      <c r="J21" s="131">
        <f t="shared" si="4"/>
        <v>100.54</v>
      </c>
      <c r="K21" s="129">
        <f t="shared" si="3"/>
        <v>100.54</v>
      </c>
      <c r="L21" s="120"/>
      <c r="N21" s="118"/>
      <c r="R21" s="161"/>
      <c r="T21" s="162"/>
      <c r="U21" s="154"/>
      <c r="V21" s="154"/>
      <c r="W21" s="154"/>
      <c r="X21" s="154"/>
      <c r="Y21" s="154"/>
      <c r="Z21" s="154"/>
      <c r="AF21" s="154"/>
    </row>
    <row r="22" spans="2:32">
      <c r="B22" s="136">
        <f t="shared" si="0"/>
        <v>2028</v>
      </c>
      <c r="C22" s="137"/>
      <c r="D22" s="129">
        <f t="shared" si="5"/>
        <v>72.209999999999994</v>
      </c>
      <c r="E22" s="129">
        <f t="shared" si="1"/>
        <v>30.64</v>
      </c>
      <c r="F22" s="129">
        <f t="shared" si="5"/>
        <v>0</v>
      </c>
      <c r="G22" s="131">
        <f t="shared" si="6"/>
        <v>39.531540673093183</v>
      </c>
      <c r="H22" s="129">
        <f t="shared" si="2"/>
        <v>0</v>
      </c>
      <c r="I22" s="131">
        <f t="shared" si="7"/>
        <v>39.531540673093183</v>
      </c>
      <c r="J22" s="131">
        <f t="shared" si="4"/>
        <v>102.85</v>
      </c>
      <c r="K22" s="129">
        <f t="shared" si="3"/>
        <v>102.85</v>
      </c>
      <c r="L22" s="120"/>
      <c r="N22" s="118"/>
      <c r="R22" s="161"/>
      <c r="T22" s="162"/>
      <c r="U22" s="154"/>
      <c r="V22" s="154"/>
      <c r="W22" s="154"/>
      <c r="X22" s="154"/>
      <c r="Y22" s="154"/>
      <c r="Z22" s="154"/>
      <c r="AF22" s="154"/>
    </row>
    <row r="23" spans="2:32">
      <c r="B23" s="136">
        <f t="shared" si="0"/>
        <v>2029</v>
      </c>
      <c r="C23" s="137"/>
      <c r="D23" s="129">
        <f t="shared" si="5"/>
        <v>73.87</v>
      </c>
      <c r="E23" s="129">
        <f t="shared" si="1"/>
        <v>31.34</v>
      </c>
      <c r="F23" s="129">
        <f t="shared" si="5"/>
        <v>0</v>
      </c>
      <c r="G23" s="131">
        <f t="shared" si="6"/>
        <v>40.438632904386338</v>
      </c>
      <c r="H23" s="129">
        <f t="shared" si="2"/>
        <v>0</v>
      </c>
      <c r="I23" s="131">
        <f t="shared" si="7"/>
        <v>40.438632904386338</v>
      </c>
      <c r="J23" s="131">
        <f t="shared" si="4"/>
        <v>105.21</v>
      </c>
      <c r="K23" s="129">
        <f t="shared" si="3"/>
        <v>105.21000000000001</v>
      </c>
      <c r="L23" s="120"/>
      <c r="N23" s="118"/>
      <c r="R23" s="161"/>
      <c r="T23" s="162"/>
      <c r="U23" s="154"/>
      <c r="V23" s="154"/>
      <c r="W23" s="154"/>
      <c r="X23" s="154"/>
      <c r="Y23" s="154"/>
      <c r="Z23" s="154"/>
      <c r="AF23" s="154"/>
    </row>
    <row r="24" spans="2:32">
      <c r="B24" s="136">
        <f t="shared" si="0"/>
        <v>2030</v>
      </c>
      <c r="C24" s="137"/>
      <c r="D24" s="129">
        <f t="shared" si="5"/>
        <v>75.5</v>
      </c>
      <c r="E24" s="129">
        <f t="shared" si="1"/>
        <v>32.03</v>
      </c>
      <c r="F24" s="129">
        <f t="shared" si="5"/>
        <v>0</v>
      </c>
      <c r="G24" s="131">
        <f t="shared" si="6"/>
        <v>41.330350691081286</v>
      </c>
      <c r="H24" s="129">
        <f t="shared" si="2"/>
        <v>0</v>
      </c>
      <c r="I24" s="131">
        <f t="shared" si="7"/>
        <v>41.330350691081286</v>
      </c>
      <c r="J24" s="131">
        <f t="shared" si="4"/>
        <v>107.53</v>
      </c>
      <c r="K24" s="129">
        <f t="shared" si="3"/>
        <v>107.53</v>
      </c>
      <c r="L24" s="120"/>
      <c r="N24" s="118"/>
      <c r="R24" s="161"/>
      <c r="T24" s="162"/>
      <c r="U24" s="154"/>
      <c r="V24" s="154"/>
      <c r="W24" s="154"/>
      <c r="X24" s="154"/>
      <c r="Y24" s="154"/>
      <c r="Z24" s="154"/>
      <c r="AF24" s="154"/>
    </row>
    <row r="25" spans="2:32">
      <c r="B25" s="136">
        <f t="shared" si="0"/>
        <v>2031</v>
      </c>
      <c r="C25" s="137"/>
      <c r="D25" s="129">
        <f t="shared" si="5"/>
        <v>77.16</v>
      </c>
      <c r="E25" s="129">
        <f t="shared" si="1"/>
        <v>32.729999999999997</v>
      </c>
      <c r="F25" s="129">
        <f t="shared" si="5"/>
        <v>0</v>
      </c>
      <c r="G25" s="131">
        <f t="shared" si="6"/>
        <v>42.237442922374427</v>
      </c>
      <c r="H25" s="129">
        <f t="shared" si="2"/>
        <v>0</v>
      </c>
      <c r="I25" s="131">
        <f t="shared" si="7"/>
        <v>42.237442922374427</v>
      </c>
      <c r="J25" s="131">
        <f t="shared" si="4"/>
        <v>109.89</v>
      </c>
      <c r="K25" s="129">
        <f t="shared" si="3"/>
        <v>109.88999999999999</v>
      </c>
      <c r="L25" s="120"/>
      <c r="N25" s="118"/>
      <c r="R25" s="161"/>
      <c r="T25" s="162"/>
      <c r="U25" s="154"/>
      <c r="V25" s="154"/>
      <c r="W25" s="154"/>
      <c r="X25" s="154"/>
      <c r="Y25" s="154"/>
      <c r="Z25" s="154"/>
      <c r="AF25" s="154"/>
    </row>
    <row r="26" spans="2:32">
      <c r="B26" s="136">
        <f t="shared" si="0"/>
        <v>2032</v>
      </c>
      <c r="C26" s="137"/>
      <c r="D26" s="129">
        <f t="shared" si="5"/>
        <v>78.86</v>
      </c>
      <c r="E26" s="129">
        <f t="shared" si="1"/>
        <v>33.450000000000003</v>
      </c>
      <c r="F26" s="129">
        <f t="shared" si="5"/>
        <v>0</v>
      </c>
      <c r="G26" s="131">
        <f t="shared" si="6"/>
        <v>43.16759682056486</v>
      </c>
      <c r="H26" s="129">
        <f t="shared" si="2"/>
        <v>0</v>
      </c>
      <c r="I26" s="131">
        <f t="shared" si="7"/>
        <v>43.16759682056486</v>
      </c>
      <c r="J26" s="131">
        <f t="shared" si="4"/>
        <v>112.31</v>
      </c>
      <c r="K26" s="129">
        <f t="shared" si="3"/>
        <v>112.31</v>
      </c>
      <c r="L26" s="120"/>
      <c r="N26" s="118"/>
      <c r="R26" s="161"/>
      <c r="T26" s="162"/>
      <c r="U26" s="154"/>
      <c r="V26" s="154"/>
      <c r="W26" s="154"/>
      <c r="X26" s="154"/>
      <c r="Y26" s="154"/>
      <c r="Z26" s="154"/>
      <c r="AF26" s="154"/>
    </row>
    <row r="27" spans="2:32">
      <c r="B27" s="136">
        <f t="shared" si="0"/>
        <v>2033</v>
      </c>
      <c r="C27" s="137"/>
      <c r="D27" s="129">
        <f t="shared" si="5"/>
        <v>80.52</v>
      </c>
      <c r="E27" s="129">
        <f t="shared" si="1"/>
        <v>34.15</v>
      </c>
      <c r="F27" s="129">
        <f t="shared" si="5"/>
        <v>0</v>
      </c>
      <c r="G27" s="131">
        <f t="shared" si="6"/>
        <v>44.074689051858002</v>
      </c>
      <c r="H27" s="129">
        <f t="shared" si="2"/>
        <v>0</v>
      </c>
      <c r="I27" s="131">
        <f t="shared" si="7"/>
        <v>44.074689051858002</v>
      </c>
      <c r="J27" s="131">
        <f t="shared" si="4"/>
        <v>114.67</v>
      </c>
      <c r="K27" s="129">
        <f t="shared" si="3"/>
        <v>114.66999999999999</v>
      </c>
      <c r="L27" s="120"/>
      <c r="N27" s="118"/>
      <c r="R27" s="161"/>
      <c r="T27" s="162"/>
      <c r="U27" s="154"/>
      <c r="V27" s="154"/>
      <c r="W27" s="154"/>
      <c r="X27" s="154"/>
      <c r="Y27" s="154"/>
      <c r="Z27" s="154"/>
      <c r="AF27" s="154"/>
    </row>
    <row r="28" spans="2:32">
      <c r="B28" s="136">
        <f t="shared" si="0"/>
        <v>2034</v>
      </c>
      <c r="C28" s="137"/>
      <c r="D28" s="129">
        <f t="shared" si="5"/>
        <v>82.21</v>
      </c>
      <c r="E28" s="129">
        <f t="shared" si="1"/>
        <v>34.869999999999997</v>
      </c>
      <c r="F28" s="129">
        <f t="shared" si="5"/>
        <v>0</v>
      </c>
      <c r="G28" s="131">
        <f t="shared" si="6"/>
        <v>45.000999338898879</v>
      </c>
      <c r="H28" s="129">
        <f t="shared" si="2"/>
        <v>0</v>
      </c>
      <c r="I28" s="131">
        <f t="shared" si="7"/>
        <v>45.000999338898879</v>
      </c>
      <c r="J28" s="131">
        <f t="shared" si="4"/>
        <v>117.08</v>
      </c>
      <c r="K28" s="129">
        <f t="shared" si="3"/>
        <v>117.07999999999998</v>
      </c>
      <c r="L28" s="120"/>
      <c r="N28" s="118"/>
      <c r="R28" s="161"/>
      <c r="T28" s="162"/>
      <c r="U28" s="154"/>
      <c r="V28" s="154"/>
      <c r="W28" s="154"/>
      <c r="X28" s="154"/>
      <c r="Y28" s="154"/>
      <c r="Z28" s="154"/>
      <c r="AF28" s="154"/>
    </row>
    <row r="29" spans="2:32">
      <c r="B29" s="136">
        <f t="shared" si="0"/>
        <v>2035</v>
      </c>
      <c r="C29" s="137"/>
      <c r="D29" s="129">
        <f t="shared" si="5"/>
        <v>83.94</v>
      </c>
      <c r="E29" s="129">
        <f t="shared" si="1"/>
        <v>35.6</v>
      </c>
      <c r="F29" s="129">
        <f t="shared" si="5"/>
        <v>0</v>
      </c>
      <c r="G29" s="131">
        <f t="shared" si="6"/>
        <v>45.946527681687499</v>
      </c>
      <c r="H29" s="129">
        <f t="shared" si="2"/>
        <v>0</v>
      </c>
      <c r="I29" s="131">
        <f t="shared" si="7"/>
        <v>45.946527681687499</v>
      </c>
      <c r="J29" s="131">
        <f t="shared" si="4"/>
        <v>119.54</v>
      </c>
      <c r="K29" s="129">
        <f t="shared" si="3"/>
        <v>119.53999999999999</v>
      </c>
      <c r="L29" s="120"/>
      <c r="N29" s="118"/>
      <c r="R29" s="161"/>
      <c r="T29" s="162"/>
      <c r="U29" s="154"/>
      <c r="V29" s="154"/>
      <c r="W29" s="154"/>
      <c r="X29" s="154"/>
      <c r="Y29" s="154"/>
      <c r="Z29" s="154"/>
      <c r="AF29" s="154"/>
    </row>
    <row r="30" spans="2:32">
      <c r="B30" s="136">
        <f t="shared" si="0"/>
        <v>2036</v>
      </c>
      <c r="C30" s="137"/>
      <c r="D30" s="129">
        <f t="shared" si="5"/>
        <v>85.7</v>
      </c>
      <c r="E30" s="129">
        <f t="shared" si="1"/>
        <v>36.35</v>
      </c>
      <c r="F30" s="129">
        <f t="shared" si="5"/>
        <v>0</v>
      </c>
      <c r="G30" s="131">
        <f t="shared" si="6"/>
        <v>46.911274080223862</v>
      </c>
      <c r="H30" s="129">
        <f t="shared" si="2"/>
        <v>0</v>
      </c>
      <c r="I30" s="131">
        <f t="shared" si="7"/>
        <v>46.911274080223862</v>
      </c>
      <c r="J30" s="131">
        <f t="shared" si="4"/>
        <v>122.05</v>
      </c>
      <c r="K30" s="129">
        <f t="shared" si="3"/>
        <v>122.05000000000001</v>
      </c>
      <c r="L30" s="120"/>
      <c r="N30" s="118"/>
      <c r="R30" s="161"/>
      <c r="T30" s="162"/>
      <c r="U30" s="154"/>
      <c r="V30" s="154"/>
      <c r="W30" s="154"/>
      <c r="X30" s="154"/>
      <c r="Y30" s="154"/>
      <c r="Z30" s="154"/>
      <c r="AF30" s="154"/>
    </row>
    <row r="31" spans="2:32">
      <c r="B31" s="136">
        <f t="shared" si="0"/>
        <v>2037</v>
      </c>
      <c r="C31" s="137"/>
      <c r="D31" s="129">
        <f t="shared" si="5"/>
        <v>87.5</v>
      </c>
      <c r="E31" s="129">
        <f t="shared" si="1"/>
        <v>37.11</v>
      </c>
      <c r="F31" s="129">
        <f t="shared" si="5"/>
        <v>0</v>
      </c>
      <c r="G31" s="131">
        <f t="shared" si="6"/>
        <v>47.895238534507946</v>
      </c>
      <c r="H31" s="129">
        <f t="shared" si="2"/>
        <v>0</v>
      </c>
      <c r="I31" s="131">
        <f t="shared" si="7"/>
        <v>47.895238534507946</v>
      </c>
      <c r="J31" s="131">
        <f t="shared" si="4"/>
        <v>124.61</v>
      </c>
      <c r="K31" s="129">
        <f t="shared" si="3"/>
        <v>124.61</v>
      </c>
      <c r="L31" s="120"/>
      <c r="N31" s="118"/>
      <c r="R31" s="161"/>
      <c r="T31" s="162"/>
      <c r="U31" s="154"/>
      <c r="V31" s="154"/>
      <c r="W31" s="154"/>
      <c r="X31" s="154"/>
      <c r="Y31" s="154"/>
      <c r="Z31" s="154"/>
      <c r="AF31" s="154"/>
    </row>
    <row r="32" spans="2:32">
      <c r="B32" s="136">
        <f t="shared" si="0"/>
        <v>2038</v>
      </c>
      <c r="C32" s="137"/>
      <c r="D32" s="129">
        <f t="shared" si="5"/>
        <v>89.34</v>
      </c>
      <c r="E32" s="129">
        <f t="shared" si="1"/>
        <v>37.89</v>
      </c>
      <c r="F32" s="129">
        <f t="shared" si="5"/>
        <v>0</v>
      </c>
      <c r="G32" s="131">
        <f t="shared" si="6"/>
        <v>48.902264655689315</v>
      </c>
      <c r="H32" s="129">
        <f t="shared" si="2"/>
        <v>0</v>
      </c>
      <c r="I32" s="131">
        <f t="shared" si="7"/>
        <v>48.902264655689315</v>
      </c>
      <c r="J32" s="131">
        <f t="shared" si="4"/>
        <v>127.23</v>
      </c>
      <c r="K32" s="129">
        <f t="shared" si="3"/>
        <v>127.23</v>
      </c>
      <c r="L32" s="120"/>
      <c r="N32" s="118"/>
      <c r="R32" s="161"/>
      <c r="T32" s="162"/>
      <c r="U32" s="154"/>
      <c r="V32" s="154"/>
      <c r="W32" s="154"/>
      <c r="X32" s="154"/>
      <c r="Y32" s="154"/>
      <c r="Z32" s="154"/>
      <c r="AF32" s="154"/>
    </row>
    <row r="33" spans="2:32">
      <c r="B33" s="136">
        <f t="shared" si="0"/>
        <v>2039</v>
      </c>
      <c r="C33" s="137"/>
      <c r="D33" s="129">
        <f t="shared" si="5"/>
        <v>91.22</v>
      </c>
      <c r="E33" s="129">
        <f t="shared" si="1"/>
        <v>38.69</v>
      </c>
      <c r="F33" s="129">
        <f t="shared" si="5"/>
        <v>0</v>
      </c>
      <c r="G33" s="131">
        <f t="shared" si="6"/>
        <v>49.932352443767968</v>
      </c>
      <c r="H33" s="129">
        <f t="shared" si="2"/>
        <v>0</v>
      </c>
      <c r="I33" s="131">
        <f t="shared" si="7"/>
        <v>49.932352443767968</v>
      </c>
      <c r="J33" s="131">
        <f t="shared" ref="J33:J37" si="8">ROUND(I33*$C$63*8.76,2)</f>
        <v>129.91</v>
      </c>
      <c r="K33" s="129">
        <f t="shared" si="3"/>
        <v>129.91</v>
      </c>
      <c r="L33" s="120"/>
      <c r="N33" s="118"/>
      <c r="R33" s="161"/>
      <c r="T33" s="162"/>
      <c r="U33" s="154"/>
      <c r="V33" s="154"/>
      <c r="W33" s="154"/>
      <c r="X33" s="154"/>
      <c r="Y33" s="154"/>
      <c r="Z33" s="154"/>
      <c r="AF33" s="154"/>
    </row>
    <row r="34" spans="2:32">
      <c r="B34" s="136">
        <f t="shared" si="0"/>
        <v>2040</v>
      </c>
      <c r="C34" s="137"/>
      <c r="D34" s="129">
        <f t="shared" si="5"/>
        <v>93.14</v>
      </c>
      <c r="E34" s="129">
        <f t="shared" si="1"/>
        <v>39.5</v>
      </c>
      <c r="F34" s="129">
        <f t="shared" si="5"/>
        <v>0</v>
      </c>
      <c r="G34" s="131">
        <f t="shared" si="6"/>
        <v>50.981658287594357</v>
      </c>
      <c r="H34" s="129">
        <f t="shared" si="2"/>
        <v>0</v>
      </c>
      <c r="I34" s="131">
        <f t="shared" si="7"/>
        <v>50.981658287594357</v>
      </c>
      <c r="J34" s="131">
        <f t="shared" si="8"/>
        <v>132.63999999999999</v>
      </c>
      <c r="K34" s="129">
        <f t="shared" si="3"/>
        <v>132.63999999999999</v>
      </c>
      <c r="L34" s="120"/>
      <c r="N34" s="118"/>
      <c r="R34" s="161"/>
      <c r="T34" s="162"/>
      <c r="U34" s="154"/>
      <c r="V34" s="154"/>
      <c r="W34" s="154"/>
      <c r="X34" s="154"/>
      <c r="Y34" s="154"/>
      <c r="Z34" s="154"/>
      <c r="AF34" s="154"/>
    </row>
    <row r="35" spans="2:32">
      <c r="B35" s="136">
        <f t="shared" si="0"/>
        <v>2041</v>
      </c>
      <c r="C35" s="137"/>
      <c r="D35" s="129">
        <f t="shared" si="5"/>
        <v>95.1</v>
      </c>
      <c r="E35" s="129">
        <f t="shared" si="1"/>
        <v>40.33</v>
      </c>
      <c r="F35" s="129">
        <f t="shared" si="5"/>
        <v>0</v>
      </c>
      <c r="G35" s="131">
        <f t="shared" si="6"/>
        <v>52.054025798318044</v>
      </c>
      <c r="H35" s="129">
        <f t="shared" si="2"/>
        <v>0</v>
      </c>
      <c r="I35" s="131">
        <f t="shared" si="7"/>
        <v>52.054025798318044</v>
      </c>
      <c r="J35" s="131">
        <f t="shared" si="8"/>
        <v>135.43</v>
      </c>
      <c r="K35" s="129">
        <f t="shared" si="3"/>
        <v>135.43</v>
      </c>
      <c r="L35" s="120"/>
      <c r="N35" s="118"/>
      <c r="R35" s="161"/>
      <c r="T35" s="162"/>
      <c r="U35" s="154"/>
      <c r="V35" s="154"/>
      <c r="W35" s="154"/>
      <c r="X35" s="154"/>
      <c r="Y35" s="154"/>
      <c r="Z35" s="154"/>
      <c r="AF35" s="154"/>
    </row>
    <row r="36" spans="2:32">
      <c r="B36" s="136">
        <f t="shared" si="0"/>
        <v>2042</v>
      </c>
      <c r="C36" s="137"/>
      <c r="D36" s="129">
        <f t="shared" si="5"/>
        <v>97.1</v>
      </c>
      <c r="E36" s="129">
        <f t="shared" si="1"/>
        <v>41.18</v>
      </c>
      <c r="F36" s="129">
        <f t="shared" si="5"/>
        <v>0</v>
      </c>
      <c r="G36" s="131">
        <f t="shared" si="6"/>
        <v>53.149454975939001</v>
      </c>
      <c r="H36" s="129">
        <f t="shared" si="2"/>
        <v>0</v>
      </c>
      <c r="I36" s="131">
        <f t="shared" si="7"/>
        <v>53.149454975939001</v>
      </c>
      <c r="J36" s="131">
        <f t="shared" si="8"/>
        <v>138.28</v>
      </c>
      <c r="K36" s="129">
        <f t="shared" si="3"/>
        <v>138.28</v>
      </c>
      <c r="L36" s="120"/>
      <c r="N36" s="118"/>
      <c r="R36" s="161"/>
      <c r="T36" s="162"/>
      <c r="U36" s="154"/>
      <c r="V36" s="154"/>
      <c r="W36" s="154"/>
      <c r="X36" s="154"/>
      <c r="Y36" s="154"/>
      <c r="Z36" s="154"/>
      <c r="AF36" s="154"/>
    </row>
    <row r="37" spans="2:32">
      <c r="B37" s="136">
        <f t="shared" si="0"/>
        <v>2043</v>
      </c>
      <c r="C37" s="137"/>
      <c r="D37" s="129">
        <f t="shared" si="5"/>
        <v>99.14</v>
      </c>
      <c r="E37" s="129">
        <f t="shared" si="1"/>
        <v>42.04</v>
      </c>
      <c r="F37" s="129">
        <f t="shared" si="5"/>
        <v>0</v>
      </c>
      <c r="G37" s="131">
        <f t="shared" si="6"/>
        <v>54.264102209307694</v>
      </c>
      <c r="H37" s="129">
        <f t="shared" si="2"/>
        <v>0</v>
      </c>
      <c r="I37" s="131">
        <f t="shared" si="7"/>
        <v>54.264102209307694</v>
      </c>
      <c r="J37" s="131">
        <f t="shared" si="8"/>
        <v>141.18</v>
      </c>
      <c r="K37" s="129">
        <f t="shared" si="3"/>
        <v>141.18</v>
      </c>
      <c r="L37" s="120"/>
      <c r="N37" s="118"/>
      <c r="R37" s="161"/>
      <c r="T37" s="162"/>
      <c r="U37" s="154"/>
      <c r="V37" s="154"/>
      <c r="W37" s="154"/>
      <c r="X37" s="154"/>
      <c r="Y37" s="154"/>
      <c r="Z37" s="154"/>
      <c r="AF37" s="154"/>
    </row>
    <row r="38" spans="2:32">
      <c r="B38" s="136"/>
      <c r="C38" s="137"/>
      <c r="D38" s="129"/>
      <c r="E38" s="129"/>
      <c r="F38" s="131"/>
      <c r="G38" s="129"/>
      <c r="H38" s="129"/>
      <c r="I38" s="131"/>
      <c r="J38" s="131"/>
      <c r="K38" s="129"/>
      <c r="L38" s="120"/>
      <c r="N38" s="118"/>
      <c r="R38" s="161"/>
      <c r="T38" s="162"/>
      <c r="U38" s="154"/>
      <c r="V38" s="154"/>
      <c r="W38" s="154"/>
      <c r="X38" s="154"/>
      <c r="Y38" s="154"/>
      <c r="Z38" s="154"/>
      <c r="AF38" s="154"/>
    </row>
    <row r="39" spans="2:32">
      <c r="B39" s="136"/>
      <c r="C39" s="137"/>
      <c r="D39" s="129"/>
      <c r="E39" s="129"/>
      <c r="F39" s="131"/>
      <c r="G39" s="129"/>
      <c r="H39" s="129"/>
      <c r="I39" s="131"/>
      <c r="J39" s="131"/>
      <c r="K39" s="129"/>
      <c r="L39" s="120"/>
      <c r="N39" s="118"/>
      <c r="R39" s="161"/>
      <c r="T39" s="162"/>
      <c r="U39" s="154"/>
      <c r="V39" s="154"/>
      <c r="W39" s="154"/>
      <c r="X39" s="154"/>
      <c r="Y39" s="154"/>
      <c r="Z39" s="154"/>
      <c r="AF39" s="154"/>
    </row>
    <row r="40" spans="2:32">
      <c r="B40" s="136"/>
      <c r="C40" s="137"/>
      <c r="D40" s="129"/>
      <c r="E40" s="129"/>
      <c r="F40" s="131"/>
      <c r="G40" s="129"/>
      <c r="H40" s="129"/>
      <c r="I40" s="131"/>
      <c r="J40" s="131"/>
      <c r="K40" s="129"/>
      <c r="L40" s="120"/>
      <c r="N40" s="118"/>
      <c r="R40" s="161"/>
      <c r="T40" s="162"/>
      <c r="U40" s="154"/>
      <c r="V40" s="154"/>
      <c r="W40" s="154"/>
      <c r="X40" s="154"/>
      <c r="Y40" s="154"/>
      <c r="Z40" s="154"/>
      <c r="AF40" s="154"/>
    </row>
    <row r="41" spans="2:32">
      <c r="R41" s="120"/>
    </row>
    <row r="42" spans="2:32" ht="14.25">
      <c r="B42" s="139" t="s">
        <v>25</v>
      </c>
      <c r="C42" s="140"/>
      <c r="D42" s="140"/>
      <c r="E42" s="140"/>
      <c r="F42" s="140"/>
      <c r="G42" s="140"/>
      <c r="H42" s="140"/>
      <c r="R42" s="120"/>
    </row>
    <row r="44" spans="2:32">
      <c r="B44" s="118" t="s">
        <v>63</v>
      </c>
      <c r="C44" s="141" t="s">
        <v>64</v>
      </c>
      <c r="D44" s="142" t="s">
        <v>102</v>
      </c>
    </row>
    <row r="45" spans="2:32">
      <c r="C45" s="141" t="str">
        <f>C7</f>
        <v>(a)</v>
      </c>
      <c r="D45" s="118" t="s">
        <v>65</v>
      </c>
    </row>
    <row r="46" spans="2:32">
      <c r="C46" s="141" t="str">
        <f>D7</f>
        <v>(b)</v>
      </c>
      <c r="D46" s="131" t="str">
        <f>"= "&amp;C7&amp;" x "&amp;C62</f>
        <v>= (a) x 0.05085</v>
      </c>
    </row>
    <row r="47" spans="2:32">
      <c r="C47" s="141" t="str">
        <f>G7</f>
        <v>(e)</v>
      </c>
      <c r="D47" s="131" t="str">
        <f>"= ("&amp;$D$7&amp;" + "&amp;$E$7&amp;") /  (8.76 x "&amp;TEXT(C63,"0.0%")&amp;")"</f>
        <v>= ((b) + (c)) /  (8.76 x 29.7%)</v>
      </c>
    </row>
    <row r="48" spans="2:32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103</v>
      </c>
      <c r="Q54" s="276">
        <v>2024</v>
      </c>
    </row>
    <row r="55" spans="2:25">
      <c r="B55" s="85" t="s">
        <v>101</v>
      </c>
      <c r="C55" s="171">
        <v>1698.6767295711138</v>
      </c>
      <c r="D55" s="118" t="s">
        <v>65</v>
      </c>
      <c r="O55" s="352">
        <v>442.2</v>
      </c>
      <c r="P55" s="118" t="s">
        <v>32</v>
      </c>
      <c r="Q55" s="276" t="s">
        <v>145</v>
      </c>
      <c r="R55" s="276" t="s">
        <v>108</v>
      </c>
      <c r="T55" s="276" t="str">
        <f>$Q$55&amp;"Proposed Station Capital Costs"</f>
        <v>H1.SO1_PVSProposed Station Capital Costs</v>
      </c>
    </row>
    <row r="56" spans="2:25">
      <c r="B56" s="85" t="s">
        <v>101</v>
      </c>
      <c r="C56" s="270">
        <v>24.570618817436728</v>
      </c>
      <c r="D56" s="118" t="s">
        <v>68</v>
      </c>
      <c r="O56" s="352">
        <v>57.8</v>
      </c>
      <c r="P56" s="118" t="s">
        <v>32</v>
      </c>
      <c r="Q56" s="276" t="s">
        <v>146</v>
      </c>
      <c r="R56" s="120"/>
      <c r="T56" s="276" t="str">
        <f>$Q$55&amp;"Proposed Station Fixed Costs"</f>
        <v>H1.SO1_PVSProposed Station Fixed Costs</v>
      </c>
    </row>
    <row r="57" spans="2:25" ht="24" customHeight="1">
      <c r="B57" s="85"/>
      <c r="C57" s="272"/>
      <c r="D57" s="118" t="s">
        <v>105</v>
      </c>
      <c r="Q57" s="348" t="str">
        <f>Q55&amp;Q54</f>
        <v>H1.SO1_PVS2024</v>
      </c>
      <c r="T57" s="276" t="str">
        <f>$Q$55&amp;"Proposed Station Variable O&amp;M Costs"</f>
        <v>H1.SO1_PVSProposed Station Variable O&amp;M Costs</v>
      </c>
    </row>
    <row r="58" spans="2:25">
      <c r="B58" s="85" t="s">
        <v>101</v>
      </c>
      <c r="C58" s="270">
        <v>0</v>
      </c>
      <c r="D58" s="118" t="s">
        <v>69</v>
      </c>
      <c r="K58" s="120"/>
      <c r="L58" s="150"/>
      <c r="M58" s="52"/>
      <c r="N58" s="164"/>
      <c r="O58" s="52"/>
      <c r="P58" s="52"/>
      <c r="Q58" s="120" t="s">
        <v>269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70</v>
      </c>
      <c r="I59" s="198" t="s">
        <v>91</v>
      </c>
      <c r="L59" s="152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71" t="str">
        <f>IFERROR(LEFT(RIGHT(INDEX('Table 3 TransCost'!$39:$39,1,MATCH(F60,'Table 3 TransCost'!$4:$4,0)),6),5),"-")</f>
        <v>-</v>
      </c>
      <c r="C60" s="272">
        <f>IFERROR(INDEX('Table 3 TransCost'!$39:$39,1,MATCH(F60,'Table 3 TransCost'!$4:$4,0)+2),0)</f>
        <v>0</v>
      </c>
      <c r="D60" s="118" t="s">
        <v>218</v>
      </c>
      <c r="F60" s="276" t="s">
        <v>223</v>
      </c>
      <c r="K60" s="152"/>
      <c r="L60" s="152"/>
      <c r="M60" s="152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1"/>
      <c r="K61" s="152"/>
      <c r="L61" s="152"/>
      <c r="M61" s="152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5">
      <c r="C62" s="271">
        <v>5.0849999999999999E-2</v>
      </c>
      <c r="D62" s="118" t="s">
        <v>36</v>
      </c>
      <c r="E62" s="118" t="s">
        <v>109</v>
      </c>
      <c r="K62" s="156"/>
      <c r="L62" s="157"/>
      <c r="M62" s="157"/>
      <c r="O62" s="158"/>
    </row>
    <row r="63" spans="2:25">
      <c r="C63" s="209">
        <v>0.29699999999999999</v>
      </c>
      <c r="D63" s="118" t="s">
        <v>37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20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5"/>
    </row>
    <row r="73" spans="3:14" s="120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5"/>
    </row>
    <row r="74" spans="3:14" s="120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2.832031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10.8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4" width="9.33203125" style="118"/>
    <col min="25" max="25" width="12" style="118" bestFit="1" customWidth="1"/>
    <col min="26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32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32" ht="15.75">
      <c r="B2" s="116" t="s">
        <v>149</v>
      </c>
      <c r="C2" s="117"/>
      <c r="D2" s="117"/>
      <c r="E2" s="117"/>
      <c r="F2" s="117"/>
      <c r="G2" s="117"/>
      <c r="H2" s="117"/>
      <c r="I2" s="117"/>
      <c r="J2" s="117"/>
      <c r="R2" s="120"/>
      <c r="S2" s="120"/>
      <c r="T2" s="120"/>
      <c r="U2" s="120"/>
      <c r="V2" s="120"/>
      <c r="W2" s="120"/>
      <c r="X2" s="120"/>
      <c r="Y2" s="120"/>
    </row>
    <row r="3" spans="2:32" ht="15.75">
      <c r="B3" s="116" t="str">
        <f>TEXT($C$63,"0%")&amp;" Capacity Factor"</f>
        <v>26% Capacity Factor</v>
      </c>
      <c r="C3" s="117"/>
      <c r="D3" s="117"/>
      <c r="E3" s="117"/>
      <c r="F3" s="117"/>
      <c r="G3" s="117"/>
      <c r="H3" s="117"/>
      <c r="I3" s="117"/>
      <c r="J3" s="117"/>
      <c r="R3" s="120"/>
      <c r="S3" s="120"/>
      <c r="T3" s="120"/>
      <c r="U3" s="120"/>
      <c r="V3" s="120"/>
      <c r="W3" s="120"/>
      <c r="X3" s="120"/>
      <c r="Y3" s="120"/>
    </row>
    <row r="4" spans="2:32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  <c r="S4" s="120"/>
      <c r="T4" s="120"/>
      <c r="U4" s="120"/>
      <c r="V4" s="120"/>
      <c r="W4" s="120"/>
      <c r="X4" s="120"/>
      <c r="Y4" s="120"/>
    </row>
    <row r="5" spans="2:32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R5" s="277"/>
      <c r="S5" s="120"/>
      <c r="T5" s="120"/>
      <c r="U5" s="120"/>
      <c r="V5" s="120"/>
      <c r="W5" s="120"/>
      <c r="X5" s="120"/>
      <c r="Y5" s="383"/>
      <c r="Z5" s="215"/>
    </row>
    <row r="6" spans="2:32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R6" s="278"/>
      <c r="S6" s="120"/>
      <c r="T6" s="120"/>
      <c r="U6" s="120"/>
      <c r="V6" s="120"/>
      <c r="W6" s="120"/>
      <c r="X6" s="120"/>
      <c r="Y6" s="120"/>
    </row>
    <row r="7" spans="2:32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R7" s="120"/>
    </row>
    <row r="8" spans="2:32" ht="6" customHeight="1">
      <c r="K8" s="120"/>
      <c r="R8" s="120"/>
    </row>
    <row r="9" spans="2:32" ht="15.75">
      <c r="B9" s="43" t="str">
        <f>C52</f>
        <v>2019 IRP Southen Oregon Solar with Storage - 26%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</row>
    <row r="10" spans="2:32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32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32">
      <c r="B12" s="136">
        <f t="shared" si="0"/>
        <v>2018</v>
      </c>
      <c r="C12" s="137"/>
      <c r="D12" s="129"/>
      <c r="E12" s="149">
        <f>$C$56</f>
        <v>24.570618817436728</v>
      </c>
      <c r="F12" s="149"/>
      <c r="G12" s="131"/>
      <c r="H12" s="149">
        <f>$C$58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W12" s="154"/>
      <c r="Y12" s="154"/>
      <c r="Z12" s="154"/>
      <c r="AF12" s="154"/>
    </row>
    <row r="13" spans="2:32">
      <c r="B13" s="136">
        <f t="shared" si="0"/>
        <v>2019</v>
      </c>
      <c r="C13" s="137"/>
      <c r="D13" s="129"/>
      <c r="E13" s="129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9"/>
      <c r="G13" s="131"/>
      <c r="H13" s="129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3">(D13+E13+F13)</f>
        <v>25.01</v>
      </c>
      <c r="L13" s="120"/>
      <c r="N13" s="118"/>
      <c r="R13" s="120"/>
      <c r="V13" s="154"/>
      <c r="W13" s="154"/>
      <c r="Y13" s="154"/>
      <c r="Z13" s="154"/>
      <c r="AF13" s="154"/>
    </row>
    <row r="14" spans="2:32">
      <c r="B14" s="136">
        <f t="shared" si="0"/>
        <v>2020</v>
      </c>
      <c r="C14" s="137"/>
      <c r="D14" s="129"/>
      <c r="E14" s="129">
        <f t="shared" si="1"/>
        <v>25.49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25.49</v>
      </c>
      <c r="L14" s="120"/>
      <c r="N14" s="118"/>
      <c r="O14" s="133"/>
      <c r="P14" s="134"/>
      <c r="Q14" s="135"/>
      <c r="R14" s="120"/>
      <c r="V14" s="154"/>
      <c r="W14" s="154"/>
      <c r="Y14" s="154"/>
      <c r="Z14" s="154"/>
      <c r="AF14" s="154"/>
    </row>
    <row r="15" spans="2:32">
      <c r="B15" s="136">
        <f t="shared" si="0"/>
        <v>2021</v>
      </c>
      <c r="C15" s="137"/>
      <c r="D15" s="129"/>
      <c r="E15" s="129">
        <f t="shared" si="1"/>
        <v>26</v>
      </c>
      <c r="F15" s="129"/>
      <c r="G15" s="131"/>
      <c r="H15" s="129">
        <f t="shared" si="2"/>
        <v>0</v>
      </c>
      <c r="I15" s="131"/>
      <c r="J15" s="131"/>
      <c r="K15" s="129">
        <f t="shared" si="3"/>
        <v>26</v>
      </c>
      <c r="L15" s="120"/>
      <c r="N15" s="118"/>
      <c r="O15" s="273"/>
      <c r="P15" s="134"/>
      <c r="Q15" s="135"/>
      <c r="R15" s="120"/>
      <c r="V15" s="154"/>
      <c r="W15" s="154"/>
      <c r="Y15" s="154"/>
      <c r="Z15" s="154"/>
      <c r="AF15" s="154"/>
    </row>
    <row r="16" spans="2:32">
      <c r="B16" s="136">
        <f t="shared" si="0"/>
        <v>2022</v>
      </c>
      <c r="C16" s="137"/>
      <c r="D16" s="129"/>
      <c r="E16" s="129">
        <f t="shared" si="1"/>
        <v>26.65</v>
      </c>
      <c r="F16" s="129"/>
      <c r="G16" s="131"/>
      <c r="H16" s="129">
        <f t="shared" si="2"/>
        <v>0</v>
      </c>
      <c r="I16" s="131"/>
      <c r="J16" s="131"/>
      <c r="K16" s="129">
        <f t="shared" si="3"/>
        <v>26.65</v>
      </c>
      <c r="L16" s="120"/>
      <c r="N16" s="118"/>
      <c r="O16" s="350"/>
      <c r="R16" s="120"/>
      <c r="V16" s="154"/>
      <c r="W16" s="154"/>
      <c r="Y16" s="154"/>
      <c r="Z16" s="154"/>
      <c r="AF16" s="154"/>
    </row>
    <row r="17" spans="2:32">
      <c r="B17" s="136">
        <f t="shared" si="0"/>
        <v>2023</v>
      </c>
      <c r="C17" s="137"/>
      <c r="D17" s="129"/>
      <c r="E17" s="129">
        <f t="shared" si="1"/>
        <v>27.32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27.32</v>
      </c>
      <c r="L17" s="120"/>
      <c r="N17" s="118"/>
      <c r="O17" s="199"/>
      <c r="R17" s="120"/>
      <c r="V17" s="154"/>
      <c r="W17" s="154"/>
      <c r="Y17" s="154"/>
      <c r="Z17" s="154"/>
      <c r="AF17" s="154"/>
    </row>
    <row r="18" spans="2:32">
      <c r="B18" s="136">
        <f t="shared" si="0"/>
        <v>2024</v>
      </c>
      <c r="C18" s="349">
        <v>1295.0860323886641</v>
      </c>
      <c r="D18" s="129">
        <f>C18*$C$62</f>
        <v>65.855124746963568</v>
      </c>
      <c r="E18" s="129">
        <f t="shared" si="1"/>
        <v>27.98</v>
      </c>
      <c r="F18" s="129">
        <f>C60</f>
        <v>0.39132049215213044</v>
      </c>
      <c r="G18" s="131">
        <f>(D18+E18+F18)/(8.76*$C$63)</f>
        <v>41.370936617103837</v>
      </c>
      <c r="H18" s="129">
        <f t="shared" si="2"/>
        <v>0</v>
      </c>
      <c r="I18" s="131">
        <f>(G18+H18)</f>
        <v>41.370936617103837</v>
      </c>
      <c r="J18" s="131">
        <f t="shared" ref="J18:J32" si="4">ROUND(I18*$C$63*8.76,2)</f>
        <v>94.23</v>
      </c>
      <c r="K18" s="129">
        <f t="shared" si="3"/>
        <v>94.226445239115705</v>
      </c>
      <c r="L18" s="120"/>
      <c r="N18" s="118"/>
      <c r="O18" s="351"/>
      <c r="Q18" s="154"/>
      <c r="R18" s="120"/>
      <c r="T18" s="162"/>
      <c r="U18" s="154"/>
      <c r="V18" s="154"/>
      <c r="W18" s="154"/>
      <c r="X18" s="154"/>
      <c r="Y18" s="154"/>
      <c r="Z18" s="154"/>
      <c r="AA18" s="282"/>
      <c r="AB18" s="281"/>
      <c r="AF18" s="154"/>
    </row>
    <row r="19" spans="2:32">
      <c r="B19" s="136">
        <f t="shared" si="0"/>
        <v>2025</v>
      </c>
      <c r="C19" s="137"/>
      <c r="D19" s="129">
        <f t="shared" ref="D19:F37" si="5">ROUND(D18*(1+(IFERROR(INDEX($D$66:$D$74,MATCH($B19,$C$66:$C$74,0),1),0)+IFERROR(INDEX($G$66:$G$74,MATCH($B19,$F$66:$F$74,0),1),0)+IFERROR(INDEX($J$66:$J$74,MATCH($B19,$I$66:$I$74,0),1),0))),2)</f>
        <v>67.37</v>
      </c>
      <c r="E19" s="129">
        <f t="shared" si="1"/>
        <v>28.62</v>
      </c>
      <c r="F19" s="129">
        <f t="shared" si="5"/>
        <v>0.4</v>
      </c>
      <c r="G19" s="131">
        <f t="shared" ref="G19:G37" si="6">(D19+E19+F19)/(8.76*$C$63)</f>
        <v>42.320864067439416</v>
      </c>
      <c r="H19" s="129">
        <f t="shared" si="2"/>
        <v>0</v>
      </c>
      <c r="I19" s="131">
        <f t="shared" ref="I19:I37" si="7">(G19+H19)</f>
        <v>42.320864067439416</v>
      </c>
      <c r="J19" s="131">
        <f t="shared" si="4"/>
        <v>96.39</v>
      </c>
      <c r="K19" s="129">
        <f t="shared" si="3"/>
        <v>96.390000000000015</v>
      </c>
      <c r="L19" s="120"/>
      <c r="N19" s="118"/>
      <c r="R19" s="120"/>
      <c r="T19" s="162"/>
      <c r="U19" s="154"/>
      <c r="V19" s="154"/>
      <c r="W19" s="154"/>
      <c r="X19" s="154"/>
      <c r="Y19" s="154"/>
      <c r="Z19" s="154"/>
      <c r="AF19" s="154"/>
    </row>
    <row r="20" spans="2:32">
      <c r="B20" s="136">
        <f t="shared" si="0"/>
        <v>2026</v>
      </c>
      <c r="C20" s="137"/>
      <c r="D20" s="129">
        <f t="shared" si="5"/>
        <v>68.92</v>
      </c>
      <c r="E20" s="129">
        <f t="shared" si="1"/>
        <v>29.28</v>
      </c>
      <c r="F20" s="129">
        <f t="shared" si="5"/>
        <v>0.41</v>
      </c>
      <c r="G20" s="131">
        <f t="shared" si="6"/>
        <v>43.295574288724971</v>
      </c>
      <c r="H20" s="129">
        <f t="shared" si="2"/>
        <v>0</v>
      </c>
      <c r="I20" s="131">
        <f t="shared" si="7"/>
        <v>43.295574288724971</v>
      </c>
      <c r="J20" s="131">
        <f t="shared" si="4"/>
        <v>98.61</v>
      </c>
      <c r="K20" s="129">
        <f t="shared" si="3"/>
        <v>98.61</v>
      </c>
      <c r="L20" s="120"/>
      <c r="N20" s="118"/>
      <c r="R20" s="161"/>
      <c r="T20" s="162"/>
      <c r="U20" s="154"/>
      <c r="V20" s="154"/>
      <c r="W20" s="154"/>
      <c r="X20" s="154"/>
      <c r="Y20" s="154"/>
      <c r="Z20" s="154"/>
      <c r="AF20" s="154"/>
    </row>
    <row r="21" spans="2:32">
      <c r="B21" s="136">
        <f t="shared" si="0"/>
        <v>2027</v>
      </c>
      <c r="C21" s="137"/>
      <c r="D21" s="129">
        <f t="shared" si="5"/>
        <v>70.510000000000005</v>
      </c>
      <c r="E21" s="129">
        <f t="shared" si="1"/>
        <v>29.95</v>
      </c>
      <c r="F21" s="129">
        <f t="shared" si="5"/>
        <v>0.42</v>
      </c>
      <c r="G21" s="131">
        <f t="shared" si="6"/>
        <v>44.292237442922378</v>
      </c>
      <c r="H21" s="129">
        <f t="shared" si="2"/>
        <v>0</v>
      </c>
      <c r="I21" s="131">
        <f t="shared" si="7"/>
        <v>44.292237442922378</v>
      </c>
      <c r="J21" s="131">
        <f t="shared" si="4"/>
        <v>100.88</v>
      </c>
      <c r="K21" s="129">
        <f t="shared" si="3"/>
        <v>100.88000000000001</v>
      </c>
      <c r="L21" s="120"/>
      <c r="N21" s="118"/>
      <c r="R21" s="161"/>
      <c r="T21" s="162"/>
      <c r="U21" s="154"/>
      <c r="V21" s="154"/>
      <c r="W21" s="154"/>
      <c r="X21" s="154"/>
      <c r="Y21" s="154"/>
      <c r="Z21" s="154"/>
      <c r="AF21" s="154"/>
    </row>
    <row r="22" spans="2:32">
      <c r="B22" s="136">
        <f t="shared" si="0"/>
        <v>2028</v>
      </c>
      <c r="C22" s="137"/>
      <c r="D22" s="129">
        <f t="shared" si="5"/>
        <v>72.13</v>
      </c>
      <c r="E22" s="129">
        <f t="shared" si="1"/>
        <v>30.64</v>
      </c>
      <c r="F22" s="129">
        <f t="shared" si="5"/>
        <v>0.43</v>
      </c>
      <c r="G22" s="131">
        <f t="shared" si="6"/>
        <v>45.310853530031615</v>
      </c>
      <c r="H22" s="129">
        <f t="shared" si="2"/>
        <v>0</v>
      </c>
      <c r="I22" s="131">
        <f t="shared" si="7"/>
        <v>45.310853530031615</v>
      </c>
      <c r="J22" s="131">
        <f t="shared" si="4"/>
        <v>103.2</v>
      </c>
      <c r="K22" s="129">
        <f t="shared" si="3"/>
        <v>103.2</v>
      </c>
      <c r="L22" s="120"/>
      <c r="N22" s="118"/>
      <c r="R22" s="161"/>
      <c r="T22" s="162"/>
      <c r="U22" s="154"/>
      <c r="V22" s="154"/>
      <c r="W22" s="154"/>
      <c r="X22" s="154"/>
      <c r="Y22" s="154"/>
      <c r="Z22" s="154"/>
      <c r="AF22" s="154"/>
    </row>
    <row r="23" spans="2:32">
      <c r="B23" s="136">
        <f t="shared" si="0"/>
        <v>2029</v>
      </c>
      <c r="C23" s="137"/>
      <c r="D23" s="129">
        <f t="shared" si="5"/>
        <v>73.790000000000006</v>
      </c>
      <c r="E23" s="129">
        <f t="shared" si="1"/>
        <v>31.34</v>
      </c>
      <c r="F23" s="129">
        <f t="shared" si="5"/>
        <v>0.44</v>
      </c>
      <c r="G23" s="131">
        <f t="shared" si="6"/>
        <v>46.351422550052689</v>
      </c>
      <c r="H23" s="129">
        <f t="shared" si="2"/>
        <v>0</v>
      </c>
      <c r="I23" s="131">
        <f t="shared" si="7"/>
        <v>46.351422550052689</v>
      </c>
      <c r="J23" s="131">
        <f t="shared" si="4"/>
        <v>105.57</v>
      </c>
      <c r="K23" s="129">
        <f t="shared" si="3"/>
        <v>105.57000000000001</v>
      </c>
      <c r="L23" s="120"/>
      <c r="N23" s="118"/>
      <c r="R23" s="161"/>
      <c r="T23" s="162"/>
      <c r="U23" s="154"/>
      <c r="V23" s="154"/>
      <c r="W23" s="154"/>
      <c r="X23" s="154"/>
      <c r="Y23" s="154"/>
      <c r="Z23" s="154"/>
      <c r="AF23" s="154"/>
    </row>
    <row r="24" spans="2:32">
      <c r="B24" s="136">
        <f t="shared" si="0"/>
        <v>2030</v>
      </c>
      <c r="C24" s="137"/>
      <c r="D24" s="129">
        <f t="shared" si="5"/>
        <v>75.41</v>
      </c>
      <c r="E24" s="129">
        <f t="shared" si="1"/>
        <v>32.03</v>
      </c>
      <c r="F24" s="129">
        <f t="shared" si="5"/>
        <v>0.45</v>
      </c>
      <c r="G24" s="131">
        <f t="shared" si="6"/>
        <v>47.370038637161926</v>
      </c>
      <c r="H24" s="129">
        <f t="shared" si="2"/>
        <v>0</v>
      </c>
      <c r="I24" s="131">
        <f t="shared" si="7"/>
        <v>47.370038637161926</v>
      </c>
      <c r="J24" s="131">
        <f t="shared" si="4"/>
        <v>107.89</v>
      </c>
      <c r="K24" s="129">
        <f t="shared" si="3"/>
        <v>107.89</v>
      </c>
      <c r="L24" s="120"/>
      <c r="N24" s="118"/>
      <c r="R24" s="161"/>
      <c r="T24" s="162"/>
      <c r="U24" s="154"/>
      <c r="V24" s="154"/>
      <c r="W24" s="154"/>
      <c r="X24" s="154"/>
      <c r="Y24" s="154"/>
      <c r="Z24" s="154"/>
      <c r="AF24" s="154"/>
    </row>
    <row r="25" spans="2:32">
      <c r="B25" s="136">
        <f t="shared" si="0"/>
        <v>2031</v>
      </c>
      <c r="C25" s="137"/>
      <c r="D25" s="129">
        <f t="shared" si="5"/>
        <v>77.069999999999993</v>
      </c>
      <c r="E25" s="129">
        <f t="shared" si="1"/>
        <v>32.729999999999997</v>
      </c>
      <c r="F25" s="129">
        <f t="shared" si="5"/>
        <v>0.46</v>
      </c>
      <c r="G25" s="131">
        <f t="shared" si="6"/>
        <v>48.410607657182986</v>
      </c>
      <c r="H25" s="129">
        <f t="shared" si="2"/>
        <v>0</v>
      </c>
      <c r="I25" s="131">
        <f t="shared" si="7"/>
        <v>48.410607657182986</v>
      </c>
      <c r="J25" s="131">
        <f t="shared" si="4"/>
        <v>110.26</v>
      </c>
      <c r="K25" s="129">
        <f t="shared" si="3"/>
        <v>110.25999999999998</v>
      </c>
      <c r="L25" s="120"/>
      <c r="N25" s="118"/>
      <c r="R25" s="161"/>
      <c r="T25" s="162"/>
      <c r="U25" s="154"/>
      <c r="V25" s="154"/>
      <c r="W25" s="154"/>
      <c r="X25" s="154"/>
      <c r="Y25" s="154"/>
      <c r="Z25" s="154"/>
      <c r="AF25" s="154"/>
    </row>
    <row r="26" spans="2:32">
      <c r="B26" s="136">
        <f t="shared" si="0"/>
        <v>2032</v>
      </c>
      <c r="C26" s="137"/>
      <c r="D26" s="129">
        <f t="shared" si="5"/>
        <v>78.77</v>
      </c>
      <c r="E26" s="129">
        <f t="shared" si="1"/>
        <v>33.450000000000003</v>
      </c>
      <c r="F26" s="129">
        <f t="shared" si="5"/>
        <v>0.47</v>
      </c>
      <c r="G26" s="131">
        <f t="shared" si="6"/>
        <v>49.477520196698279</v>
      </c>
      <c r="H26" s="129">
        <f t="shared" si="2"/>
        <v>0</v>
      </c>
      <c r="I26" s="131">
        <f t="shared" si="7"/>
        <v>49.477520196698279</v>
      </c>
      <c r="J26" s="131">
        <f t="shared" si="4"/>
        <v>112.69</v>
      </c>
      <c r="K26" s="129">
        <f t="shared" si="3"/>
        <v>112.69</v>
      </c>
      <c r="L26" s="120"/>
      <c r="N26" s="118"/>
      <c r="R26" s="161"/>
      <c r="T26" s="162"/>
      <c r="U26" s="154"/>
      <c r="V26" s="154"/>
      <c r="W26" s="154"/>
      <c r="X26" s="154"/>
      <c r="Y26" s="154"/>
      <c r="Z26" s="154"/>
      <c r="AF26" s="154"/>
    </row>
    <row r="27" spans="2:32">
      <c r="B27" s="136">
        <f t="shared" si="0"/>
        <v>2033</v>
      </c>
      <c r="C27" s="137"/>
      <c r="D27" s="129">
        <f t="shared" si="5"/>
        <v>80.42</v>
      </c>
      <c r="E27" s="129">
        <f t="shared" si="1"/>
        <v>34.15</v>
      </c>
      <c r="F27" s="129">
        <f t="shared" si="5"/>
        <v>0.48</v>
      </c>
      <c r="G27" s="131">
        <f t="shared" si="6"/>
        <v>50.513698630136986</v>
      </c>
      <c r="H27" s="129">
        <f t="shared" si="2"/>
        <v>0</v>
      </c>
      <c r="I27" s="131">
        <f t="shared" si="7"/>
        <v>50.513698630136986</v>
      </c>
      <c r="J27" s="131">
        <f t="shared" si="4"/>
        <v>115.05</v>
      </c>
      <c r="K27" s="129">
        <f t="shared" si="3"/>
        <v>115.05</v>
      </c>
      <c r="L27" s="120"/>
      <c r="N27" s="118"/>
      <c r="R27" s="161"/>
      <c r="T27" s="162"/>
      <c r="U27" s="154"/>
      <c r="V27" s="154"/>
      <c r="W27" s="154"/>
      <c r="X27" s="154"/>
      <c r="Y27" s="154"/>
      <c r="Z27" s="154"/>
      <c r="AF27" s="154"/>
    </row>
    <row r="28" spans="2:32">
      <c r="B28" s="136">
        <f t="shared" si="0"/>
        <v>2034</v>
      </c>
      <c r="C28" s="137"/>
      <c r="D28" s="129">
        <f t="shared" si="5"/>
        <v>82.11</v>
      </c>
      <c r="E28" s="129">
        <f t="shared" si="1"/>
        <v>34.869999999999997</v>
      </c>
      <c r="F28" s="129">
        <f t="shared" si="5"/>
        <v>0.49</v>
      </c>
      <c r="G28" s="131">
        <f t="shared" si="6"/>
        <v>51.57622058306989</v>
      </c>
      <c r="H28" s="129">
        <f t="shared" si="2"/>
        <v>0</v>
      </c>
      <c r="I28" s="131">
        <f t="shared" si="7"/>
        <v>51.57622058306989</v>
      </c>
      <c r="J28" s="131">
        <f t="shared" si="4"/>
        <v>117.47</v>
      </c>
      <c r="K28" s="129">
        <f t="shared" si="3"/>
        <v>117.46999999999998</v>
      </c>
      <c r="L28" s="120"/>
      <c r="N28" s="118"/>
      <c r="R28" s="161"/>
      <c r="T28" s="162"/>
      <c r="U28" s="154"/>
      <c r="V28" s="154"/>
      <c r="W28" s="154"/>
      <c r="X28" s="154"/>
      <c r="Y28" s="154"/>
      <c r="Z28" s="154"/>
      <c r="AF28" s="154"/>
    </row>
    <row r="29" spans="2:32">
      <c r="B29" s="136">
        <f t="shared" si="0"/>
        <v>2035</v>
      </c>
      <c r="C29" s="137"/>
      <c r="D29" s="129">
        <f t="shared" si="5"/>
        <v>83.83</v>
      </c>
      <c r="E29" s="129">
        <f t="shared" si="1"/>
        <v>35.6</v>
      </c>
      <c r="F29" s="129">
        <f t="shared" si="5"/>
        <v>0.5</v>
      </c>
      <c r="G29" s="131">
        <f t="shared" si="6"/>
        <v>52.656304882332279</v>
      </c>
      <c r="H29" s="129">
        <f t="shared" si="2"/>
        <v>0</v>
      </c>
      <c r="I29" s="131">
        <f t="shared" si="7"/>
        <v>52.656304882332279</v>
      </c>
      <c r="J29" s="131">
        <f t="shared" si="4"/>
        <v>119.93</v>
      </c>
      <c r="K29" s="129">
        <f t="shared" si="3"/>
        <v>119.93</v>
      </c>
      <c r="L29" s="120"/>
      <c r="N29" s="118"/>
      <c r="R29" s="161"/>
      <c r="T29" s="162"/>
      <c r="U29" s="154"/>
      <c r="V29" s="154"/>
      <c r="W29" s="154"/>
      <c r="X29" s="154"/>
      <c r="Y29" s="154"/>
      <c r="Z29" s="154"/>
      <c r="AF29" s="154"/>
    </row>
    <row r="30" spans="2:32">
      <c r="B30" s="136">
        <f t="shared" si="0"/>
        <v>2036</v>
      </c>
      <c r="C30" s="137"/>
      <c r="D30" s="129">
        <f t="shared" si="5"/>
        <v>85.59</v>
      </c>
      <c r="E30" s="129">
        <f t="shared" si="1"/>
        <v>36.35</v>
      </c>
      <c r="F30" s="129">
        <f t="shared" si="5"/>
        <v>0.51</v>
      </c>
      <c r="G30" s="131">
        <f t="shared" si="6"/>
        <v>53.762732701088865</v>
      </c>
      <c r="H30" s="129">
        <f t="shared" si="2"/>
        <v>0</v>
      </c>
      <c r="I30" s="131">
        <f t="shared" si="7"/>
        <v>53.762732701088865</v>
      </c>
      <c r="J30" s="131">
        <f t="shared" si="4"/>
        <v>122.45</v>
      </c>
      <c r="K30" s="129">
        <f t="shared" si="3"/>
        <v>122.45</v>
      </c>
      <c r="L30" s="120"/>
      <c r="N30" s="118"/>
      <c r="R30" s="161"/>
      <c r="T30" s="162"/>
      <c r="U30" s="154"/>
      <c r="V30" s="154"/>
      <c r="W30" s="154"/>
      <c r="X30" s="154"/>
      <c r="Y30" s="154"/>
      <c r="Z30" s="154"/>
      <c r="AF30" s="154"/>
    </row>
    <row r="31" spans="2:32">
      <c r="B31" s="136">
        <f t="shared" si="0"/>
        <v>2037</v>
      </c>
      <c r="C31" s="137"/>
      <c r="D31" s="129">
        <f t="shared" si="5"/>
        <v>87.39</v>
      </c>
      <c r="E31" s="129">
        <f t="shared" si="1"/>
        <v>37.11</v>
      </c>
      <c r="F31" s="129">
        <f t="shared" si="5"/>
        <v>0.52</v>
      </c>
      <c r="G31" s="131">
        <f t="shared" si="6"/>
        <v>54.891113452757288</v>
      </c>
      <c r="H31" s="129">
        <f t="shared" si="2"/>
        <v>0</v>
      </c>
      <c r="I31" s="131">
        <f t="shared" si="7"/>
        <v>54.891113452757288</v>
      </c>
      <c r="J31" s="131">
        <f t="shared" si="4"/>
        <v>125.02</v>
      </c>
      <c r="K31" s="129">
        <f t="shared" si="3"/>
        <v>125.02</v>
      </c>
      <c r="L31" s="120"/>
      <c r="N31" s="118"/>
      <c r="R31" s="161"/>
      <c r="T31" s="162"/>
      <c r="U31" s="154"/>
      <c r="V31" s="154"/>
      <c r="W31" s="154"/>
      <c r="X31" s="154"/>
      <c r="Y31" s="154"/>
      <c r="Z31" s="154"/>
      <c r="AF31" s="154"/>
    </row>
    <row r="32" spans="2:32">
      <c r="B32" s="136">
        <f t="shared" si="0"/>
        <v>2038</v>
      </c>
      <c r="C32" s="137"/>
      <c r="D32" s="129">
        <f t="shared" si="5"/>
        <v>89.23</v>
      </c>
      <c r="E32" s="129">
        <f t="shared" si="1"/>
        <v>37.89</v>
      </c>
      <c r="F32" s="129">
        <f t="shared" si="5"/>
        <v>0.53</v>
      </c>
      <c r="G32" s="131">
        <f t="shared" si="6"/>
        <v>56.045837723919917</v>
      </c>
      <c r="H32" s="129">
        <f t="shared" si="2"/>
        <v>0</v>
      </c>
      <c r="I32" s="131">
        <f t="shared" si="7"/>
        <v>56.045837723919917</v>
      </c>
      <c r="J32" s="131">
        <f t="shared" si="4"/>
        <v>127.65</v>
      </c>
      <c r="K32" s="129">
        <f t="shared" si="3"/>
        <v>127.65</v>
      </c>
      <c r="L32" s="120"/>
      <c r="N32" s="118"/>
      <c r="R32" s="161"/>
      <c r="T32" s="162"/>
      <c r="U32" s="154"/>
      <c r="V32" s="154"/>
      <c r="W32" s="154"/>
      <c r="X32" s="154"/>
      <c r="Y32" s="154"/>
      <c r="Z32" s="154"/>
      <c r="AF32" s="154"/>
    </row>
    <row r="33" spans="2:32">
      <c r="B33" s="136">
        <f t="shared" si="0"/>
        <v>2039</v>
      </c>
      <c r="C33" s="137"/>
      <c r="D33" s="129">
        <f t="shared" si="5"/>
        <v>91.1</v>
      </c>
      <c r="E33" s="129">
        <f t="shared" si="1"/>
        <v>38.69</v>
      </c>
      <c r="F33" s="129">
        <f t="shared" si="5"/>
        <v>0.54</v>
      </c>
      <c r="G33" s="131">
        <f t="shared" si="6"/>
        <v>57.222514927994368</v>
      </c>
      <c r="H33" s="129">
        <f t="shared" si="2"/>
        <v>0</v>
      </c>
      <c r="I33" s="131">
        <f t="shared" si="7"/>
        <v>57.222514927994368</v>
      </c>
      <c r="J33" s="131">
        <f t="shared" ref="J33:J37" si="8">ROUND(I33*$C$63*8.76,2)</f>
        <v>130.33000000000001</v>
      </c>
      <c r="K33" s="129">
        <f t="shared" si="3"/>
        <v>130.32999999999998</v>
      </c>
      <c r="L33" s="120"/>
      <c r="N33" s="118"/>
      <c r="R33" s="161"/>
      <c r="T33" s="162"/>
      <c r="U33" s="154"/>
      <c r="V33" s="154"/>
      <c r="W33" s="154"/>
      <c r="X33" s="154"/>
      <c r="Y33" s="154"/>
      <c r="Z33" s="154"/>
      <c r="AF33" s="154"/>
    </row>
    <row r="34" spans="2:32">
      <c r="B34" s="136">
        <f t="shared" si="0"/>
        <v>2040</v>
      </c>
      <c r="C34" s="137"/>
      <c r="D34" s="129">
        <f t="shared" si="5"/>
        <v>93.01</v>
      </c>
      <c r="E34" s="129">
        <f t="shared" si="1"/>
        <v>39.5</v>
      </c>
      <c r="F34" s="129">
        <f t="shared" si="5"/>
        <v>0.55000000000000004</v>
      </c>
      <c r="G34" s="131">
        <f t="shared" si="6"/>
        <v>58.421145064980678</v>
      </c>
      <c r="H34" s="129">
        <f t="shared" si="2"/>
        <v>0</v>
      </c>
      <c r="I34" s="131">
        <f t="shared" si="7"/>
        <v>58.421145064980678</v>
      </c>
      <c r="J34" s="131">
        <f t="shared" si="8"/>
        <v>133.06</v>
      </c>
      <c r="K34" s="129">
        <f t="shared" si="3"/>
        <v>133.06</v>
      </c>
      <c r="L34" s="120"/>
      <c r="N34" s="118"/>
      <c r="R34" s="161"/>
      <c r="T34" s="162"/>
      <c r="U34" s="154"/>
      <c r="V34" s="154"/>
      <c r="W34" s="154"/>
      <c r="X34" s="154"/>
      <c r="Y34" s="154"/>
      <c r="Z34" s="154"/>
      <c r="AF34" s="154"/>
    </row>
    <row r="35" spans="2:32">
      <c r="B35" s="136">
        <f t="shared" si="0"/>
        <v>2041</v>
      </c>
      <c r="C35" s="137"/>
      <c r="D35" s="129">
        <f t="shared" si="5"/>
        <v>94.96</v>
      </c>
      <c r="E35" s="129">
        <f t="shared" si="1"/>
        <v>40.33</v>
      </c>
      <c r="F35" s="129">
        <f t="shared" si="5"/>
        <v>0.56000000000000005</v>
      </c>
      <c r="G35" s="131">
        <f t="shared" si="6"/>
        <v>59.646118721461185</v>
      </c>
      <c r="H35" s="129">
        <f t="shared" si="2"/>
        <v>0</v>
      </c>
      <c r="I35" s="131">
        <f t="shared" si="7"/>
        <v>59.646118721461185</v>
      </c>
      <c r="J35" s="131">
        <f t="shared" si="8"/>
        <v>135.85</v>
      </c>
      <c r="K35" s="129">
        <f t="shared" si="3"/>
        <v>135.85</v>
      </c>
      <c r="L35" s="120"/>
      <c r="N35" s="118"/>
      <c r="R35" s="161"/>
      <c r="T35" s="162"/>
      <c r="U35" s="154"/>
      <c r="V35" s="154"/>
      <c r="W35" s="154"/>
      <c r="X35" s="154"/>
      <c r="Y35" s="154"/>
      <c r="Z35" s="154"/>
      <c r="AF35" s="154"/>
    </row>
    <row r="36" spans="2:32">
      <c r="B36" s="136">
        <f t="shared" si="0"/>
        <v>2042</v>
      </c>
      <c r="C36" s="137"/>
      <c r="D36" s="129">
        <f t="shared" si="5"/>
        <v>96.95</v>
      </c>
      <c r="E36" s="129">
        <f t="shared" si="1"/>
        <v>41.18</v>
      </c>
      <c r="F36" s="129">
        <f t="shared" si="5"/>
        <v>0.56999999999999995</v>
      </c>
      <c r="G36" s="131">
        <f t="shared" si="6"/>
        <v>60.897435897435891</v>
      </c>
      <c r="H36" s="129">
        <f t="shared" si="2"/>
        <v>0</v>
      </c>
      <c r="I36" s="131">
        <f t="shared" si="7"/>
        <v>60.897435897435891</v>
      </c>
      <c r="J36" s="131">
        <f t="shared" si="8"/>
        <v>138.69999999999999</v>
      </c>
      <c r="K36" s="129">
        <f t="shared" si="3"/>
        <v>138.69999999999999</v>
      </c>
      <c r="L36" s="120"/>
      <c r="N36" s="118"/>
      <c r="R36" s="161"/>
      <c r="T36" s="162"/>
      <c r="U36" s="154"/>
      <c r="V36" s="154"/>
      <c r="W36" s="154"/>
      <c r="X36" s="154"/>
      <c r="Y36" s="154"/>
      <c r="Z36" s="154"/>
      <c r="AF36" s="154"/>
    </row>
    <row r="37" spans="2:32">
      <c r="B37" s="136">
        <f t="shared" si="0"/>
        <v>2043</v>
      </c>
      <c r="C37" s="137"/>
      <c r="D37" s="129">
        <f t="shared" si="5"/>
        <v>98.99</v>
      </c>
      <c r="E37" s="129">
        <f t="shared" si="1"/>
        <v>42.04</v>
      </c>
      <c r="F37" s="129">
        <f t="shared" si="5"/>
        <v>0.57999999999999996</v>
      </c>
      <c r="G37" s="131">
        <f t="shared" si="6"/>
        <v>62.175096592904815</v>
      </c>
      <c r="H37" s="129">
        <f t="shared" si="2"/>
        <v>0</v>
      </c>
      <c r="I37" s="131">
        <f t="shared" si="7"/>
        <v>62.175096592904815</v>
      </c>
      <c r="J37" s="131">
        <f t="shared" si="8"/>
        <v>141.61000000000001</v>
      </c>
      <c r="K37" s="129">
        <f t="shared" si="3"/>
        <v>141.61000000000001</v>
      </c>
      <c r="L37" s="120"/>
      <c r="N37" s="118"/>
      <c r="R37" s="161"/>
      <c r="T37" s="162"/>
      <c r="U37" s="154"/>
      <c r="V37" s="154"/>
      <c r="W37" s="154"/>
      <c r="X37" s="154"/>
      <c r="Y37" s="154"/>
      <c r="Z37" s="154"/>
      <c r="AF37" s="154"/>
    </row>
    <row r="38" spans="2:32">
      <c r="B38" s="136"/>
      <c r="C38" s="137"/>
      <c r="D38" s="129"/>
      <c r="E38" s="129"/>
      <c r="F38" s="129"/>
      <c r="G38" s="131"/>
      <c r="H38" s="129"/>
      <c r="I38" s="131"/>
      <c r="J38" s="131"/>
      <c r="K38" s="129"/>
      <c r="L38" s="120"/>
      <c r="N38" s="118"/>
      <c r="R38" s="161"/>
      <c r="T38" s="162"/>
      <c r="U38" s="154"/>
      <c r="V38" s="154"/>
      <c r="W38" s="154"/>
      <c r="X38" s="154"/>
      <c r="Y38" s="154"/>
      <c r="Z38" s="154"/>
      <c r="AF38" s="154"/>
    </row>
    <row r="39" spans="2:32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</row>
    <row r="40" spans="2:32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</row>
    <row r="41" spans="2:32">
      <c r="R41" s="120"/>
    </row>
    <row r="42" spans="2:32" ht="14.25">
      <c r="B42" s="139" t="s">
        <v>25</v>
      </c>
      <c r="C42" s="140"/>
      <c r="D42" s="140"/>
      <c r="E42" s="140"/>
      <c r="F42" s="140"/>
      <c r="G42" s="140"/>
      <c r="H42" s="140"/>
      <c r="R42" s="120"/>
    </row>
    <row r="44" spans="2:32">
      <c r="B44" s="118" t="s">
        <v>63</v>
      </c>
      <c r="C44" s="141" t="s">
        <v>64</v>
      </c>
      <c r="D44" s="142" t="s">
        <v>102</v>
      </c>
    </row>
    <row r="45" spans="2:32">
      <c r="C45" s="141" t="str">
        <f>C7</f>
        <v>(a)</v>
      </c>
      <c r="D45" s="118" t="s">
        <v>65</v>
      </c>
    </row>
    <row r="46" spans="2:32">
      <c r="C46" s="141" t="str">
        <f>D7</f>
        <v>(b)</v>
      </c>
      <c r="D46" s="131" t="str">
        <f>"= "&amp;C7&amp;" x "&amp;C62</f>
        <v>= (a) x 0.05085</v>
      </c>
    </row>
    <row r="47" spans="2:32">
      <c r="C47" s="141" t="str">
        <f>G7</f>
        <v>(e)</v>
      </c>
      <c r="D47" s="131" t="str">
        <f>"= ("&amp;$D$7&amp;" + "&amp;$E$7&amp;") /  (8.76 x "&amp;TEXT(C63,"0.0%")&amp;")"</f>
        <v>= ((b) + (c)) /  (8.76 x 26.0%)</v>
      </c>
    </row>
    <row r="48" spans="2:32">
      <c r="C48" s="141" t="str">
        <f>I7</f>
        <v>(g)</v>
      </c>
      <c r="D48" s="131" t="str">
        <f>"= "&amp;$G$7&amp;" + "&amp;$H$7</f>
        <v>= (e) + (f)</v>
      </c>
    </row>
    <row r="49" spans="2:25">
      <c r="C49" s="141" t="str">
        <f>K7</f>
        <v>(i)</v>
      </c>
      <c r="D49" s="85" t="str">
        <f>D44</f>
        <v>Plant Costs  - 2019 IRP Update - Table 6.1 &amp; 6.2</v>
      </c>
    </row>
    <row r="50" spans="2:25">
      <c r="C50" s="141"/>
      <c r="D50" s="131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5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</row>
    <row r="54" spans="2:25">
      <c r="P54" s="118" t="s">
        <v>103</v>
      </c>
      <c r="Q54" s="276">
        <v>2024</v>
      </c>
    </row>
    <row r="55" spans="2:25">
      <c r="B55" s="85" t="s">
        <v>101</v>
      </c>
      <c r="C55" s="171">
        <v>1696.7441589156169</v>
      </c>
      <c r="D55" s="118" t="s">
        <v>65</v>
      </c>
      <c r="O55" s="352">
        <v>395.2</v>
      </c>
      <c r="P55" s="118" t="s">
        <v>32</v>
      </c>
      <c r="Q55" s="276" t="s">
        <v>150</v>
      </c>
      <c r="R55" s="276" t="s">
        <v>108</v>
      </c>
      <c r="T55" s="276" t="str">
        <f>$Q$55&amp;"Proposed Station Capital Costs"</f>
        <v>L1.YK1_PVSProposed Station Capital Costs</v>
      </c>
    </row>
    <row r="56" spans="2:25">
      <c r="B56" s="85" t="s">
        <v>101</v>
      </c>
      <c r="C56" s="270">
        <v>24.570618817436728</v>
      </c>
      <c r="D56" s="118" t="s">
        <v>68</v>
      </c>
      <c r="O56" s="352"/>
      <c r="P56" s="118" t="s">
        <v>32</v>
      </c>
      <c r="Q56" s="276"/>
      <c r="R56" s="120"/>
      <c r="T56" s="276" t="str">
        <f>$Q$55&amp;"Proposed Station Fixed Costs"</f>
        <v>L1.YK1_PVSProposed Station Fixed Costs</v>
      </c>
    </row>
    <row r="57" spans="2:25" ht="24" customHeight="1">
      <c r="B57" s="85"/>
      <c r="C57" s="272"/>
      <c r="D57" s="118" t="s">
        <v>105</v>
      </c>
      <c r="Q57" s="348" t="str">
        <f>Q55&amp;Q54</f>
        <v>L1.YK1_PVS2024</v>
      </c>
      <c r="T57" s="276" t="str">
        <f>$Q$55&amp;"Proposed Station Variable O&amp;M Costs"</f>
        <v>L1.YK1_PVSProposed Station Variable O&amp;M Costs</v>
      </c>
    </row>
    <row r="58" spans="2:25">
      <c r="B58" s="85" t="s">
        <v>101</v>
      </c>
      <c r="C58" s="270">
        <v>0</v>
      </c>
      <c r="D58" s="118" t="s">
        <v>69</v>
      </c>
      <c r="K58" s="120"/>
      <c r="L58" s="150"/>
      <c r="M58" s="52"/>
      <c r="N58" s="164"/>
      <c r="O58" s="52"/>
      <c r="P58" s="52"/>
      <c r="Q58" s="120" t="s">
        <v>269</v>
      </c>
      <c r="R58" s="120"/>
      <c r="T58" s="120"/>
      <c r="U58" s="120"/>
      <c r="V58" s="120"/>
      <c r="W58" s="120"/>
      <c r="X58" s="120"/>
      <c r="Y58" s="120"/>
    </row>
    <row r="59" spans="2:25">
      <c r="B59" s="85"/>
      <c r="C59" s="159"/>
      <c r="D59" s="118" t="s">
        <v>70</v>
      </c>
      <c r="I59" s="198" t="s">
        <v>91</v>
      </c>
      <c r="L59" s="152"/>
      <c r="M59" s="153"/>
      <c r="O59" s="151"/>
      <c r="P59" s="120"/>
      <c r="Q59" s="120"/>
      <c r="R59" s="120"/>
      <c r="T59" s="120"/>
      <c r="U59" s="120"/>
      <c r="V59" s="120"/>
      <c r="W59" s="120"/>
      <c r="X59" s="120"/>
      <c r="Y59" s="120"/>
    </row>
    <row r="60" spans="2:25">
      <c r="B60" s="371" t="str">
        <f>LEFT(RIGHT(INDEX('Table 3 TransCost'!$39:$39,1,MATCH(F60,'Table 3 TransCost'!$4:$4,0)),6),5)</f>
        <v>2024$</v>
      </c>
      <c r="C60" s="272">
        <f>INDEX('Table 3 TransCost'!$39:$39,1,MATCH(F60,'Table 3 TransCost'!$4:$4,0)+2)</f>
        <v>0.39132049215213044</v>
      </c>
      <c r="D60" s="118" t="s">
        <v>218</v>
      </c>
      <c r="F60" s="276" t="s">
        <v>183</v>
      </c>
      <c r="K60" s="152"/>
      <c r="L60" s="152"/>
      <c r="M60" s="152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5">
      <c r="B61" s="85"/>
      <c r="C61" s="201"/>
      <c r="K61" s="152"/>
      <c r="L61" s="152"/>
      <c r="M61" s="152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5">
      <c r="C62" s="271">
        <v>5.0849999999999999E-2</v>
      </c>
      <c r="D62" s="118" t="s">
        <v>36</v>
      </c>
      <c r="E62" s="118" t="s">
        <v>109</v>
      </c>
      <c r="K62" s="156"/>
      <c r="L62" s="157"/>
      <c r="M62" s="157"/>
      <c r="O62" s="158"/>
    </row>
    <row r="63" spans="2:25">
      <c r="C63" s="209">
        <v>0.26</v>
      </c>
      <c r="D63" s="118" t="s">
        <v>37</v>
      </c>
    </row>
    <row r="64" spans="2:25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4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4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4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4" s="120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N72" s="165"/>
    </row>
    <row r="73" spans="3:14" s="120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N73" s="165"/>
    </row>
    <row r="74" spans="3:14" s="120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15" style="118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1.832031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 customWidth="1"/>
    <col min="16" max="17" width="16" style="118" customWidth="1"/>
    <col min="18" max="18" width="18.1640625" style="118" customWidth="1"/>
    <col min="19" max="19" width="9.33203125" style="118"/>
    <col min="20" max="20" width="22.33203125" style="118" customWidth="1"/>
    <col min="21" max="21" width="18.1640625" style="118" customWidth="1"/>
    <col min="22" max="22" width="9.6640625" style="118" bestFit="1" customWidth="1"/>
    <col min="23" max="26" width="9.33203125" style="118"/>
    <col min="27" max="27" width="13.6640625" style="118" customWidth="1"/>
    <col min="28" max="28" width="12" style="118" bestFit="1" customWidth="1"/>
    <col min="29" max="16384" width="9.33203125" style="118"/>
  </cols>
  <sheetData>
    <row r="1" spans="2:26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26" ht="15.75">
      <c r="B2" s="116" t="s">
        <v>148</v>
      </c>
      <c r="C2" s="117"/>
      <c r="D2" s="117"/>
      <c r="E2" s="117"/>
      <c r="F2" s="117"/>
      <c r="G2" s="117"/>
      <c r="H2" s="117"/>
      <c r="I2" s="117"/>
      <c r="J2" s="117"/>
    </row>
    <row r="3" spans="2:26" ht="15.75">
      <c r="B3" s="116" t="str">
        <f>TEXT($C$66,"0%")&amp;" Capacity Factor"</f>
        <v>30% Capacity Factor</v>
      </c>
      <c r="C3" s="117"/>
      <c r="D3" s="117"/>
      <c r="E3" s="117"/>
      <c r="F3" s="117"/>
      <c r="G3" s="117"/>
      <c r="H3" s="117"/>
      <c r="I3" s="117"/>
      <c r="J3" s="117"/>
      <c r="R3" s="120"/>
      <c r="T3" s="120"/>
      <c r="U3" s="120"/>
      <c r="V3" s="120"/>
      <c r="W3" s="120"/>
      <c r="X3" s="120"/>
    </row>
    <row r="4" spans="2:26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  <c r="T4" s="120"/>
      <c r="U4" s="120"/>
      <c r="V4" s="120"/>
      <c r="W4" s="120"/>
      <c r="X4" s="120"/>
    </row>
    <row r="5" spans="2:26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R5" s="277"/>
      <c r="T5" s="120"/>
      <c r="U5" s="120"/>
      <c r="V5" s="120"/>
      <c r="W5" s="120"/>
      <c r="X5" s="120"/>
      <c r="Y5" s="215"/>
      <c r="Z5" s="215"/>
    </row>
    <row r="6" spans="2:26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R6" s="278"/>
      <c r="T6" s="120"/>
      <c r="U6" s="120"/>
      <c r="V6" s="120"/>
      <c r="W6" s="120"/>
      <c r="X6" s="120"/>
    </row>
    <row r="7" spans="2:26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R7" s="120"/>
      <c r="T7" s="120"/>
      <c r="U7" s="120"/>
      <c r="V7" s="120"/>
      <c r="W7" s="120"/>
      <c r="X7" s="120"/>
    </row>
    <row r="8" spans="2:26" ht="6" customHeight="1">
      <c r="K8" s="120"/>
      <c r="R8" s="120"/>
      <c r="T8" s="120"/>
      <c r="U8" s="120"/>
      <c r="V8" s="120"/>
      <c r="W8" s="120"/>
      <c r="X8" s="120"/>
    </row>
    <row r="9" spans="2:26" ht="15.75">
      <c r="B9" s="43" t="str">
        <f>C55</f>
        <v>2019 IRP Utah North Solar with Storage - 30%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  <c r="T9" s="120"/>
      <c r="U9" s="120"/>
      <c r="V9" s="120"/>
      <c r="W9" s="120"/>
      <c r="X9" s="120"/>
    </row>
    <row r="10" spans="2:26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</row>
    <row r="11" spans="2:26">
      <c r="B11" s="127">
        <f t="shared" ref="B11:B41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</row>
    <row r="12" spans="2:26">
      <c r="B12" s="136">
        <f t="shared" si="0"/>
        <v>2018</v>
      </c>
      <c r="C12" s="137"/>
      <c r="D12" s="129"/>
      <c r="E12" s="149">
        <f>$C$59</f>
        <v>24.570618817436728</v>
      </c>
      <c r="F12" s="149"/>
      <c r="G12" s="131"/>
      <c r="H12" s="149">
        <f>$C$61</f>
        <v>0</v>
      </c>
      <c r="I12" s="131"/>
      <c r="J12" s="131"/>
      <c r="K12" s="129">
        <f>(D12+E12+F12)</f>
        <v>24.570618817436728</v>
      </c>
      <c r="L12" s="120"/>
      <c r="N12" s="118"/>
      <c r="R12" s="120"/>
      <c r="T12" s="162"/>
      <c r="U12" s="154"/>
      <c r="V12" s="154"/>
      <c r="W12" s="280"/>
      <c r="Y12" s="154"/>
      <c r="Z12" s="154"/>
    </row>
    <row r="13" spans="2:26">
      <c r="B13" s="136">
        <f t="shared" si="0"/>
        <v>2019</v>
      </c>
      <c r="C13" s="137"/>
      <c r="D13" s="129"/>
      <c r="E13" s="129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9"/>
      <c r="G13" s="131"/>
      <c r="H13" s="129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1"/>
      <c r="J13" s="131"/>
      <c r="K13" s="129">
        <f t="shared" ref="K13:K37" si="3">(D13+E13+F13)</f>
        <v>25.01</v>
      </c>
      <c r="L13" s="120"/>
      <c r="N13" s="118"/>
      <c r="R13" s="120"/>
      <c r="V13" s="154"/>
      <c r="Y13" s="154"/>
      <c r="Z13" s="154"/>
    </row>
    <row r="14" spans="2:26">
      <c r="B14" s="136">
        <f t="shared" si="0"/>
        <v>2020</v>
      </c>
      <c r="C14" s="137"/>
      <c r="D14" s="129"/>
      <c r="E14" s="129">
        <f t="shared" si="1"/>
        <v>25.49</v>
      </c>
      <c r="F14" s="129"/>
      <c r="G14" s="131"/>
      <c r="H14" s="129">
        <f t="shared" si="2"/>
        <v>0</v>
      </c>
      <c r="I14" s="131"/>
      <c r="J14" s="131"/>
      <c r="K14" s="129">
        <f t="shared" si="3"/>
        <v>25.49</v>
      </c>
      <c r="L14" s="120"/>
      <c r="N14" s="118"/>
      <c r="O14" s="133"/>
      <c r="P14" s="134"/>
      <c r="Q14" s="135"/>
      <c r="R14" s="120"/>
      <c r="V14" s="154"/>
      <c r="Y14" s="154"/>
      <c r="Z14" s="154"/>
    </row>
    <row r="15" spans="2:26">
      <c r="B15" s="136">
        <f t="shared" si="0"/>
        <v>2021</v>
      </c>
      <c r="C15" s="137"/>
      <c r="D15" s="129"/>
      <c r="E15" s="129">
        <f t="shared" si="1"/>
        <v>26</v>
      </c>
      <c r="F15" s="129"/>
      <c r="G15" s="131"/>
      <c r="H15" s="129">
        <f t="shared" si="2"/>
        <v>0</v>
      </c>
      <c r="I15" s="131"/>
      <c r="J15" s="131"/>
      <c r="K15" s="129">
        <f t="shared" si="3"/>
        <v>26</v>
      </c>
      <c r="L15" s="120"/>
      <c r="N15" s="118"/>
      <c r="O15" s="273"/>
      <c r="P15" s="134"/>
      <c r="Q15" s="135"/>
      <c r="R15" s="120"/>
      <c r="V15" s="154"/>
      <c r="Y15" s="154"/>
      <c r="Z15" s="154"/>
    </row>
    <row r="16" spans="2:26">
      <c r="B16" s="136">
        <f t="shared" si="0"/>
        <v>2022</v>
      </c>
      <c r="C16" s="137"/>
      <c r="D16" s="129"/>
      <c r="E16" s="129">
        <f t="shared" si="1"/>
        <v>26.65</v>
      </c>
      <c r="F16" s="129"/>
      <c r="G16" s="131"/>
      <c r="H16" s="129">
        <f t="shared" si="2"/>
        <v>0</v>
      </c>
      <c r="I16" s="131"/>
      <c r="J16" s="131"/>
      <c r="K16" s="129">
        <f t="shared" si="3"/>
        <v>26.65</v>
      </c>
      <c r="L16" s="120"/>
      <c r="N16" s="118"/>
      <c r="R16" s="120"/>
      <c r="V16" s="154"/>
      <c r="Y16" s="154"/>
      <c r="Z16" s="154"/>
    </row>
    <row r="17" spans="2:28">
      <c r="B17" s="136">
        <f t="shared" si="0"/>
        <v>2023</v>
      </c>
      <c r="C17" s="137"/>
      <c r="D17" s="129"/>
      <c r="E17" s="129">
        <f t="shared" si="1"/>
        <v>27.32</v>
      </c>
      <c r="F17" s="129"/>
      <c r="G17" s="131"/>
      <c r="H17" s="129">
        <f t="shared" si="2"/>
        <v>0</v>
      </c>
      <c r="I17" s="131"/>
      <c r="J17" s="131"/>
      <c r="K17" s="129">
        <f t="shared" si="3"/>
        <v>27.32</v>
      </c>
      <c r="L17" s="120"/>
      <c r="N17" s="118"/>
      <c r="O17" s="133"/>
      <c r="R17" s="120"/>
      <c r="V17" s="154"/>
      <c r="Y17" s="154"/>
      <c r="Z17" s="154"/>
    </row>
    <row r="18" spans="2:28">
      <c r="B18" s="136">
        <f t="shared" si="0"/>
        <v>2024</v>
      </c>
      <c r="C18" s="349">
        <v>1230.020455873758</v>
      </c>
      <c r="D18" s="129">
        <f>C18*$C$65</f>
        <v>62.546540181180596</v>
      </c>
      <c r="E18" s="129">
        <f t="shared" si="1"/>
        <v>27.98</v>
      </c>
      <c r="F18" s="129">
        <f>C63</f>
        <v>2.5818101631996475</v>
      </c>
      <c r="G18" s="131">
        <f t="shared" ref="G18:G37" si="4">(D18+E18+F18)/(8.76*$C$66)</f>
        <v>35.311651551290318</v>
      </c>
      <c r="H18" s="129">
        <f t="shared" si="2"/>
        <v>0</v>
      </c>
      <c r="I18" s="131">
        <f>(G18+H18)</f>
        <v>35.311651551290318</v>
      </c>
      <c r="J18" s="131">
        <f t="shared" ref="J18:J37" si="5">ROUND(I18*$C$66*8.76,2)</f>
        <v>93.11</v>
      </c>
      <c r="K18" s="129">
        <f t="shared" si="3"/>
        <v>93.108350344380241</v>
      </c>
      <c r="L18" s="120"/>
      <c r="N18" s="118"/>
      <c r="P18" s="282"/>
      <c r="Q18" s="154"/>
      <c r="R18" s="120"/>
      <c r="T18" s="162"/>
      <c r="U18" s="154"/>
      <c r="V18" s="154"/>
      <c r="X18" s="154"/>
      <c r="Y18" s="154"/>
      <c r="Z18" s="154"/>
      <c r="AA18" s="281"/>
      <c r="AB18" s="281"/>
    </row>
    <row r="19" spans="2:28">
      <c r="B19" s="136">
        <f t="shared" si="0"/>
        <v>2025</v>
      </c>
      <c r="C19" s="137"/>
      <c r="D19" s="129">
        <f t="shared" ref="D19:D37" si="6">ROUND(D18*(1+(IFERROR(INDEX($D$69:$D$77,MATCH($B19,$C$69:$C$77,0),1),0)+IFERROR(INDEX($G$69:$G$77,MATCH($B19,$F$69:$F$77,0),1),0)+IFERROR(INDEX($J$69:$J$77,MATCH($B19,$I$69:$I$77,0),1),0))),2)</f>
        <v>63.99</v>
      </c>
      <c r="E19" s="129">
        <f t="shared" si="1"/>
        <v>28.62</v>
      </c>
      <c r="F19" s="129">
        <f t="shared" ref="F19:F37" si="7">ROUND(F18*(1+(IFERROR(INDEX($D$69:$D$77,MATCH($B19,$C$69:$C$77,0),1),0)+IFERROR(INDEX($G$69:$G$77,MATCH($B19,$F$69:$F$77,0),1),0)+IFERROR(INDEX($J$69:$J$77,MATCH($B19,$I$69:$I$77,0),1),0))),2)</f>
        <v>2.64</v>
      </c>
      <c r="G19" s="131">
        <f t="shared" si="4"/>
        <v>36.123879306421522</v>
      </c>
      <c r="H19" s="129">
        <f t="shared" si="2"/>
        <v>0</v>
      </c>
      <c r="I19" s="131">
        <f t="shared" ref="I19:I37" si="8">(G19+H19)</f>
        <v>36.123879306421522</v>
      </c>
      <c r="J19" s="131">
        <f t="shared" si="5"/>
        <v>95.25</v>
      </c>
      <c r="K19" s="129">
        <f t="shared" si="3"/>
        <v>95.25</v>
      </c>
      <c r="L19" s="120"/>
      <c r="N19" s="118"/>
      <c r="R19" s="120"/>
      <c r="T19" s="162"/>
      <c r="U19" s="154"/>
      <c r="V19" s="154"/>
      <c r="X19" s="154"/>
      <c r="Y19" s="154"/>
      <c r="Z19" s="154"/>
    </row>
    <row r="20" spans="2:28">
      <c r="B20" s="136">
        <f t="shared" si="0"/>
        <v>2026</v>
      </c>
      <c r="C20" s="137"/>
      <c r="D20" s="129">
        <f t="shared" si="6"/>
        <v>65.459999999999994</v>
      </c>
      <c r="E20" s="129">
        <f t="shared" si="1"/>
        <v>29.28</v>
      </c>
      <c r="F20" s="129">
        <f t="shared" si="7"/>
        <v>2.7</v>
      </c>
      <c r="G20" s="131">
        <f t="shared" si="4"/>
        <v>36.954444090474674</v>
      </c>
      <c r="H20" s="129">
        <f t="shared" si="2"/>
        <v>0</v>
      </c>
      <c r="I20" s="131">
        <f t="shared" si="8"/>
        <v>36.954444090474674</v>
      </c>
      <c r="J20" s="131">
        <f t="shared" si="5"/>
        <v>97.44</v>
      </c>
      <c r="K20" s="129">
        <f t="shared" si="3"/>
        <v>97.44</v>
      </c>
      <c r="L20" s="120"/>
      <c r="N20" s="118"/>
      <c r="R20" s="161"/>
      <c r="T20" s="162"/>
      <c r="U20" s="154"/>
      <c r="V20" s="154"/>
      <c r="X20" s="154"/>
      <c r="Y20" s="154"/>
      <c r="Z20" s="154"/>
    </row>
    <row r="21" spans="2:28">
      <c r="B21" s="136">
        <f t="shared" si="0"/>
        <v>2027</v>
      </c>
      <c r="C21" s="137"/>
      <c r="D21" s="129">
        <f t="shared" si="6"/>
        <v>66.97</v>
      </c>
      <c r="E21" s="129">
        <f t="shared" si="1"/>
        <v>29.95</v>
      </c>
      <c r="F21" s="129">
        <f t="shared" si="7"/>
        <v>2.76</v>
      </c>
      <c r="G21" s="131">
        <f t="shared" si="4"/>
        <v>37.803971540830418</v>
      </c>
      <c r="H21" s="129">
        <f t="shared" si="2"/>
        <v>0</v>
      </c>
      <c r="I21" s="131">
        <f t="shared" si="8"/>
        <v>37.803971540830418</v>
      </c>
      <c r="J21" s="131">
        <f t="shared" si="5"/>
        <v>99.68</v>
      </c>
      <c r="K21" s="129">
        <f t="shared" si="3"/>
        <v>99.68</v>
      </c>
      <c r="L21" s="120"/>
      <c r="N21" s="118"/>
      <c r="R21" s="161"/>
      <c r="T21" s="162"/>
      <c r="U21" s="154"/>
      <c r="V21" s="154"/>
      <c r="X21" s="154"/>
      <c r="Y21" s="154"/>
      <c r="Z21" s="154"/>
    </row>
    <row r="22" spans="2:28">
      <c r="B22" s="136">
        <f t="shared" si="0"/>
        <v>2028</v>
      </c>
      <c r="C22" s="137"/>
      <c r="D22" s="129">
        <f t="shared" si="6"/>
        <v>68.510000000000005</v>
      </c>
      <c r="E22" s="129">
        <f t="shared" si="1"/>
        <v>30.64</v>
      </c>
      <c r="F22" s="129">
        <f t="shared" si="7"/>
        <v>2.82</v>
      </c>
      <c r="G22" s="131">
        <f t="shared" si="4"/>
        <v>38.672461657488739</v>
      </c>
      <c r="H22" s="129">
        <f t="shared" si="2"/>
        <v>0</v>
      </c>
      <c r="I22" s="131">
        <f t="shared" si="8"/>
        <v>38.672461657488739</v>
      </c>
      <c r="J22" s="131">
        <f t="shared" si="5"/>
        <v>101.97</v>
      </c>
      <c r="K22" s="129">
        <f t="shared" si="3"/>
        <v>101.97</v>
      </c>
      <c r="L22" s="120"/>
      <c r="N22" s="118"/>
      <c r="R22" s="161"/>
      <c r="T22" s="162"/>
      <c r="U22" s="154"/>
      <c r="V22" s="154"/>
      <c r="X22" s="154"/>
      <c r="Y22" s="154"/>
      <c r="Z22" s="154"/>
    </row>
    <row r="23" spans="2:28">
      <c r="B23" s="136">
        <f t="shared" si="0"/>
        <v>2029</v>
      </c>
      <c r="C23" s="137"/>
      <c r="D23" s="129">
        <f t="shared" si="6"/>
        <v>70.09</v>
      </c>
      <c r="E23" s="129">
        <f t="shared" si="1"/>
        <v>31.34</v>
      </c>
      <c r="F23" s="129">
        <f t="shared" si="7"/>
        <v>2.88</v>
      </c>
      <c r="G23" s="131">
        <f t="shared" si="4"/>
        <v>39.559914440449646</v>
      </c>
      <c r="H23" s="129">
        <f t="shared" si="2"/>
        <v>0</v>
      </c>
      <c r="I23" s="131">
        <f t="shared" si="8"/>
        <v>39.559914440449646</v>
      </c>
      <c r="J23" s="131">
        <f t="shared" si="5"/>
        <v>104.31</v>
      </c>
      <c r="K23" s="129">
        <f t="shared" si="3"/>
        <v>104.31</v>
      </c>
      <c r="L23" s="120"/>
      <c r="N23" s="118"/>
      <c r="R23" s="161"/>
      <c r="T23" s="162"/>
      <c r="U23" s="154"/>
      <c r="V23" s="154"/>
      <c r="X23" s="154"/>
      <c r="Y23" s="154"/>
      <c r="Z23" s="154"/>
    </row>
    <row r="24" spans="2:28">
      <c r="B24" s="136">
        <f t="shared" si="0"/>
        <v>2030</v>
      </c>
      <c r="C24" s="137"/>
      <c r="D24" s="129">
        <f t="shared" si="6"/>
        <v>71.63</v>
      </c>
      <c r="E24" s="129">
        <f t="shared" si="1"/>
        <v>32.03</v>
      </c>
      <c r="F24" s="129">
        <f t="shared" si="7"/>
        <v>2.94</v>
      </c>
      <c r="G24" s="131">
        <f t="shared" si="4"/>
        <v>40.428404557107967</v>
      </c>
      <c r="H24" s="129">
        <f t="shared" si="2"/>
        <v>0</v>
      </c>
      <c r="I24" s="131">
        <f t="shared" si="8"/>
        <v>40.428404557107967</v>
      </c>
      <c r="J24" s="131">
        <f t="shared" si="5"/>
        <v>106.6</v>
      </c>
      <c r="K24" s="129">
        <f t="shared" si="3"/>
        <v>106.6</v>
      </c>
      <c r="L24" s="120"/>
      <c r="N24" s="118"/>
      <c r="R24" s="161"/>
      <c r="T24" s="162"/>
      <c r="U24" s="154"/>
      <c r="V24" s="154"/>
      <c r="X24" s="154"/>
      <c r="Y24" s="154"/>
      <c r="Z24" s="154"/>
    </row>
    <row r="25" spans="2:28">
      <c r="B25" s="136">
        <f t="shared" si="0"/>
        <v>2031</v>
      </c>
      <c r="C25" s="137"/>
      <c r="D25" s="129">
        <f t="shared" si="6"/>
        <v>73.209999999999994</v>
      </c>
      <c r="E25" s="129">
        <f t="shared" si="1"/>
        <v>32.729999999999997</v>
      </c>
      <c r="F25" s="129">
        <f t="shared" si="7"/>
        <v>3</v>
      </c>
      <c r="G25" s="131">
        <f t="shared" si="4"/>
        <v>41.315857340068874</v>
      </c>
      <c r="H25" s="129">
        <f t="shared" si="2"/>
        <v>0</v>
      </c>
      <c r="I25" s="131">
        <f t="shared" si="8"/>
        <v>41.315857340068874</v>
      </c>
      <c r="J25" s="131">
        <f t="shared" si="5"/>
        <v>108.94</v>
      </c>
      <c r="K25" s="129">
        <f t="shared" si="3"/>
        <v>108.94</v>
      </c>
      <c r="L25" s="120"/>
      <c r="N25" s="118"/>
      <c r="R25" s="161"/>
      <c r="T25" s="162"/>
      <c r="U25" s="154"/>
      <c r="V25" s="154"/>
      <c r="X25" s="154"/>
      <c r="Y25" s="154"/>
      <c r="Z25" s="154"/>
    </row>
    <row r="26" spans="2:28">
      <c r="B26" s="136">
        <f t="shared" si="0"/>
        <v>2032</v>
      </c>
      <c r="C26" s="137"/>
      <c r="D26" s="129">
        <f t="shared" si="6"/>
        <v>74.819999999999993</v>
      </c>
      <c r="E26" s="129">
        <f t="shared" si="1"/>
        <v>33.450000000000003</v>
      </c>
      <c r="F26" s="129">
        <f t="shared" si="7"/>
        <v>3.07</v>
      </c>
      <c r="G26" s="131">
        <f t="shared" si="4"/>
        <v>42.226065322592881</v>
      </c>
      <c r="H26" s="129">
        <f t="shared" si="2"/>
        <v>0</v>
      </c>
      <c r="I26" s="131">
        <f t="shared" si="8"/>
        <v>42.226065322592881</v>
      </c>
      <c r="J26" s="131">
        <f t="shared" si="5"/>
        <v>111.34</v>
      </c>
      <c r="K26" s="129">
        <f t="shared" si="3"/>
        <v>111.33999999999999</v>
      </c>
      <c r="L26" s="120"/>
      <c r="N26" s="118"/>
      <c r="R26" s="161"/>
      <c r="T26" s="162"/>
      <c r="U26" s="154"/>
      <c r="V26" s="154"/>
      <c r="X26" s="154"/>
      <c r="Y26" s="154"/>
      <c r="Z26" s="154"/>
    </row>
    <row r="27" spans="2:28">
      <c r="B27" s="136">
        <f t="shared" si="0"/>
        <v>2033</v>
      </c>
      <c r="C27" s="137"/>
      <c r="D27" s="129">
        <f t="shared" si="6"/>
        <v>76.39</v>
      </c>
      <c r="E27" s="129">
        <f t="shared" si="1"/>
        <v>34.15</v>
      </c>
      <c r="F27" s="129">
        <f t="shared" si="7"/>
        <v>3.13</v>
      </c>
      <c r="G27" s="131">
        <f t="shared" si="4"/>
        <v>43.109725572293272</v>
      </c>
      <c r="H27" s="129">
        <f t="shared" si="2"/>
        <v>0</v>
      </c>
      <c r="I27" s="131">
        <f t="shared" si="8"/>
        <v>43.109725572293272</v>
      </c>
      <c r="J27" s="131">
        <f t="shared" si="5"/>
        <v>113.67</v>
      </c>
      <c r="K27" s="129">
        <f t="shared" si="3"/>
        <v>113.66999999999999</v>
      </c>
      <c r="L27" s="120"/>
      <c r="N27" s="118"/>
      <c r="R27" s="161"/>
      <c r="T27" s="162"/>
      <c r="U27" s="154"/>
      <c r="V27" s="154"/>
      <c r="X27" s="154"/>
      <c r="Y27" s="154"/>
      <c r="Z27" s="154"/>
    </row>
    <row r="28" spans="2:28">
      <c r="B28" s="136">
        <f t="shared" si="0"/>
        <v>2034</v>
      </c>
      <c r="C28" s="137"/>
      <c r="D28" s="129">
        <f t="shared" si="6"/>
        <v>77.989999999999995</v>
      </c>
      <c r="E28" s="129">
        <f t="shared" si="1"/>
        <v>34.869999999999997</v>
      </c>
      <c r="F28" s="129">
        <f t="shared" si="7"/>
        <v>3.2</v>
      </c>
      <c r="G28" s="131">
        <f t="shared" si="4"/>
        <v>44.016141021556756</v>
      </c>
      <c r="H28" s="129">
        <f t="shared" si="2"/>
        <v>0</v>
      </c>
      <c r="I28" s="131">
        <f t="shared" si="8"/>
        <v>44.016141021556756</v>
      </c>
      <c r="J28" s="131">
        <f t="shared" si="5"/>
        <v>116.06</v>
      </c>
      <c r="K28" s="129">
        <f t="shared" si="3"/>
        <v>116.05999999999999</v>
      </c>
      <c r="L28" s="120"/>
      <c r="N28" s="118"/>
      <c r="R28" s="161"/>
      <c r="T28" s="162"/>
      <c r="U28" s="154"/>
      <c r="V28" s="154"/>
      <c r="X28" s="154"/>
      <c r="Y28" s="154"/>
      <c r="Z28" s="154"/>
    </row>
    <row r="29" spans="2:28">
      <c r="B29" s="136">
        <f t="shared" si="0"/>
        <v>2035</v>
      </c>
      <c r="C29" s="137"/>
      <c r="D29" s="129">
        <f t="shared" si="6"/>
        <v>79.63</v>
      </c>
      <c r="E29" s="129">
        <f t="shared" si="1"/>
        <v>35.6</v>
      </c>
      <c r="F29" s="129">
        <f t="shared" si="7"/>
        <v>3.27</v>
      </c>
      <c r="G29" s="131">
        <f t="shared" si="4"/>
        <v>44.941519137122832</v>
      </c>
      <c r="H29" s="129">
        <f t="shared" si="2"/>
        <v>0</v>
      </c>
      <c r="I29" s="131">
        <f t="shared" si="8"/>
        <v>44.941519137122832</v>
      </c>
      <c r="J29" s="131">
        <f t="shared" si="5"/>
        <v>118.5</v>
      </c>
      <c r="K29" s="129">
        <f t="shared" si="3"/>
        <v>118.49999999999999</v>
      </c>
      <c r="L29" s="120"/>
      <c r="N29" s="118"/>
      <c r="R29" s="161"/>
      <c r="T29" s="162"/>
      <c r="U29" s="154"/>
      <c r="V29" s="154"/>
      <c r="X29" s="154"/>
      <c r="Y29" s="154"/>
      <c r="Z29" s="154"/>
    </row>
    <row r="30" spans="2:28">
      <c r="B30" s="136">
        <f t="shared" si="0"/>
        <v>2036</v>
      </c>
      <c r="C30" s="137"/>
      <c r="D30" s="129">
        <f t="shared" si="6"/>
        <v>81.3</v>
      </c>
      <c r="E30" s="129">
        <f t="shared" si="1"/>
        <v>36.35</v>
      </c>
      <c r="F30" s="129">
        <f t="shared" si="7"/>
        <v>3.34</v>
      </c>
      <c r="G30" s="131">
        <f t="shared" si="4"/>
        <v>45.8858599189915</v>
      </c>
      <c r="H30" s="129">
        <f t="shared" si="2"/>
        <v>0</v>
      </c>
      <c r="I30" s="131">
        <f t="shared" si="8"/>
        <v>45.8858599189915</v>
      </c>
      <c r="J30" s="131">
        <f t="shared" si="5"/>
        <v>120.99</v>
      </c>
      <c r="K30" s="129">
        <f t="shared" si="3"/>
        <v>120.99000000000001</v>
      </c>
      <c r="L30" s="120"/>
      <c r="N30" s="118"/>
      <c r="R30" s="161"/>
      <c r="T30" s="162"/>
      <c r="U30" s="154"/>
      <c r="V30" s="154"/>
      <c r="X30" s="154"/>
      <c r="Y30" s="154"/>
      <c r="Z30" s="154"/>
    </row>
    <row r="31" spans="2:28">
      <c r="B31" s="136">
        <f t="shared" si="0"/>
        <v>2037</v>
      </c>
      <c r="C31" s="137"/>
      <c r="D31" s="129">
        <f t="shared" si="6"/>
        <v>83.01</v>
      </c>
      <c r="E31" s="129">
        <f t="shared" si="1"/>
        <v>37.11</v>
      </c>
      <c r="F31" s="129">
        <f t="shared" si="7"/>
        <v>3.41</v>
      </c>
      <c r="G31" s="131">
        <f t="shared" si="4"/>
        <v>46.849163367162731</v>
      </c>
      <c r="H31" s="129">
        <f t="shared" si="2"/>
        <v>0</v>
      </c>
      <c r="I31" s="131">
        <f t="shared" si="8"/>
        <v>46.849163367162731</v>
      </c>
      <c r="J31" s="131">
        <f t="shared" si="5"/>
        <v>123.53</v>
      </c>
      <c r="K31" s="129">
        <f t="shared" si="3"/>
        <v>123.53</v>
      </c>
      <c r="L31" s="120"/>
      <c r="N31" s="118"/>
      <c r="R31" s="161"/>
      <c r="T31" s="162"/>
      <c r="U31" s="154"/>
      <c r="V31" s="154"/>
      <c r="X31" s="154"/>
      <c r="Y31" s="154"/>
      <c r="Z31" s="154"/>
    </row>
    <row r="32" spans="2:28">
      <c r="B32" s="136">
        <f t="shared" si="0"/>
        <v>2038</v>
      </c>
      <c r="C32" s="137"/>
      <c r="D32" s="129">
        <f t="shared" si="6"/>
        <v>84.75</v>
      </c>
      <c r="E32" s="129">
        <f t="shared" si="1"/>
        <v>37.89</v>
      </c>
      <c r="F32" s="129">
        <f t="shared" si="7"/>
        <v>3.48</v>
      </c>
      <c r="G32" s="131">
        <f t="shared" si="4"/>
        <v>47.831429481636562</v>
      </c>
      <c r="H32" s="129">
        <f t="shared" si="2"/>
        <v>0</v>
      </c>
      <c r="I32" s="131">
        <f t="shared" si="8"/>
        <v>47.831429481636562</v>
      </c>
      <c r="J32" s="131">
        <f t="shared" si="5"/>
        <v>126.12</v>
      </c>
      <c r="K32" s="129">
        <f t="shared" si="3"/>
        <v>126.12</v>
      </c>
      <c r="L32" s="120"/>
      <c r="N32" s="118"/>
      <c r="R32" s="161"/>
      <c r="T32" s="162"/>
      <c r="U32" s="154"/>
      <c r="V32" s="154"/>
      <c r="X32" s="154"/>
      <c r="Y32" s="154"/>
      <c r="Z32" s="154"/>
    </row>
    <row r="33" spans="2:26">
      <c r="B33" s="136">
        <f t="shared" si="0"/>
        <v>2039</v>
      </c>
      <c r="C33" s="137"/>
      <c r="D33" s="129">
        <f t="shared" si="6"/>
        <v>86.53</v>
      </c>
      <c r="E33" s="129">
        <f t="shared" si="1"/>
        <v>38.69</v>
      </c>
      <c r="F33" s="129">
        <f t="shared" si="7"/>
        <v>3.55</v>
      </c>
      <c r="G33" s="131">
        <f t="shared" si="4"/>
        <v>48.836450795673485</v>
      </c>
      <c r="H33" s="129">
        <f t="shared" si="2"/>
        <v>0</v>
      </c>
      <c r="I33" s="131">
        <f t="shared" si="8"/>
        <v>48.836450795673485</v>
      </c>
      <c r="J33" s="131">
        <f t="shared" si="5"/>
        <v>128.77000000000001</v>
      </c>
      <c r="K33" s="129">
        <f t="shared" si="3"/>
        <v>128.77000000000001</v>
      </c>
      <c r="L33" s="120"/>
      <c r="N33" s="118"/>
      <c r="R33" s="161"/>
      <c r="T33" s="162"/>
      <c r="U33" s="154"/>
      <c r="V33" s="154"/>
      <c r="X33" s="154"/>
      <c r="Y33" s="154"/>
      <c r="Z33" s="154"/>
    </row>
    <row r="34" spans="2:26">
      <c r="B34" s="136">
        <f t="shared" si="0"/>
        <v>2040</v>
      </c>
      <c r="C34" s="137"/>
      <c r="D34" s="129">
        <f t="shared" si="6"/>
        <v>88.35</v>
      </c>
      <c r="E34" s="129">
        <f t="shared" si="1"/>
        <v>39.5</v>
      </c>
      <c r="F34" s="129">
        <f t="shared" si="7"/>
        <v>3.62</v>
      </c>
      <c r="G34" s="131">
        <f t="shared" si="4"/>
        <v>49.860434776012987</v>
      </c>
      <c r="H34" s="129">
        <f t="shared" si="2"/>
        <v>0</v>
      </c>
      <c r="I34" s="131">
        <f t="shared" si="8"/>
        <v>49.860434776012987</v>
      </c>
      <c r="J34" s="131">
        <f t="shared" si="5"/>
        <v>131.47</v>
      </c>
      <c r="K34" s="129">
        <f t="shared" si="3"/>
        <v>131.47</v>
      </c>
      <c r="L34" s="120"/>
      <c r="N34" s="118"/>
      <c r="R34" s="161"/>
      <c r="T34" s="162"/>
      <c r="U34" s="154"/>
      <c r="V34" s="154"/>
      <c r="X34" s="154"/>
      <c r="Y34" s="154"/>
      <c r="Z34" s="154"/>
    </row>
    <row r="35" spans="2:26">
      <c r="B35" s="136">
        <f t="shared" si="0"/>
        <v>2041</v>
      </c>
      <c r="C35" s="137"/>
      <c r="D35" s="129">
        <f t="shared" si="6"/>
        <v>90.21</v>
      </c>
      <c r="E35" s="129">
        <f t="shared" si="1"/>
        <v>40.33</v>
      </c>
      <c r="F35" s="129">
        <f t="shared" si="7"/>
        <v>3.7</v>
      </c>
      <c r="G35" s="131">
        <f t="shared" si="4"/>
        <v>50.910966489176104</v>
      </c>
      <c r="H35" s="129">
        <f t="shared" si="2"/>
        <v>0</v>
      </c>
      <c r="I35" s="131">
        <f t="shared" si="8"/>
        <v>50.910966489176104</v>
      </c>
      <c r="J35" s="131">
        <f t="shared" si="5"/>
        <v>134.24</v>
      </c>
      <c r="K35" s="129">
        <f t="shared" si="3"/>
        <v>134.23999999999998</v>
      </c>
      <c r="L35" s="120"/>
      <c r="N35" s="118"/>
      <c r="R35" s="161"/>
      <c r="T35" s="162"/>
      <c r="U35" s="154"/>
      <c r="V35" s="154"/>
      <c r="X35" s="154"/>
      <c r="Y35" s="154"/>
      <c r="Z35" s="154"/>
    </row>
    <row r="36" spans="2:26">
      <c r="B36" s="136">
        <f t="shared" si="0"/>
        <v>2042</v>
      </c>
      <c r="C36" s="137"/>
      <c r="D36" s="129">
        <f t="shared" si="6"/>
        <v>92.1</v>
      </c>
      <c r="E36" s="129">
        <f t="shared" si="1"/>
        <v>41.18</v>
      </c>
      <c r="F36" s="129">
        <f t="shared" si="7"/>
        <v>3.78</v>
      </c>
      <c r="G36" s="131">
        <f t="shared" si="4"/>
        <v>51.980460868641821</v>
      </c>
      <c r="H36" s="129">
        <f t="shared" si="2"/>
        <v>0</v>
      </c>
      <c r="I36" s="131">
        <f t="shared" si="8"/>
        <v>51.980460868641821</v>
      </c>
      <c r="J36" s="131">
        <f t="shared" si="5"/>
        <v>137.06</v>
      </c>
      <c r="K36" s="129">
        <f t="shared" si="3"/>
        <v>137.06</v>
      </c>
      <c r="L36" s="120"/>
      <c r="N36" s="118"/>
      <c r="R36" s="161"/>
      <c r="T36" s="162"/>
      <c r="U36" s="154"/>
      <c r="V36" s="154"/>
      <c r="X36" s="154"/>
      <c r="Y36" s="154"/>
      <c r="Z36" s="154"/>
    </row>
    <row r="37" spans="2:26">
      <c r="B37" s="136">
        <f t="shared" si="0"/>
        <v>2043</v>
      </c>
      <c r="C37" s="137"/>
      <c r="D37" s="129">
        <f t="shared" si="6"/>
        <v>94.03</v>
      </c>
      <c r="E37" s="129">
        <f t="shared" si="1"/>
        <v>42.04</v>
      </c>
      <c r="F37" s="129">
        <f t="shared" si="7"/>
        <v>3.86</v>
      </c>
      <c r="G37" s="131">
        <f t="shared" si="4"/>
        <v>53.068917914410115</v>
      </c>
      <c r="H37" s="129">
        <f t="shared" si="2"/>
        <v>0</v>
      </c>
      <c r="I37" s="131">
        <f t="shared" si="8"/>
        <v>53.068917914410115</v>
      </c>
      <c r="J37" s="131">
        <f t="shared" si="5"/>
        <v>139.93</v>
      </c>
      <c r="K37" s="129">
        <f t="shared" si="3"/>
        <v>139.93</v>
      </c>
      <c r="L37" s="120"/>
      <c r="N37" s="118"/>
      <c r="R37" s="161"/>
      <c r="T37" s="162"/>
      <c r="U37" s="154"/>
      <c r="V37" s="154"/>
      <c r="X37" s="154"/>
      <c r="Y37" s="154"/>
      <c r="Z37" s="154"/>
    </row>
    <row r="38" spans="2:26">
      <c r="B38" s="136">
        <f t="shared" si="0"/>
        <v>2044</v>
      </c>
      <c r="C38" s="137"/>
      <c r="D38" s="129">
        <f t="shared" ref="D38:D40" si="9">ROUND(D37*(1+(IFERROR(INDEX($D$69:$D$77,MATCH($B38,$C$69:$C$77,0),1),0)+IFERROR(INDEX($G$69:$G$77,MATCH($B38,$F$69:$F$77,0),1),0)+IFERROR(INDEX($J$69:$J$77,MATCH($B38,$I$69:$I$77,0),1),0))),2)</f>
        <v>94.03</v>
      </c>
      <c r="E38" s="129">
        <f t="shared" ref="E38:E40" si="10">ROUND(E37*(1+(IFERROR(INDEX($D$69:$D$77,MATCH($B38,$C$69:$C$77,0),1),0)+IFERROR(INDEX($G$69:$G$77,MATCH($B38,$F$69:$F$77,0),1),0)+IFERROR(INDEX($J$69:$J$77,MATCH($B38,$I$69:$I$77,0),1),0))),2)</f>
        <v>42.04</v>
      </c>
      <c r="F38" s="129">
        <f t="shared" ref="F38:F40" si="11">ROUND(F37*(1+(IFERROR(INDEX($D$69:$D$77,MATCH($B38,$C$69:$C$77,0),1),0)+IFERROR(INDEX($G$69:$G$77,MATCH($B38,$F$69:$F$77,0),1),0)+IFERROR(INDEX($J$69:$J$77,MATCH($B38,$I$69:$I$77,0),1),0))),2)</f>
        <v>3.86</v>
      </c>
      <c r="G38" s="131">
        <f t="shared" ref="G38:G40" si="12">(D38+E38+F38)/(8.76*$C$66)</f>
        <v>53.068917914410115</v>
      </c>
      <c r="H38" s="129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1">
        <f t="shared" ref="I38:I40" si="14">(G38+H38)</f>
        <v>53.068917914410115</v>
      </c>
      <c r="J38" s="131">
        <f t="shared" ref="J38:J41" si="15">ROUND(I38*$C$66*8.76,2)</f>
        <v>139.93</v>
      </c>
      <c r="K38" s="129">
        <f t="shared" ref="K38:K40" si="16">(D38+E38+F38)</f>
        <v>139.93</v>
      </c>
      <c r="L38" s="120"/>
      <c r="N38" s="118"/>
      <c r="R38" s="161"/>
      <c r="T38" s="162"/>
      <c r="U38" s="154"/>
      <c r="V38" s="154"/>
      <c r="X38" s="154"/>
      <c r="Y38" s="154"/>
      <c r="Z38" s="154"/>
    </row>
    <row r="39" spans="2:26">
      <c r="B39" s="136">
        <f t="shared" si="0"/>
        <v>2045</v>
      </c>
      <c r="C39" s="137"/>
      <c r="D39" s="129">
        <f t="shared" si="9"/>
        <v>94.03</v>
      </c>
      <c r="E39" s="129">
        <f t="shared" si="10"/>
        <v>42.04</v>
      </c>
      <c r="F39" s="129">
        <f t="shared" si="11"/>
        <v>3.86</v>
      </c>
      <c r="G39" s="131">
        <f t="shared" si="12"/>
        <v>53.068917914410115</v>
      </c>
      <c r="H39" s="129">
        <f t="shared" si="13"/>
        <v>0</v>
      </c>
      <c r="I39" s="131">
        <f t="shared" si="14"/>
        <v>53.068917914410115</v>
      </c>
      <c r="J39" s="131">
        <f t="shared" si="15"/>
        <v>139.93</v>
      </c>
      <c r="K39" s="129">
        <f t="shared" si="16"/>
        <v>139.93</v>
      </c>
      <c r="L39" s="120"/>
      <c r="N39" s="118"/>
      <c r="R39" s="161"/>
      <c r="T39" s="162"/>
      <c r="U39" s="154"/>
      <c r="V39" s="154"/>
      <c r="X39" s="154"/>
      <c r="Y39" s="154"/>
      <c r="Z39" s="154"/>
    </row>
    <row r="40" spans="2:26">
      <c r="B40" s="136">
        <f t="shared" si="0"/>
        <v>2046</v>
      </c>
      <c r="C40" s="137"/>
      <c r="D40" s="129">
        <f t="shared" si="9"/>
        <v>94.03</v>
      </c>
      <c r="E40" s="129">
        <f t="shared" si="10"/>
        <v>42.04</v>
      </c>
      <c r="F40" s="129">
        <f t="shared" si="11"/>
        <v>3.86</v>
      </c>
      <c r="G40" s="131">
        <f t="shared" si="12"/>
        <v>53.068917914410115</v>
      </c>
      <c r="H40" s="129">
        <f t="shared" si="13"/>
        <v>0</v>
      </c>
      <c r="I40" s="131">
        <f t="shared" si="14"/>
        <v>53.068917914410115</v>
      </c>
      <c r="J40" s="131">
        <f t="shared" si="15"/>
        <v>139.93</v>
      </c>
      <c r="K40" s="129">
        <f t="shared" si="16"/>
        <v>139.93</v>
      </c>
      <c r="L40" s="120"/>
      <c r="N40" s="118"/>
      <c r="R40" s="161"/>
      <c r="T40" s="162"/>
      <c r="U40" s="154"/>
      <c r="V40" s="154"/>
      <c r="X40" s="154"/>
      <c r="Y40" s="154"/>
      <c r="Z40" s="154"/>
    </row>
    <row r="41" spans="2:26">
      <c r="B41" s="136">
        <f t="shared" si="0"/>
        <v>2047</v>
      </c>
      <c r="C41" s="137"/>
      <c r="D41" s="129">
        <f t="shared" ref="D41" si="17">ROUND(D40*(1+(IFERROR(INDEX($D$69:$D$77,MATCH($B41,$C$69:$C$77,0),1),0)+IFERROR(INDEX($G$69:$G$77,MATCH($B41,$F$69:$F$77,0),1),0)+IFERROR(INDEX($J$69:$J$77,MATCH($B41,$I$69:$I$77,0),1),0))),2)</f>
        <v>94.03</v>
      </c>
      <c r="E41" s="129">
        <f t="shared" ref="E41" si="18">ROUND(E40*(1+(IFERROR(INDEX($D$69:$D$77,MATCH($B41,$C$69:$C$77,0),1),0)+IFERROR(INDEX($G$69:$G$77,MATCH($B41,$F$69:$F$77,0),1),0)+IFERROR(INDEX($J$69:$J$77,MATCH($B41,$I$69:$I$77,0),1),0))),2)</f>
        <v>42.04</v>
      </c>
      <c r="F41" s="129">
        <f t="shared" ref="F41" si="19">ROUND(F40*(1+(IFERROR(INDEX($D$69:$D$77,MATCH($B41,$C$69:$C$77,0),1),0)+IFERROR(INDEX($G$69:$G$77,MATCH($B41,$F$69:$F$77,0),1),0)+IFERROR(INDEX($J$69:$J$77,MATCH($B41,$I$69:$I$77,0),1),0))),2)</f>
        <v>3.86</v>
      </c>
      <c r="G41" s="131">
        <f t="shared" ref="G41" si="20">(D41+E41+F41)/(8.76*$C$66)</f>
        <v>53.068917914410115</v>
      </c>
      <c r="H41" s="129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1">
        <f t="shared" ref="I41" si="22">(G41+H41)</f>
        <v>53.068917914410115</v>
      </c>
      <c r="J41" s="131">
        <f t="shared" si="15"/>
        <v>139.93</v>
      </c>
      <c r="K41" s="129">
        <f t="shared" ref="K41" si="23">(D41+E41+F41)</f>
        <v>139.93</v>
      </c>
      <c r="L41" s="120"/>
      <c r="N41" s="118"/>
      <c r="R41" s="161"/>
      <c r="T41" s="162"/>
      <c r="U41" s="154"/>
      <c r="V41" s="154"/>
      <c r="X41" s="154"/>
      <c r="Y41" s="154"/>
      <c r="Z41" s="154"/>
    </row>
    <row r="42" spans="2:26">
      <c r="B42" s="127"/>
      <c r="C42" s="132"/>
      <c r="D42" s="129"/>
      <c r="E42" s="129"/>
      <c r="F42" s="130"/>
      <c r="G42" s="129"/>
      <c r="H42" s="129"/>
      <c r="I42" s="131"/>
      <c r="J42" s="131"/>
      <c r="K42" s="138"/>
      <c r="R42" s="120"/>
    </row>
    <row r="43" spans="2:26">
      <c r="B43" s="127"/>
      <c r="C43" s="132"/>
      <c r="D43" s="129"/>
      <c r="E43" s="129"/>
      <c r="F43" s="130"/>
      <c r="G43" s="129"/>
      <c r="H43" s="129"/>
      <c r="I43" s="131"/>
      <c r="J43" s="131"/>
      <c r="K43" s="138"/>
      <c r="R43" s="120"/>
    </row>
    <row r="44" spans="2:26">
      <c r="R44" s="120"/>
    </row>
    <row r="45" spans="2:26" ht="14.25">
      <c r="B45" s="139" t="s">
        <v>25</v>
      </c>
      <c r="C45" s="140"/>
      <c r="D45" s="140"/>
      <c r="E45" s="140"/>
      <c r="F45" s="140"/>
      <c r="G45" s="140"/>
      <c r="H45" s="140"/>
      <c r="R45" s="120"/>
    </row>
    <row r="47" spans="2:26">
      <c r="B47" s="118" t="s">
        <v>63</v>
      </c>
      <c r="C47" s="141" t="s">
        <v>64</v>
      </c>
      <c r="D47" s="142" t="s">
        <v>102</v>
      </c>
    </row>
    <row r="48" spans="2:26">
      <c r="C48" s="141" t="str">
        <f>C7</f>
        <v>(a)</v>
      </c>
      <c r="D48" s="118" t="s">
        <v>65</v>
      </c>
    </row>
    <row r="49" spans="2:25">
      <c r="C49" s="141" t="str">
        <f>D7</f>
        <v>(b)</v>
      </c>
      <c r="D49" s="131" t="str">
        <f>"= "&amp;C7&amp;" x "&amp;C65</f>
        <v>= (a) x 0.05085</v>
      </c>
    </row>
    <row r="50" spans="2:25">
      <c r="C50" s="141" t="str">
        <f>G7</f>
        <v>(e)</v>
      </c>
      <c r="D50" s="131" t="str">
        <f>"= ("&amp;$D$7&amp;" + "&amp;$E$7&amp;") /  (8.76 x "&amp;TEXT(C66,"0.0%")&amp;")"</f>
        <v>= ((b) + (c)) /  (8.76 x 30.1%)</v>
      </c>
    </row>
    <row r="51" spans="2:25">
      <c r="C51" s="141" t="str">
        <f>I7</f>
        <v>(g)</v>
      </c>
      <c r="D51" s="131" t="str">
        <f>"= "&amp;$G$7&amp;" + "&amp;$H$7</f>
        <v>= (e) + (f)</v>
      </c>
    </row>
    <row r="52" spans="2:25">
      <c r="C52" s="141" t="str">
        <f>K7</f>
        <v>(i)</v>
      </c>
      <c r="D52" s="85" t="str">
        <f>D47</f>
        <v>Plant Costs  - 2019 IRP Update - Table 6.1 &amp; 6.2</v>
      </c>
    </row>
    <row r="53" spans="2:25">
      <c r="C53" s="141"/>
      <c r="D53" s="131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3"/>
      <c r="E55" s="143"/>
      <c r="F55" s="143"/>
      <c r="G55" s="143"/>
      <c r="H55" s="143"/>
      <c r="I55" s="144"/>
      <c r="J55" s="144"/>
      <c r="K55" s="145"/>
    </row>
    <row r="56" spans="2:25" ht="13.5" thickBot="1">
      <c r="C56" s="146" t="s">
        <v>66</v>
      </c>
      <c r="D56" s="147" t="s">
        <v>67</v>
      </c>
      <c r="E56" s="147"/>
      <c r="F56" s="147"/>
      <c r="G56" s="147"/>
      <c r="H56" s="147"/>
      <c r="I56" s="144"/>
      <c r="J56" s="144"/>
      <c r="K56" s="145"/>
    </row>
    <row r="57" spans="2:25">
      <c r="P57" s="118" t="s">
        <v>103</v>
      </c>
      <c r="Q57" s="276">
        <v>2024</v>
      </c>
    </row>
    <row r="58" spans="2:25">
      <c r="B58" s="85" t="s">
        <v>101</v>
      </c>
      <c r="C58" s="171">
        <v>1608.8221683005897</v>
      </c>
      <c r="D58" s="118" t="s">
        <v>65</v>
      </c>
      <c r="O58" s="284">
        <v>342.2</v>
      </c>
      <c r="P58" s="118" t="s">
        <v>32</v>
      </c>
      <c r="Q58" s="276" t="s">
        <v>142</v>
      </c>
      <c r="R58" s="276" t="s">
        <v>108</v>
      </c>
      <c r="T58" s="276" t="str">
        <f>$Q$58&amp;"Proposed Station Capital Costs"</f>
        <v>L1.UN1_PVSProposed Station Capital Costs</v>
      </c>
    </row>
    <row r="59" spans="2:25">
      <c r="B59" s="85" t="s">
        <v>101</v>
      </c>
      <c r="C59" s="270">
        <v>24.570618817436728</v>
      </c>
      <c r="D59" s="118" t="s">
        <v>68</v>
      </c>
      <c r="R59" s="120"/>
      <c r="T59" s="276" t="str">
        <f>$Q$58&amp;"Proposed Station Fixed Costs"</f>
        <v>L1.UN1_PVSProposed Station Fixed Costs</v>
      </c>
    </row>
    <row r="60" spans="2:25" ht="24" customHeight="1">
      <c r="B60" s="85"/>
      <c r="C60" s="272"/>
      <c r="D60" s="118" t="s">
        <v>105</v>
      </c>
      <c r="Q60" s="348" t="str">
        <f>Q58&amp;Q57</f>
        <v>L1.UN1_PVS2024</v>
      </c>
      <c r="T60" s="276" t="str">
        <f>$Q$58&amp;"Proposed Station Variable O&amp;M Costs"</f>
        <v>L1.UN1_PVSProposed Station Variable O&amp;M Costs</v>
      </c>
    </row>
    <row r="61" spans="2:25">
      <c r="B61" s="85" t="s">
        <v>101</v>
      </c>
      <c r="C61" s="270">
        <v>0</v>
      </c>
      <c r="D61" s="118" t="s">
        <v>69</v>
      </c>
      <c r="K61" s="120"/>
      <c r="L61" s="150"/>
      <c r="M61" s="52"/>
      <c r="N61" s="164"/>
      <c r="O61" s="52"/>
      <c r="P61" s="52"/>
      <c r="Q61" s="120" t="s">
        <v>269</v>
      </c>
      <c r="R61" s="120"/>
      <c r="T61" s="120"/>
      <c r="U61" s="120"/>
      <c r="V61" s="120"/>
      <c r="W61" s="120"/>
      <c r="X61" s="120"/>
      <c r="Y61" s="120"/>
    </row>
    <row r="62" spans="2:25">
      <c r="B62" s="85"/>
      <c r="C62" s="159"/>
      <c r="D62" s="118" t="s">
        <v>70</v>
      </c>
      <c r="I62" s="198" t="s">
        <v>91</v>
      </c>
      <c r="L62" s="152"/>
      <c r="M62" s="153"/>
      <c r="O62" s="151"/>
      <c r="P62" s="120"/>
      <c r="Q62" s="120"/>
      <c r="R62" s="120"/>
      <c r="T62" s="120"/>
      <c r="U62" s="120"/>
      <c r="V62" s="120"/>
      <c r="W62" s="120"/>
      <c r="X62" s="120"/>
      <c r="Y62" s="120"/>
    </row>
    <row r="63" spans="2:25">
      <c r="B63" s="371" t="str">
        <f>LEFT(RIGHT(INDEX('Table 3 TransCost'!$39:$39,1,MATCH(F63,'Table 3 TransCost'!$4:$4,0)),6),5)</f>
        <v>2024$</v>
      </c>
      <c r="C63" s="272">
        <f>INDEX('Table 3 TransCost'!$39:$39,1,MATCH(F63,'Table 3 TransCost'!$4:$4,0)+2)</f>
        <v>2.5818101631996475</v>
      </c>
      <c r="D63" s="118" t="s">
        <v>218</v>
      </c>
      <c r="F63" s="276" t="s">
        <v>182</v>
      </c>
      <c r="K63" s="152"/>
      <c r="L63" s="152"/>
      <c r="M63" s="152"/>
      <c r="N63" s="165"/>
      <c r="O63" s="151"/>
      <c r="P63" s="120"/>
      <c r="Q63" s="120"/>
      <c r="R63" s="120"/>
      <c r="T63" s="120"/>
      <c r="U63" s="120"/>
      <c r="V63" s="120"/>
      <c r="W63" s="120"/>
      <c r="X63" s="120"/>
      <c r="Y63" s="120"/>
    </row>
    <row r="64" spans="2:25">
      <c r="B64" s="85"/>
      <c r="C64" s="201"/>
      <c r="K64" s="152"/>
      <c r="L64" s="152"/>
      <c r="M64" s="152"/>
      <c r="N64" s="165"/>
      <c r="O64" s="152"/>
      <c r="R64" s="120"/>
      <c r="T64" s="120"/>
      <c r="U64" s="120"/>
      <c r="V64" s="120"/>
      <c r="W64" s="120"/>
      <c r="X64" s="120"/>
      <c r="Y64" s="120"/>
    </row>
    <row r="65" spans="3:15">
      <c r="C65" s="271">
        <v>5.0849999999999999E-2</v>
      </c>
      <c r="D65" s="118" t="s">
        <v>36</v>
      </c>
      <c r="E65" s="118" t="s">
        <v>109</v>
      </c>
      <c r="K65" s="156"/>
      <c r="L65" s="157"/>
      <c r="M65" s="157"/>
      <c r="O65" s="158"/>
    </row>
    <row r="66" spans="3:15">
      <c r="C66" s="209">
        <v>0.30099999999999999</v>
      </c>
      <c r="D66" s="118" t="s">
        <v>37</v>
      </c>
    </row>
    <row r="67" spans="3:15" ht="13.5" thickBot="1">
      <c r="D67" s="155"/>
    </row>
    <row r="68" spans="3:15" ht="13.5" thickBot="1">
      <c r="C68" s="40" t="str">
        <f>"Company Official Inflation Forecast Dated "&amp;TEXT('Table 4'!$H$5,"mmmm dd, yyyy")</f>
        <v>Company Official Inflation Forecast Dated March 31, 2020</v>
      </c>
      <c r="D68" s="143"/>
      <c r="E68" s="143"/>
      <c r="F68" s="143"/>
      <c r="G68" s="143"/>
      <c r="H68" s="143"/>
      <c r="I68" s="143"/>
      <c r="J68" s="143"/>
      <c r="K68" s="145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2.3E-2</v>
      </c>
      <c r="H69" s="41"/>
      <c r="I69" s="87">
        <f>F77+1</f>
        <v>2035</v>
      </c>
      <c r="J69" s="41">
        <v>2.1000000000000001E-2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2.3E-2</v>
      </c>
      <c r="H70" s="41"/>
      <c r="I70" s="87">
        <f>I69+1</f>
        <v>2036</v>
      </c>
      <c r="J70" s="41">
        <v>2.1000000000000001E-2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2.3E-2</v>
      </c>
      <c r="H71" s="41"/>
      <c r="I71" s="87">
        <f t="shared" ref="I71:I81" si="26">I70+1</f>
        <v>2037</v>
      </c>
      <c r="J71" s="41">
        <v>2.1000000000000001E-2</v>
      </c>
    </row>
    <row r="72" spans="3:15">
      <c r="C72" s="87">
        <f t="shared" si="24"/>
        <v>2020</v>
      </c>
      <c r="D72" s="41">
        <v>1.9E-2</v>
      </c>
      <c r="E72" s="85"/>
      <c r="F72" s="87">
        <f t="shared" si="25"/>
        <v>2029</v>
      </c>
      <c r="G72" s="41">
        <v>2.3E-2</v>
      </c>
      <c r="H72" s="41"/>
      <c r="I72" s="87">
        <f t="shared" si="26"/>
        <v>2038</v>
      </c>
      <c r="J72" s="41">
        <v>2.1000000000000001E-2</v>
      </c>
    </row>
    <row r="73" spans="3:15">
      <c r="C73" s="87">
        <f t="shared" si="24"/>
        <v>2021</v>
      </c>
      <c r="D73" s="41">
        <v>0.02</v>
      </c>
      <c r="E73" s="85"/>
      <c r="F73" s="87">
        <f t="shared" si="25"/>
        <v>2030</v>
      </c>
      <c r="G73" s="41">
        <v>2.1999999999999999E-2</v>
      </c>
      <c r="H73" s="41"/>
      <c r="I73" s="87">
        <f t="shared" si="26"/>
        <v>2039</v>
      </c>
      <c r="J73" s="41">
        <v>2.1000000000000001E-2</v>
      </c>
    </row>
    <row r="74" spans="3:15">
      <c r="C74" s="87">
        <f t="shared" si="24"/>
        <v>2022</v>
      </c>
      <c r="D74" s="41">
        <v>2.5000000000000001E-2</v>
      </c>
      <c r="E74" s="85"/>
      <c r="F74" s="87">
        <f t="shared" si="25"/>
        <v>2031</v>
      </c>
      <c r="G74" s="41">
        <v>2.1999999999999999E-2</v>
      </c>
      <c r="H74" s="41"/>
      <c r="I74" s="87">
        <f t="shared" si="26"/>
        <v>2040</v>
      </c>
      <c r="J74" s="41">
        <v>2.1000000000000001E-2</v>
      </c>
    </row>
    <row r="75" spans="3:15" s="120" customFormat="1">
      <c r="C75" s="87">
        <f t="shared" si="24"/>
        <v>2023</v>
      </c>
      <c r="D75" s="41">
        <v>2.5000000000000001E-2</v>
      </c>
      <c r="E75" s="86"/>
      <c r="F75" s="87">
        <f t="shared" si="25"/>
        <v>2032</v>
      </c>
      <c r="G75" s="41">
        <v>2.1999999999999999E-2</v>
      </c>
      <c r="H75" s="41"/>
      <c r="I75" s="87">
        <f t="shared" si="26"/>
        <v>2041</v>
      </c>
      <c r="J75" s="41">
        <v>2.1000000000000001E-2</v>
      </c>
      <c r="N75" s="165"/>
    </row>
    <row r="76" spans="3:15" s="120" customFormat="1">
      <c r="C76" s="87">
        <f t="shared" si="24"/>
        <v>2024</v>
      </c>
      <c r="D76" s="41">
        <v>2.4E-2</v>
      </c>
      <c r="E76" s="86"/>
      <c r="F76" s="87">
        <f t="shared" si="25"/>
        <v>2033</v>
      </c>
      <c r="G76" s="41">
        <v>2.1000000000000001E-2</v>
      </c>
      <c r="H76" s="41"/>
      <c r="I76" s="87">
        <f t="shared" si="26"/>
        <v>2042</v>
      </c>
      <c r="J76" s="41">
        <v>2.1000000000000001E-2</v>
      </c>
      <c r="N76" s="165"/>
    </row>
    <row r="77" spans="3:15" s="120" customFormat="1">
      <c r="C77" s="87">
        <f t="shared" si="24"/>
        <v>2025</v>
      </c>
      <c r="D77" s="41">
        <v>2.3E-2</v>
      </c>
      <c r="E77" s="86"/>
      <c r="F77" s="87">
        <f t="shared" si="25"/>
        <v>2034</v>
      </c>
      <c r="G77" s="41">
        <v>2.1000000000000001E-2</v>
      </c>
      <c r="H77" s="41"/>
      <c r="I77" s="87">
        <f t="shared" si="26"/>
        <v>2043</v>
      </c>
      <c r="J77" s="41">
        <v>2.1000000000000001E-2</v>
      </c>
      <c r="N77" s="165"/>
    </row>
    <row r="78" spans="3:15" s="120" customFormat="1">
      <c r="I78" s="87">
        <f t="shared" si="26"/>
        <v>2044</v>
      </c>
      <c r="J78" s="41">
        <v>2.1999999999999999E-2</v>
      </c>
      <c r="N78" s="165"/>
    </row>
    <row r="79" spans="3:15" s="120" customFormat="1">
      <c r="I79" s="87">
        <f t="shared" si="26"/>
        <v>2045</v>
      </c>
      <c r="J79" s="41">
        <v>2.1999999999999999E-2</v>
      </c>
      <c r="N79" s="165"/>
    </row>
    <row r="80" spans="3:15">
      <c r="I80" s="87">
        <f t="shared" si="26"/>
        <v>2046</v>
      </c>
      <c r="J80" s="41">
        <v>2.1000000000000001E-2</v>
      </c>
    </row>
    <row r="81" spans="3:10">
      <c r="I81" s="87">
        <f t="shared" si="26"/>
        <v>2047</v>
      </c>
      <c r="J81" s="41">
        <v>2.1000000000000001E-2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  <row r="103" spans="3:4">
      <c r="C103" s="151"/>
      <c r="D103" s="155"/>
    </row>
    <row r="104" spans="3:4">
      <c r="C104" s="151"/>
      <c r="D104" s="155"/>
    </row>
    <row r="105" spans="3:4">
      <c r="C105" s="151"/>
      <c r="D105" s="155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5" zoomScale="80" zoomScaleNormal="80" workbookViewId="0">
      <selection activeCell="L26" sqref="L26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5" style="85" customWidth="1"/>
    <col min="7" max="7" width="10.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8"/>
    <col min="30" max="16384" width="9.33203125" style="85"/>
  </cols>
  <sheetData>
    <row r="1" spans="2:31" ht="15.75" hidden="1">
      <c r="B1" s="1" t="s">
        <v>35</v>
      </c>
      <c r="C1" s="285"/>
      <c r="D1" s="285"/>
      <c r="E1" s="285"/>
      <c r="F1" s="285"/>
      <c r="G1" s="285"/>
      <c r="H1" s="285"/>
      <c r="I1" s="285"/>
      <c r="J1" s="285"/>
      <c r="K1" s="285"/>
    </row>
    <row r="2" spans="2:31" ht="15.75">
      <c r="B2" s="1"/>
      <c r="C2" s="285"/>
      <c r="D2" s="285"/>
      <c r="E2" s="285"/>
      <c r="F2" s="285"/>
      <c r="G2" s="285"/>
      <c r="H2" s="285"/>
      <c r="I2" s="285"/>
      <c r="J2" s="285"/>
      <c r="K2" s="285"/>
    </row>
    <row r="3" spans="2:31" ht="15.75">
      <c r="B3" s="1" t="s">
        <v>56</v>
      </c>
      <c r="C3" s="285"/>
      <c r="D3" s="285"/>
      <c r="E3" s="285"/>
      <c r="F3" s="285"/>
      <c r="G3" s="285"/>
      <c r="H3" s="285"/>
      <c r="I3" s="285"/>
      <c r="J3" s="285"/>
      <c r="K3" s="285"/>
      <c r="U3" s="118"/>
      <c r="V3" s="118"/>
      <c r="W3" s="118"/>
      <c r="X3" s="118"/>
      <c r="Y3" s="118"/>
      <c r="Z3" s="118"/>
      <c r="AA3" s="118"/>
    </row>
    <row r="4" spans="2:31" ht="15.75">
      <c r="B4" s="1" t="s">
        <v>138</v>
      </c>
      <c r="C4" s="285"/>
      <c r="D4" s="285"/>
      <c r="E4" s="285"/>
      <c r="F4" s="285"/>
      <c r="G4" s="285"/>
      <c r="H4" s="285"/>
      <c r="I4" s="285"/>
      <c r="J4" s="285"/>
      <c r="K4" s="285"/>
      <c r="U4" s="118"/>
      <c r="V4" s="118"/>
      <c r="W4" s="118"/>
      <c r="X4" s="118"/>
      <c r="Y4" s="118"/>
      <c r="Z4" s="118"/>
      <c r="AA4" s="118"/>
    </row>
    <row r="5" spans="2:31" ht="15.75">
      <c r="B5" s="1" t="str">
        <f>C52</f>
        <v>Naughton - 185 MW - SCCT Frame "F" x1 - East Side Resource (6,050')</v>
      </c>
      <c r="C5" s="285"/>
      <c r="D5" s="285"/>
      <c r="E5" s="285"/>
      <c r="F5" s="285"/>
      <c r="G5" s="285"/>
      <c r="H5" s="285"/>
      <c r="I5" s="285"/>
      <c r="J5" s="285"/>
      <c r="K5" s="285"/>
    </row>
    <row r="6" spans="2:31" ht="15.75">
      <c r="B6" s="1"/>
      <c r="C6" s="285"/>
      <c r="D6" s="285"/>
      <c r="E6" s="285"/>
      <c r="F6" s="285"/>
      <c r="G6" s="285"/>
      <c r="H6" s="285"/>
      <c r="I6" s="285"/>
      <c r="K6" s="286"/>
    </row>
    <row r="7" spans="2:31">
      <c r="B7" s="287"/>
      <c r="C7" s="287"/>
      <c r="D7" s="287"/>
      <c r="E7" s="287"/>
      <c r="F7" s="287"/>
      <c r="G7" s="287"/>
      <c r="H7" s="287"/>
      <c r="I7" s="285"/>
      <c r="J7" s="86"/>
      <c r="K7" s="86"/>
      <c r="L7" s="86"/>
      <c r="M7" s="86"/>
      <c r="N7" s="86"/>
      <c r="U7" s="120"/>
      <c r="V7" s="120"/>
      <c r="W7" s="120"/>
      <c r="X7" s="120"/>
      <c r="Y7" s="120"/>
      <c r="Z7" s="120"/>
      <c r="AA7" s="120"/>
      <c r="AB7" s="120"/>
      <c r="AC7" s="120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113</v>
      </c>
      <c r="H8" s="17" t="s">
        <v>114</v>
      </c>
      <c r="I8" s="288" t="s">
        <v>21</v>
      </c>
      <c r="J8" s="288" t="s">
        <v>115</v>
      </c>
      <c r="K8" s="17" t="s">
        <v>52</v>
      </c>
      <c r="L8" s="122" t="s">
        <v>224</v>
      </c>
      <c r="U8" s="120"/>
      <c r="V8" s="120"/>
      <c r="W8" s="120"/>
      <c r="X8" s="120"/>
      <c r="Y8" s="120"/>
      <c r="Z8" s="120"/>
      <c r="AA8" s="120"/>
      <c r="AB8" s="120"/>
      <c r="AC8" s="120"/>
      <c r="AD8" s="86"/>
      <c r="AE8" s="86"/>
    </row>
    <row r="9" spans="2:31" ht="48" customHeight="1">
      <c r="B9" s="289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116</v>
      </c>
      <c r="J9" s="18" t="s">
        <v>31</v>
      </c>
      <c r="K9" s="18" t="s">
        <v>31</v>
      </c>
      <c r="L9" s="125" t="s">
        <v>9</v>
      </c>
      <c r="U9" s="120"/>
      <c r="V9" s="120"/>
      <c r="W9" s="120"/>
      <c r="X9" s="120"/>
      <c r="Y9" s="120"/>
      <c r="Z9" s="383"/>
      <c r="AA9" s="383"/>
      <c r="AB9" s="120"/>
      <c r="AC9" s="120"/>
      <c r="AD9" s="86"/>
      <c r="AE9" s="86"/>
    </row>
    <row r="10" spans="2:31">
      <c r="C10" s="290" t="s">
        <v>1</v>
      </c>
      <c r="D10" s="290" t="s">
        <v>2</v>
      </c>
      <c r="E10" s="290" t="s">
        <v>3</v>
      </c>
      <c r="F10" s="290" t="s">
        <v>4</v>
      </c>
      <c r="G10" s="290" t="s">
        <v>5</v>
      </c>
      <c r="H10" s="290" t="s">
        <v>7</v>
      </c>
      <c r="I10" s="290" t="s">
        <v>22</v>
      </c>
      <c r="J10" s="290" t="s">
        <v>23</v>
      </c>
      <c r="K10" s="290" t="s">
        <v>24</v>
      </c>
      <c r="L10" s="126" t="s">
        <v>24</v>
      </c>
      <c r="U10" s="120"/>
      <c r="V10" s="120"/>
      <c r="W10" s="120"/>
      <c r="X10" s="120"/>
      <c r="Y10" s="120"/>
      <c r="Z10" s="120"/>
      <c r="AA10" s="120"/>
      <c r="AB10" s="120"/>
      <c r="AC10" s="120"/>
      <c r="AD10" s="86"/>
      <c r="AE10" s="86"/>
    </row>
    <row r="11" spans="2:31" ht="6" customHeight="1">
      <c r="L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7"/>
      <c r="J12" s="287"/>
      <c r="K12" s="287"/>
      <c r="L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86"/>
      <c r="AE12" s="86"/>
    </row>
    <row r="13" spans="2:31" ht="18.75" customHeight="1">
      <c r="B13" s="291"/>
      <c r="C13" s="292"/>
      <c r="D13" s="293"/>
      <c r="E13" s="294"/>
      <c r="F13" s="294"/>
      <c r="G13" s="295"/>
      <c r="H13" s="295"/>
      <c r="I13" s="295"/>
      <c r="J13" s="295"/>
      <c r="K13" s="295"/>
      <c r="L13" s="129"/>
      <c r="U13" s="165"/>
      <c r="V13" s="161"/>
      <c r="W13" s="161"/>
      <c r="X13" s="161"/>
      <c r="Y13" s="120"/>
      <c r="Z13" s="161"/>
      <c r="AA13" s="161"/>
      <c r="AB13" s="120"/>
      <c r="AC13" s="120"/>
      <c r="AD13" s="86"/>
      <c r="AE13" s="86"/>
    </row>
    <row r="14" spans="2:31">
      <c r="B14" s="291">
        <v>2016</v>
      </c>
      <c r="C14" s="292"/>
      <c r="D14" s="293"/>
      <c r="E14" s="294"/>
      <c r="F14" s="294"/>
      <c r="G14" s="295"/>
      <c r="H14" s="295"/>
      <c r="I14" s="295"/>
      <c r="J14" s="295"/>
      <c r="K14" s="295"/>
      <c r="L14" s="129"/>
      <c r="U14" s="120"/>
      <c r="V14" s="120"/>
      <c r="W14" s="161"/>
      <c r="X14" s="161"/>
      <c r="Y14" s="120"/>
      <c r="Z14" s="161"/>
      <c r="AA14" s="161"/>
      <c r="AB14" s="120"/>
      <c r="AC14" s="120"/>
      <c r="AD14" s="86"/>
      <c r="AE14" s="86"/>
    </row>
    <row r="15" spans="2:31">
      <c r="B15" s="291">
        <f t="shared" ref="B15:B40" si="0">B14+1</f>
        <v>2017</v>
      </c>
      <c r="C15" s="296"/>
      <c r="D15" s="293"/>
      <c r="E15" s="293"/>
      <c r="F15" s="293"/>
      <c r="G15" s="297"/>
      <c r="H15" s="297"/>
      <c r="I15" s="295"/>
      <c r="J15" s="295"/>
      <c r="K15" s="295"/>
      <c r="L15" s="129">
        <f>(E15+F15+G15)</f>
        <v>0</v>
      </c>
      <c r="M15" s="41"/>
      <c r="U15" s="120"/>
      <c r="V15" s="120"/>
      <c r="W15" s="161"/>
      <c r="X15" s="161"/>
      <c r="Y15" s="120"/>
      <c r="Z15" s="161"/>
      <c r="AA15" s="161"/>
      <c r="AB15" s="120"/>
      <c r="AC15" s="120"/>
      <c r="AD15" s="86"/>
      <c r="AE15" s="86"/>
    </row>
    <row r="16" spans="2:31">
      <c r="B16" s="291">
        <f t="shared" si="0"/>
        <v>2018</v>
      </c>
      <c r="C16" s="292"/>
      <c r="D16" s="293"/>
      <c r="E16" s="129"/>
      <c r="F16" s="294">
        <f>$J$63</f>
        <v>7.76</v>
      </c>
      <c r="G16" s="295"/>
      <c r="H16" s="295"/>
      <c r="I16" s="295"/>
      <c r="J16" s="295"/>
      <c r="K16" s="295"/>
      <c r="L16" s="129">
        <f t="shared" ref="L16:L40" si="1">(E16+F16+G16)</f>
        <v>7.76</v>
      </c>
      <c r="M16" s="41"/>
      <c r="U16" s="165"/>
      <c r="V16" s="161"/>
      <c r="W16" s="161"/>
      <c r="X16" s="384"/>
      <c r="Y16" s="120"/>
      <c r="Z16" s="161"/>
      <c r="AA16" s="161"/>
      <c r="AB16" s="120"/>
      <c r="AC16" s="120"/>
      <c r="AD16" s="86"/>
      <c r="AE16" s="86"/>
    </row>
    <row r="17" spans="2:31">
      <c r="B17" s="291">
        <f t="shared" si="0"/>
        <v>2019</v>
      </c>
      <c r="C17" s="296"/>
      <c r="D17" s="129"/>
      <c r="E17" s="129"/>
      <c r="F17" s="129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95"/>
      <c r="H17" s="295"/>
      <c r="I17" s="295"/>
      <c r="J17" s="295"/>
      <c r="K17" s="295"/>
      <c r="L17" s="129">
        <f t="shared" si="1"/>
        <v>7.9</v>
      </c>
      <c r="M17" s="41"/>
      <c r="U17" s="165"/>
      <c r="V17" s="120"/>
      <c r="W17" s="161"/>
      <c r="X17" s="384"/>
      <c r="Y17" s="120"/>
      <c r="Z17" s="161"/>
      <c r="AA17" s="161"/>
      <c r="AB17" s="120"/>
      <c r="AC17" s="120"/>
      <c r="AD17" s="86"/>
      <c r="AE17" s="86"/>
    </row>
    <row r="18" spans="2:31">
      <c r="B18" s="291">
        <f t="shared" si="0"/>
        <v>2020</v>
      </c>
      <c r="C18" s="296"/>
      <c r="D18" s="129"/>
      <c r="E18" s="129"/>
      <c r="F18" s="129">
        <f t="shared" si="2"/>
        <v>8.0500000000000007</v>
      </c>
      <c r="G18" s="295"/>
      <c r="H18" s="295"/>
      <c r="I18" s="295"/>
      <c r="J18" s="295"/>
      <c r="K18" s="295"/>
      <c r="L18" s="129">
        <f t="shared" si="1"/>
        <v>8.0500000000000007</v>
      </c>
      <c r="M18" s="41"/>
      <c r="U18" s="165"/>
      <c r="V18" s="120"/>
      <c r="W18" s="161"/>
      <c r="X18" s="384"/>
      <c r="Y18" s="120"/>
      <c r="Z18" s="161"/>
      <c r="AA18" s="161"/>
      <c r="AB18" s="120"/>
      <c r="AC18" s="120"/>
      <c r="AD18" s="86"/>
      <c r="AE18" s="86"/>
    </row>
    <row r="19" spans="2:31">
      <c r="B19" s="291">
        <f t="shared" si="0"/>
        <v>2021</v>
      </c>
      <c r="C19" s="296"/>
      <c r="D19" s="129"/>
      <c r="E19" s="129"/>
      <c r="F19" s="129">
        <f t="shared" si="2"/>
        <v>8.2100000000000009</v>
      </c>
      <c r="G19" s="295"/>
      <c r="H19" s="295"/>
      <c r="I19" s="295"/>
      <c r="J19" s="295"/>
      <c r="K19" s="295"/>
      <c r="L19" s="129">
        <f t="shared" si="1"/>
        <v>8.2100000000000009</v>
      </c>
      <c r="M19" s="41"/>
      <c r="U19" s="165"/>
      <c r="V19" s="161"/>
      <c r="W19" s="161"/>
      <c r="X19" s="384"/>
      <c r="Y19" s="161"/>
      <c r="Z19" s="161"/>
      <c r="AA19" s="161"/>
      <c r="AB19" s="120"/>
      <c r="AC19" s="120"/>
      <c r="AD19" s="86"/>
      <c r="AE19" s="86"/>
    </row>
    <row r="20" spans="2:31">
      <c r="B20" s="291">
        <f t="shared" si="0"/>
        <v>2022</v>
      </c>
      <c r="C20" s="296"/>
      <c r="D20" s="129"/>
      <c r="E20" s="129"/>
      <c r="F20" s="129">
        <f t="shared" si="2"/>
        <v>8.42</v>
      </c>
      <c r="G20" s="295"/>
      <c r="H20" s="295"/>
      <c r="I20" s="295"/>
      <c r="J20" s="295"/>
      <c r="K20" s="295"/>
      <c r="L20" s="129">
        <f t="shared" si="1"/>
        <v>8.42</v>
      </c>
      <c r="M20" s="41"/>
      <c r="U20" s="165"/>
      <c r="V20" s="161"/>
      <c r="W20" s="161"/>
      <c r="X20" s="384"/>
      <c r="Y20" s="161"/>
      <c r="Z20" s="161"/>
      <c r="AA20" s="161"/>
      <c r="AB20" s="120"/>
      <c r="AC20" s="120"/>
      <c r="AD20" s="86"/>
      <c r="AE20" s="86"/>
    </row>
    <row r="21" spans="2:31">
      <c r="B21" s="291">
        <f t="shared" si="0"/>
        <v>2023</v>
      </c>
      <c r="C21" s="296"/>
      <c r="D21" s="129"/>
      <c r="E21" s="129"/>
      <c r="F21" s="129">
        <f t="shared" si="2"/>
        <v>8.6300000000000008</v>
      </c>
      <c r="G21" s="295"/>
      <c r="H21" s="295"/>
      <c r="I21" s="295"/>
      <c r="J21" s="295"/>
      <c r="K21" s="295"/>
      <c r="L21" s="129">
        <f t="shared" si="1"/>
        <v>8.6300000000000008</v>
      </c>
      <c r="M21" s="41"/>
      <c r="U21" s="165"/>
      <c r="V21" s="161"/>
      <c r="W21" s="161"/>
      <c r="X21" s="384"/>
      <c r="Y21" s="161"/>
      <c r="Z21" s="161"/>
      <c r="AA21" s="161"/>
      <c r="AB21" s="120"/>
      <c r="AC21" s="120"/>
      <c r="AD21" s="86"/>
      <c r="AE21" s="86"/>
    </row>
    <row r="22" spans="2:31">
      <c r="B22" s="291">
        <f t="shared" si="0"/>
        <v>2024</v>
      </c>
      <c r="C22" s="296"/>
      <c r="D22" s="129"/>
      <c r="E22" s="129"/>
      <c r="F22" s="129">
        <f t="shared" si="2"/>
        <v>8.84</v>
      </c>
      <c r="G22" s="295"/>
      <c r="H22" s="295"/>
      <c r="I22" s="295"/>
      <c r="J22" s="295"/>
      <c r="K22" s="295"/>
      <c r="L22" s="129">
        <f t="shared" si="1"/>
        <v>8.84</v>
      </c>
      <c r="M22" s="41"/>
      <c r="U22" s="165"/>
      <c r="V22" s="161"/>
      <c r="W22" s="161"/>
      <c r="X22" s="384"/>
      <c r="Y22" s="161"/>
      <c r="Z22" s="161"/>
      <c r="AA22" s="161"/>
      <c r="AB22" s="120"/>
      <c r="AC22" s="120"/>
      <c r="AD22" s="86"/>
      <c r="AE22" s="86"/>
    </row>
    <row r="23" spans="2:31">
      <c r="B23" s="291">
        <f t="shared" si="0"/>
        <v>2025</v>
      </c>
      <c r="C23" s="296"/>
      <c r="D23" s="129"/>
      <c r="E23" s="129"/>
      <c r="F23" s="129">
        <f t="shared" si="2"/>
        <v>9.0399999999999991</v>
      </c>
      <c r="G23" s="295"/>
      <c r="H23" s="295"/>
      <c r="I23" s="295"/>
      <c r="J23" s="295"/>
      <c r="K23" s="295"/>
      <c r="L23" s="129">
        <f t="shared" si="1"/>
        <v>9.0399999999999991</v>
      </c>
      <c r="M23" s="41"/>
      <c r="U23" s="165"/>
      <c r="V23" s="161"/>
      <c r="W23" s="161"/>
      <c r="X23" s="384"/>
      <c r="Y23" s="161"/>
      <c r="Z23" s="161"/>
      <c r="AA23" s="161"/>
      <c r="AB23" s="120"/>
      <c r="AC23" s="120"/>
      <c r="AD23" s="86"/>
      <c r="AE23" s="86"/>
    </row>
    <row r="24" spans="2:31">
      <c r="B24" s="291">
        <f t="shared" si="0"/>
        <v>2026</v>
      </c>
      <c r="C24" s="349">
        <v>718.66414277988076</v>
      </c>
      <c r="D24" s="293">
        <f>ROUND(C24*$C$74,2)</f>
        <v>50.01</v>
      </c>
      <c r="E24" s="270">
        <v>38.05330989724176</v>
      </c>
      <c r="F24" s="129">
        <f t="shared" si="2"/>
        <v>9.25</v>
      </c>
      <c r="G24" s="295">
        <f t="shared" ref="G24:G36" si="3">ROUND(F24*(8.76*$G$63)+E24,2)</f>
        <v>64.790000000000006</v>
      </c>
      <c r="H24" s="295">
        <f t="shared" ref="H24:H36" si="4">ROUND(D24+G24,2)</f>
        <v>114.8</v>
      </c>
      <c r="I24" s="295">
        <f>VLOOKUP(B24,'Table 4'!$B$13:$D$43,3,FALSE)</f>
        <v>2.69</v>
      </c>
      <c r="J24" s="295">
        <f t="shared" ref="J24:J36" si="5">ROUND($K$63*I24/1000,2)</f>
        <v>26.32</v>
      </c>
      <c r="K24" s="295">
        <f t="shared" ref="K24:K36" si="6">ROUND(H24*1000/8760/$G$63+J24,2)</f>
        <v>66.03</v>
      </c>
      <c r="L24" s="129">
        <f t="shared" si="1"/>
        <v>112.09330989724177</v>
      </c>
      <c r="M24" s="41"/>
      <c r="U24" s="165"/>
      <c r="V24" s="161"/>
      <c r="W24" s="161"/>
      <c r="X24" s="161"/>
      <c r="Y24" s="161"/>
      <c r="Z24" s="161"/>
      <c r="AA24" s="161"/>
      <c r="AB24" s="120"/>
      <c r="AC24" s="120"/>
      <c r="AD24" s="86"/>
      <c r="AE24" s="86"/>
    </row>
    <row r="25" spans="2:31">
      <c r="B25" s="291">
        <f t="shared" si="0"/>
        <v>2027</v>
      </c>
      <c r="C25" s="296"/>
      <c r="D25" s="129">
        <f t="shared" ref="D25:D36" si="7">ROUND(D24*(1+(IFERROR(INDEX($D$81:$D$89,MATCH($B25,$C$81:$C$89,0),1),0)+IFERROR(INDEX($G$81:$G$89,MATCH($B25,$F$81:$F$89,0),1),0)+IFERROR(INDEX($J$81:$J$89,MATCH($B25,$I$81:$I$89,0),1),0))),2)</f>
        <v>51.16</v>
      </c>
      <c r="E25" s="129">
        <f t="shared" ref="E25:E36" si="8">ROUND(E24*(1+(IFERROR(INDEX($D$81:$D$89,MATCH($B25,$C$81:$C$89,0),1),0)+IFERROR(INDEX($G$81:$G$89,MATCH($B25,$F$81:$F$89,0),1),0)+IFERROR(INDEX($J$81:$J$89,MATCH($B25,$I$81:$I$89,0),1),0))),2)</f>
        <v>38.93</v>
      </c>
      <c r="F25" s="129">
        <f t="shared" si="2"/>
        <v>9.4600000000000009</v>
      </c>
      <c r="G25" s="295">
        <f t="shared" si="3"/>
        <v>66.28</v>
      </c>
      <c r="H25" s="295">
        <f t="shared" si="4"/>
        <v>117.44</v>
      </c>
      <c r="I25" s="295">
        <f>VLOOKUP(B25,'Table 4'!$B$13:$D$43,3,FALSE)</f>
        <v>2.95</v>
      </c>
      <c r="J25" s="295">
        <f t="shared" si="5"/>
        <v>28.87</v>
      </c>
      <c r="K25" s="295">
        <f t="shared" si="6"/>
        <v>69.5</v>
      </c>
      <c r="L25" s="129">
        <f t="shared" si="1"/>
        <v>114.67</v>
      </c>
      <c r="M25" s="41"/>
      <c r="P25" s="353"/>
      <c r="U25" s="385"/>
      <c r="V25" s="161"/>
      <c r="W25" s="161"/>
      <c r="X25" s="161"/>
      <c r="Y25" s="161"/>
      <c r="Z25" s="161"/>
      <c r="AA25" s="161"/>
      <c r="AB25" s="120"/>
      <c r="AC25" s="120"/>
      <c r="AD25" s="86"/>
      <c r="AE25" s="86"/>
    </row>
    <row r="26" spans="2:31">
      <c r="B26" s="291">
        <f t="shared" si="0"/>
        <v>2028</v>
      </c>
      <c r="C26" s="296"/>
      <c r="D26" s="129">
        <f t="shared" si="7"/>
        <v>52.34</v>
      </c>
      <c r="E26" s="129">
        <f t="shared" si="8"/>
        <v>39.83</v>
      </c>
      <c r="F26" s="129">
        <f t="shared" si="2"/>
        <v>9.68</v>
      </c>
      <c r="G26" s="295">
        <f t="shared" si="3"/>
        <v>67.81</v>
      </c>
      <c r="H26" s="295">
        <f t="shared" si="4"/>
        <v>120.15</v>
      </c>
      <c r="I26" s="295">
        <f>VLOOKUP(B26,'Table 4'!$B$13:$D$43,3,FALSE)</f>
        <v>3.21</v>
      </c>
      <c r="J26" s="295">
        <f t="shared" si="5"/>
        <v>31.41</v>
      </c>
      <c r="K26" s="295">
        <f t="shared" si="6"/>
        <v>72.97</v>
      </c>
      <c r="L26" s="129">
        <f t="shared" si="1"/>
        <v>117.32</v>
      </c>
      <c r="M26" s="41"/>
      <c r="U26" s="165"/>
      <c r="V26" s="161"/>
      <c r="W26" s="161"/>
      <c r="X26" s="161"/>
      <c r="Y26" s="161"/>
      <c r="Z26" s="161"/>
      <c r="AA26" s="161"/>
      <c r="AB26" s="120"/>
      <c r="AC26" s="120"/>
      <c r="AD26" s="86"/>
      <c r="AE26" s="86"/>
    </row>
    <row r="27" spans="2:31">
      <c r="B27" s="291">
        <f t="shared" si="0"/>
        <v>2029</v>
      </c>
      <c r="C27" s="296"/>
      <c r="D27" s="129">
        <f t="shared" si="7"/>
        <v>53.54</v>
      </c>
      <c r="E27" s="129">
        <f t="shared" si="8"/>
        <v>40.75</v>
      </c>
      <c r="F27" s="129">
        <f t="shared" si="2"/>
        <v>9.9</v>
      </c>
      <c r="G27" s="295">
        <f t="shared" si="3"/>
        <v>69.37</v>
      </c>
      <c r="H27" s="295">
        <f t="shared" si="4"/>
        <v>122.91</v>
      </c>
      <c r="I27" s="295">
        <f>VLOOKUP(B27,'Table 4'!$B$13:$D$43,3,FALSE)</f>
        <v>3.44</v>
      </c>
      <c r="J27" s="295">
        <f t="shared" si="5"/>
        <v>33.659999999999997</v>
      </c>
      <c r="K27" s="295">
        <f t="shared" si="6"/>
        <v>76.180000000000007</v>
      </c>
      <c r="L27" s="129">
        <f t="shared" si="1"/>
        <v>120.02000000000001</v>
      </c>
      <c r="M27" s="41"/>
      <c r="U27" s="165"/>
      <c r="V27" s="161"/>
      <c r="W27" s="161"/>
      <c r="X27" s="161"/>
      <c r="Y27" s="161"/>
      <c r="Z27" s="161"/>
      <c r="AA27" s="161"/>
      <c r="AB27" s="120"/>
      <c r="AC27" s="120"/>
      <c r="AD27" s="86"/>
      <c r="AE27" s="86"/>
    </row>
    <row r="28" spans="2:31" s="300" customFormat="1">
      <c r="B28" s="298">
        <f t="shared" si="0"/>
        <v>2030</v>
      </c>
      <c r="C28" s="299"/>
      <c r="D28" s="129">
        <f t="shared" si="7"/>
        <v>54.72</v>
      </c>
      <c r="E28" s="129">
        <f t="shared" si="8"/>
        <v>41.65</v>
      </c>
      <c r="F28" s="129">
        <f t="shared" si="2"/>
        <v>10.119999999999999</v>
      </c>
      <c r="G28" s="295">
        <f t="shared" si="3"/>
        <v>70.900000000000006</v>
      </c>
      <c r="H28" s="295">
        <f t="shared" si="4"/>
        <v>125.62</v>
      </c>
      <c r="I28" s="295">
        <f>VLOOKUP(B28,'Table 4'!$B$13:$D$43,3,FALSE)</f>
        <v>3.68</v>
      </c>
      <c r="J28" s="295">
        <f t="shared" si="5"/>
        <v>36.01</v>
      </c>
      <c r="K28" s="295">
        <f t="shared" si="6"/>
        <v>79.47</v>
      </c>
      <c r="L28" s="129">
        <f t="shared" si="1"/>
        <v>122.67</v>
      </c>
      <c r="M28" s="50"/>
      <c r="N28" s="85"/>
      <c r="O28" s="85"/>
      <c r="U28" s="165"/>
      <c r="V28" s="161"/>
      <c r="W28" s="161"/>
      <c r="X28" s="161"/>
      <c r="Y28" s="161"/>
      <c r="Z28" s="161"/>
      <c r="AA28" s="161"/>
      <c r="AB28" s="120"/>
      <c r="AC28" s="120"/>
      <c r="AD28" s="386"/>
      <c r="AE28" s="386"/>
    </row>
    <row r="29" spans="2:31" s="300" customFormat="1">
      <c r="B29" s="298">
        <f t="shared" si="0"/>
        <v>2031</v>
      </c>
      <c r="C29" s="299"/>
      <c r="D29" s="129">
        <f t="shared" si="7"/>
        <v>55.92</v>
      </c>
      <c r="E29" s="129">
        <f t="shared" si="8"/>
        <v>42.57</v>
      </c>
      <c r="F29" s="129">
        <f t="shared" si="2"/>
        <v>10.34</v>
      </c>
      <c r="G29" s="295">
        <f t="shared" si="3"/>
        <v>72.459999999999994</v>
      </c>
      <c r="H29" s="295">
        <f t="shared" si="4"/>
        <v>128.38</v>
      </c>
      <c r="I29" s="295">
        <f>VLOOKUP(B29,'Table 4'!$B$13:$D$43,3,FALSE)</f>
        <v>3.86</v>
      </c>
      <c r="J29" s="295">
        <f t="shared" si="5"/>
        <v>37.770000000000003</v>
      </c>
      <c r="K29" s="295">
        <f t="shared" si="6"/>
        <v>82.18</v>
      </c>
      <c r="L29" s="129">
        <f t="shared" si="1"/>
        <v>125.36999999999999</v>
      </c>
      <c r="M29" s="50"/>
      <c r="N29" s="85"/>
      <c r="O29" s="85"/>
      <c r="U29" s="165"/>
      <c r="V29" s="161"/>
      <c r="W29" s="161"/>
      <c r="X29" s="161"/>
      <c r="Y29" s="161"/>
      <c r="Z29" s="161"/>
      <c r="AA29" s="161"/>
      <c r="AB29" s="120"/>
      <c r="AC29" s="120"/>
      <c r="AD29" s="386"/>
      <c r="AE29" s="386"/>
    </row>
    <row r="30" spans="2:31" s="300" customFormat="1">
      <c r="B30" s="298">
        <f t="shared" si="0"/>
        <v>2032</v>
      </c>
      <c r="C30" s="299"/>
      <c r="D30" s="129">
        <f t="shared" si="7"/>
        <v>57.15</v>
      </c>
      <c r="E30" s="129">
        <f t="shared" si="8"/>
        <v>43.51</v>
      </c>
      <c r="F30" s="129">
        <f t="shared" si="2"/>
        <v>10.57</v>
      </c>
      <c r="G30" s="295">
        <f t="shared" si="3"/>
        <v>74.069999999999993</v>
      </c>
      <c r="H30" s="295">
        <f t="shared" si="4"/>
        <v>131.22</v>
      </c>
      <c r="I30" s="295">
        <f>VLOOKUP(B30,'Table 4'!$B$13:$D$43,3,FALSE)</f>
        <v>4.05</v>
      </c>
      <c r="J30" s="295">
        <f t="shared" si="5"/>
        <v>39.630000000000003</v>
      </c>
      <c r="K30" s="295">
        <f t="shared" si="6"/>
        <v>85.02</v>
      </c>
      <c r="L30" s="129">
        <f t="shared" si="1"/>
        <v>128.14999999999998</v>
      </c>
      <c r="M30" s="50"/>
      <c r="N30" s="85"/>
      <c r="O30" s="85"/>
      <c r="U30" s="165"/>
      <c r="V30" s="161"/>
      <c r="W30" s="161"/>
      <c r="X30" s="161"/>
      <c r="Y30" s="161"/>
      <c r="Z30" s="161"/>
      <c r="AA30" s="161"/>
      <c r="AB30" s="120"/>
      <c r="AC30" s="120"/>
      <c r="AD30" s="386"/>
      <c r="AE30" s="386"/>
    </row>
    <row r="31" spans="2:31" s="300" customFormat="1">
      <c r="B31" s="298">
        <f t="shared" si="0"/>
        <v>2033</v>
      </c>
      <c r="C31" s="299"/>
      <c r="D31" s="129">
        <f t="shared" si="7"/>
        <v>58.35</v>
      </c>
      <c r="E31" s="129">
        <f t="shared" si="8"/>
        <v>44.42</v>
      </c>
      <c r="F31" s="129">
        <f t="shared" si="2"/>
        <v>10.79</v>
      </c>
      <c r="G31" s="295">
        <f t="shared" si="3"/>
        <v>75.61</v>
      </c>
      <c r="H31" s="295">
        <f t="shared" si="4"/>
        <v>133.96</v>
      </c>
      <c r="I31" s="295">
        <f>VLOOKUP(B31,'Table 4'!$B$13:$D$43,3,FALSE)</f>
        <v>4.2300000000000004</v>
      </c>
      <c r="J31" s="295">
        <f t="shared" si="5"/>
        <v>41.39</v>
      </c>
      <c r="K31" s="295">
        <f t="shared" si="6"/>
        <v>87.73</v>
      </c>
      <c r="L31" s="129">
        <f t="shared" si="1"/>
        <v>130.82</v>
      </c>
      <c r="M31" s="50"/>
      <c r="N31" s="85"/>
      <c r="O31" s="85"/>
      <c r="U31" s="165"/>
      <c r="V31" s="161"/>
      <c r="W31" s="161"/>
      <c r="X31" s="161"/>
      <c r="Y31" s="161"/>
      <c r="Z31" s="161"/>
      <c r="AA31" s="161"/>
      <c r="AB31" s="120"/>
      <c r="AC31" s="120"/>
      <c r="AD31" s="386"/>
      <c r="AE31" s="386"/>
    </row>
    <row r="32" spans="2:31" s="300" customFormat="1">
      <c r="B32" s="298">
        <f t="shared" si="0"/>
        <v>2034</v>
      </c>
      <c r="C32" s="299"/>
      <c r="D32" s="129">
        <f t="shared" si="7"/>
        <v>59.58</v>
      </c>
      <c r="E32" s="129">
        <f t="shared" si="8"/>
        <v>45.35</v>
      </c>
      <c r="F32" s="129">
        <f t="shared" si="2"/>
        <v>11.02</v>
      </c>
      <c r="G32" s="295">
        <f t="shared" si="3"/>
        <v>77.209999999999994</v>
      </c>
      <c r="H32" s="295">
        <f t="shared" si="4"/>
        <v>136.79</v>
      </c>
      <c r="I32" s="295">
        <f>VLOOKUP(B32,'Table 4'!$B$13:$D$43,3,FALSE)</f>
        <v>4.4400000000000004</v>
      </c>
      <c r="J32" s="295">
        <f t="shared" si="5"/>
        <v>43.45</v>
      </c>
      <c r="K32" s="295">
        <f t="shared" si="6"/>
        <v>90.77</v>
      </c>
      <c r="L32" s="129">
        <f t="shared" si="1"/>
        <v>133.57999999999998</v>
      </c>
      <c r="M32" s="50"/>
      <c r="N32" s="85"/>
      <c r="O32" s="85"/>
      <c r="U32" s="165"/>
      <c r="V32" s="161"/>
      <c r="W32" s="161"/>
      <c r="X32" s="161"/>
      <c r="Y32" s="161"/>
      <c r="Z32" s="161"/>
      <c r="AA32" s="161"/>
      <c r="AB32" s="120"/>
      <c r="AC32" s="120"/>
      <c r="AD32" s="386"/>
      <c r="AE32" s="386"/>
    </row>
    <row r="33" spans="2:31">
      <c r="B33" s="291">
        <f t="shared" si="0"/>
        <v>2035</v>
      </c>
      <c r="C33" s="296"/>
      <c r="D33" s="129">
        <f t="shared" si="7"/>
        <v>60.83</v>
      </c>
      <c r="E33" s="129">
        <f t="shared" si="8"/>
        <v>46.3</v>
      </c>
      <c r="F33" s="129">
        <f t="shared" si="2"/>
        <v>11.25</v>
      </c>
      <c r="G33" s="295">
        <f t="shared" si="3"/>
        <v>78.819999999999993</v>
      </c>
      <c r="H33" s="295">
        <f t="shared" si="4"/>
        <v>139.65</v>
      </c>
      <c r="I33" s="295">
        <f>VLOOKUP(B33,'Table 4'!$B$13:$D$43,3,FALSE)</f>
        <v>4.67</v>
      </c>
      <c r="J33" s="295">
        <f t="shared" si="5"/>
        <v>45.7</v>
      </c>
      <c r="K33" s="295">
        <f t="shared" si="6"/>
        <v>94.01</v>
      </c>
      <c r="L33" s="129">
        <f t="shared" si="1"/>
        <v>136.37</v>
      </c>
      <c r="M33" s="50"/>
      <c r="U33" s="165"/>
      <c r="V33" s="161"/>
      <c r="W33" s="161"/>
      <c r="X33" s="161"/>
      <c r="Y33" s="161"/>
      <c r="Z33" s="161"/>
      <c r="AA33" s="161"/>
      <c r="AB33" s="120"/>
      <c r="AC33" s="120"/>
      <c r="AD33" s="86"/>
      <c r="AE33" s="86"/>
    </row>
    <row r="34" spans="2:31">
      <c r="B34" s="291">
        <f t="shared" si="0"/>
        <v>2036</v>
      </c>
      <c r="C34" s="296"/>
      <c r="D34" s="129">
        <f t="shared" si="7"/>
        <v>62.11</v>
      </c>
      <c r="E34" s="129">
        <f t="shared" si="8"/>
        <v>47.27</v>
      </c>
      <c r="F34" s="129">
        <f t="shared" si="2"/>
        <v>11.49</v>
      </c>
      <c r="G34" s="295">
        <f t="shared" si="3"/>
        <v>80.489999999999995</v>
      </c>
      <c r="H34" s="295">
        <f t="shared" si="4"/>
        <v>142.6</v>
      </c>
      <c r="I34" s="295">
        <f>VLOOKUP(B34,'Table 4'!$B$13:$D$43,3,FALSE)</f>
        <v>4.8600000000000003</v>
      </c>
      <c r="J34" s="295">
        <f t="shared" si="5"/>
        <v>47.56</v>
      </c>
      <c r="K34" s="295">
        <f t="shared" si="6"/>
        <v>96.89</v>
      </c>
      <c r="L34" s="129">
        <f t="shared" si="1"/>
        <v>139.25</v>
      </c>
      <c r="M34" s="50"/>
      <c r="U34" s="86"/>
      <c r="V34" s="86"/>
      <c r="W34" s="86"/>
      <c r="X34" s="86"/>
      <c r="Y34" s="86"/>
      <c r="Z34" s="86"/>
      <c r="AA34" s="86"/>
      <c r="AB34" s="120"/>
      <c r="AC34" s="120"/>
      <c r="AD34" s="86"/>
      <c r="AE34" s="86"/>
    </row>
    <row r="35" spans="2:31">
      <c r="B35" s="291">
        <f t="shared" si="0"/>
        <v>2037</v>
      </c>
      <c r="C35" s="296"/>
      <c r="D35" s="129">
        <f t="shared" si="7"/>
        <v>63.41</v>
      </c>
      <c r="E35" s="129">
        <f t="shared" si="8"/>
        <v>48.26</v>
      </c>
      <c r="F35" s="129">
        <f t="shared" si="2"/>
        <v>11.73</v>
      </c>
      <c r="G35" s="295">
        <f t="shared" si="3"/>
        <v>82.17</v>
      </c>
      <c r="H35" s="295">
        <f t="shared" si="4"/>
        <v>145.58000000000001</v>
      </c>
      <c r="I35" s="295">
        <f>VLOOKUP(B35,'Table 4'!$B$13:$D$43,3,FALSE)</f>
        <v>5.19</v>
      </c>
      <c r="J35" s="295">
        <f t="shared" si="5"/>
        <v>50.79</v>
      </c>
      <c r="K35" s="295">
        <f t="shared" si="6"/>
        <v>101.15</v>
      </c>
      <c r="L35" s="129">
        <f t="shared" si="1"/>
        <v>142.16</v>
      </c>
      <c r="M35" s="50"/>
      <c r="U35" s="86"/>
      <c r="V35" s="86"/>
      <c r="W35" s="86"/>
      <c r="X35" s="86"/>
      <c r="Y35" s="86"/>
      <c r="Z35" s="86"/>
      <c r="AA35" s="86"/>
      <c r="AB35" s="120"/>
      <c r="AC35" s="120"/>
      <c r="AD35" s="86"/>
      <c r="AE35" s="86"/>
    </row>
    <row r="36" spans="2:31">
      <c r="B36" s="291">
        <f t="shared" si="0"/>
        <v>2038</v>
      </c>
      <c r="C36" s="296"/>
      <c r="D36" s="129">
        <f t="shared" si="7"/>
        <v>64.739999999999995</v>
      </c>
      <c r="E36" s="129">
        <f t="shared" si="8"/>
        <v>49.27</v>
      </c>
      <c r="F36" s="129">
        <f t="shared" si="2"/>
        <v>11.98</v>
      </c>
      <c r="G36" s="295">
        <f t="shared" si="3"/>
        <v>83.9</v>
      </c>
      <c r="H36" s="295">
        <f t="shared" si="4"/>
        <v>148.63999999999999</v>
      </c>
      <c r="I36" s="295">
        <f>VLOOKUP(B36,'Table 4'!$B$13:$D$43,3,FALSE)</f>
        <v>5.49</v>
      </c>
      <c r="J36" s="295">
        <f t="shared" si="5"/>
        <v>53.73</v>
      </c>
      <c r="K36" s="295">
        <f t="shared" si="6"/>
        <v>105.15</v>
      </c>
      <c r="L36" s="129">
        <f t="shared" si="1"/>
        <v>145.15</v>
      </c>
      <c r="M36" s="50"/>
      <c r="U36" s="86"/>
      <c r="V36" s="86"/>
      <c r="W36" s="86"/>
      <c r="X36" s="86"/>
      <c r="Y36" s="86"/>
      <c r="Z36" s="86"/>
      <c r="AA36" s="86"/>
      <c r="AB36" s="120"/>
      <c r="AC36" s="120"/>
      <c r="AD36" s="86"/>
      <c r="AE36" s="86"/>
    </row>
    <row r="37" spans="2:31">
      <c r="B37" s="291">
        <f t="shared" si="0"/>
        <v>2039</v>
      </c>
      <c r="C37" s="296"/>
      <c r="D37" s="129">
        <f t="shared" ref="D37:D40" si="9">ROUND(D36*(1+(IFERROR(INDEX($D$81:$D$89,MATCH($B37,$C$81:$C$89,0),1),0)+IFERROR(INDEX($G$81:$G$89,MATCH($B37,$F$81:$F$89,0),1),0)+IFERROR(INDEX($J$81:$J$89,MATCH($B37,$I$81:$I$89,0),1),0))),2)</f>
        <v>66.099999999999994</v>
      </c>
      <c r="E37" s="129">
        <f t="shared" ref="E37:E40" si="10">ROUND(E36*(1+(IFERROR(INDEX($D$81:$D$89,MATCH($B37,$C$81:$C$89,0),1),0)+IFERROR(INDEX($G$81:$G$89,MATCH($B37,$F$81:$F$89,0),1),0)+IFERROR(INDEX($J$81:$J$89,MATCH($B37,$I$81:$I$89,0),1),0))),2)</f>
        <v>50.3</v>
      </c>
      <c r="F37" s="129">
        <f t="shared" ref="F37:F40" si="11">ROUND(F36*(1+(IFERROR(INDEX($D$81:$D$89,MATCH($B37,$C$81:$C$89,0),1),0)+IFERROR(INDEX($G$81:$G$89,MATCH($B37,$F$81:$F$89,0),1),0)+IFERROR(INDEX($J$81:$J$89,MATCH($B37,$I$81:$I$89,0),1),0))),2)</f>
        <v>12.23</v>
      </c>
      <c r="G37" s="295">
        <f t="shared" ref="G37:G40" si="12">ROUND(F37*(8.76*$G$63)+E37,2)</f>
        <v>85.65</v>
      </c>
      <c r="H37" s="295">
        <f t="shared" ref="H37:H40" si="13">ROUND(D37+G37,2)</f>
        <v>151.75</v>
      </c>
      <c r="I37" s="295">
        <f>VLOOKUP(B37,'Table 4'!$B$13:$D$43,3,FALSE)</f>
        <v>5.83</v>
      </c>
      <c r="J37" s="295">
        <f t="shared" ref="J37:J40" si="14">ROUND($K$63*I37/1000,2)</f>
        <v>57.05</v>
      </c>
      <c r="K37" s="295">
        <f t="shared" ref="K37:K40" si="15">ROUND(H37*1000/8760/$G$63+J37,2)</f>
        <v>109.54</v>
      </c>
      <c r="L37" s="129">
        <f t="shared" si="1"/>
        <v>148.18</v>
      </c>
      <c r="U37" s="86"/>
      <c r="V37" s="86"/>
      <c r="W37" s="86"/>
      <c r="X37" s="86"/>
      <c r="Y37" s="86"/>
      <c r="Z37" s="86"/>
      <c r="AA37" s="86"/>
      <c r="AB37" s="120"/>
      <c r="AC37" s="120"/>
      <c r="AD37" s="86"/>
      <c r="AE37" s="86"/>
    </row>
    <row r="38" spans="2:31">
      <c r="B38" s="291">
        <f t="shared" si="0"/>
        <v>2040</v>
      </c>
      <c r="C38" s="296"/>
      <c r="D38" s="129">
        <f t="shared" si="9"/>
        <v>67.489999999999995</v>
      </c>
      <c r="E38" s="129">
        <f t="shared" si="10"/>
        <v>51.36</v>
      </c>
      <c r="F38" s="129">
        <f t="shared" si="11"/>
        <v>12.49</v>
      </c>
      <c r="G38" s="295">
        <f t="shared" si="12"/>
        <v>87.47</v>
      </c>
      <c r="H38" s="295">
        <f t="shared" si="13"/>
        <v>154.96</v>
      </c>
      <c r="I38" s="295">
        <f>VLOOKUP(B38,'Table 4'!$B$13:$D$43,3,FALSE)</f>
        <v>5.96</v>
      </c>
      <c r="J38" s="295">
        <f t="shared" si="14"/>
        <v>58.32</v>
      </c>
      <c r="K38" s="295">
        <f t="shared" si="15"/>
        <v>111.92</v>
      </c>
      <c r="L38" s="129">
        <f t="shared" si="1"/>
        <v>151.32</v>
      </c>
      <c r="U38" s="86"/>
      <c r="V38" s="86"/>
      <c r="W38" s="86"/>
      <c r="X38" s="86"/>
      <c r="Y38" s="86"/>
      <c r="Z38" s="86"/>
      <c r="AA38" s="86"/>
      <c r="AB38" s="120"/>
      <c r="AC38" s="120"/>
      <c r="AD38" s="86"/>
      <c r="AE38" s="86"/>
    </row>
    <row r="39" spans="2:31">
      <c r="B39" s="291">
        <f t="shared" si="0"/>
        <v>2041</v>
      </c>
      <c r="C39" s="296"/>
      <c r="D39" s="129">
        <f t="shared" si="9"/>
        <v>68.91</v>
      </c>
      <c r="E39" s="129">
        <f t="shared" si="10"/>
        <v>52.44</v>
      </c>
      <c r="F39" s="129">
        <f t="shared" si="11"/>
        <v>12.75</v>
      </c>
      <c r="G39" s="295">
        <f t="shared" si="12"/>
        <v>89.3</v>
      </c>
      <c r="H39" s="295">
        <f t="shared" si="13"/>
        <v>158.21</v>
      </c>
      <c r="I39" s="129">
        <f t="shared" ref="I39:I40" si="16">ROUND(I38*(1+(IFERROR(INDEX($D$81:$D$89,MATCH($B39,$C$81:$C$89,0),1),0)+IFERROR(INDEX($G$81:$G$89,MATCH($B39,$F$81:$F$89,0),1),0)+IFERROR(INDEX($J$81:$J$89,MATCH($B39,$I$81:$I$89,0),1),0))),2)</f>
        <v>6.09</v>
      </c>
      <c r="J39" s="295">
        <f t="shared" si="14"/>
        <v>59.6</v>
      </c>
      <c r="K39" s="295">
        <f t="shared" si="15"/>
        <v>114.33</v>
      </c>
      <c r="L39" s="129">
        <f t="shared" si="1"/>
        <v>154.49</v>
      </c>
      <c r="U39" s="86"/>
      <c r="V39" s="86"/>
      <c r="W39" s="86"/>
      <c r="X39" s="86"/>
      <c r="Y39" s="86"/>
      <c r="Z39" s="86"/>
      <c r="AA39" s="86"/>
      <c r="AB39" s="120"/>
      <c r="AC39" s="120"/>
      <c r="AD39" s="86"/>
      <c r="AE39" s="86"/>
    </row>
    <row r="40" spans="2:31">
      <c r="B40" s="291">
        <f t="shared" si="0"/>
        <v>2042</v>
      </c>
      <c r="C40" s="296"/>
      <c r="D40" s="129">
        <f t="shared" si="9"/>
        <v>70.36</v>
      </c>
      <c r="E40" s="129">
        <f t="shared" si="10"/>
        <v>53.54</v>
      </c>
      <c r="F40" s="129">
        <f t="shared" si="11"/>
        <v>13.02</v>
      </c>
      <c r="G40" s="295">
        <f t="shared" si="12"/>
        <v>91.18</v>
      </c>
      <c r="H40" s="295">
        <f t="shared" si="13"/>
        <v>161.54</v>
      </c>
      <c r="I40" s="129">
        <f t="shared" si="16"/>
        <v>6.22</v>
      </c>
      <c r="J40" s="295">
        <f t="shared" si="14"/>
        <v>60.87</v>
      </c>
      <c r="K40" s="295">
        <f t="shared" si="15"/>
        <v>116.75</v>
      </c>
      <c r="L40" s="129">
        <f t="shared" si="1"/>
        <v>157.74</v>
      </c>
      <c r="U40" s="86"/>
      <c r="V40" s="86"/>
      <c r="W40" s="86"/>
      <c r="X40" s="86"/>
      <c r="Y40" s="86"/>
      <c r="Z40" s="86"/>
      <c r="AA40" s="86"/>
      <c r="AB40" s="120"/>
      <c r="AC40" s="120"/>
      <c r="AD40" s="86"/>
      <c r="AE40" s="86"/>
    </row>
    <row r="41" spans="2:31">
      <c r="M41" s="291"/>
      <c r="O41" s="301"/>
      <c r="U41" s="86"/>
      <c r="V41" s="86"/>
      <c r="W41" s="86"/>
      <c r="X41" s="86"/>
      <c r="Y41" s="86"/>
      <c r="Z41" s="86"/>
      <c r="AA41" s="86"/>
      <c r="AB41" s="120"/>
      <c r="AC41" s="120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91"/>
      <c r="N42" s="301"/>
      <c r="O42" s="301"/>
      <c r="U42" s="86"/>
      <c r="V42" s="86"/>
      <c r="W42" s="86"/>
      <c r="X42" s="86"/>
      <c r="Y42" s="86"/>
      <c r="Z42" s="86"/>
      <c r="AA42" s="86"/>
      <c r="AB42" s="120"/>
      <c r="AC42" s="120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20"/>
      <c r="AC43" s="120"/>
      <c r="AD43" s="86"/>
      <c r="AE43" s="86"/>
    </row>
    <row r="44" spans="2:31">
      <c r="B44" s="85" t="s">
        <v>117</v>
      </c>
      <c r="D44" s="302" t="s">
        <v>139</v>
      </c>
      <c r="U44" s="86"/>
      <c r="V44" s="86"/>
      <c r="W44" s="86"/>
      <c r="X44" s="86"/>
      <c r="Y44" s="86"/>
      <c r="Z44" s="86"/>
      <c r="AA44" s="86"/>
      <c r="AB44" s="120"/>
      <c r="AC44" s="120"/>
      <c r="AD44" s="86"/>
      <c r="AE44" s="86"/>
    </row>
    <row r="45" spans="2:31">
      <c r="C45" s="303" t="str">
        <f>D10</f>
        <v>(b)</v>
      </c>
      <c r="D45" s="295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20"/>
      <c r="AC45" s="120"/>
      <c r="AD45" s="86"/>
      <c r="AE45" s="86"/>
    </row>
    <row r="46" spans="2:31">
      <c r="C46" s="303" t="str">
        <f>G10</f>
        <v>(e)</v>
      </c>
      <c r="D46" s="295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20"/>
      <c r="AC46" s="120"/>
      <c r="AD46" s="86"/>
      <c r="AE46" s="86"/>
    </row>
    <row r="47" spans="2:31">
      <c r="C47" s="303" t="str">
        <f>H10</f>
        <v>(f)</v>
      </c>
      <c r="D47" s="295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20"/>
      <c r="AC47" s="120"/>
      <c r="AD47" s="86"/>
      <c r="AE47" s="86"/>
    </row>
    <row r="48" spans="2:31">
      <c r="C48" s="303" t="str">
        <f>I10</f>
        <v>(g)</v>
      </c>
      <c r="D48" s="304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20"/>
      <c r="AC48" s="120"/>
      <c r="AD48" s="86"/>
      <c r="AE48" s="86"/>
    </row>
    <row r="49" spans="3:31">
      <c r="C49" s="303" t="str">
        <f>J10</f>
        <v>(h)</v>
      </c>
      <c r="D49" s="295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20"/>
      <c r="AC49" s="120"/>
      <c r="AD49" s="86"/>
      <c r="AE49" s="86"/>
    </row>
    <row r="50" spans="3:31">
      <c r="C50" s="303" t="str">
        <f>K10</f>
        <v>(i)</v>
      </c>
      <c r="D50" s="295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20"/>
      <c r="AC50" s="120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20"/>
      <c r="AC51" s="120"/>
      <c r="AD51" s="86"/>
      <c r="AE51" s="86"/>
    </row>
    <row r="52" spans="3:31" ht="13.5" thickBot="1">
      <c r="C52" s="42" t="s">
        <v>143</v>
      </c>
      <c r="D52" s="305"/>
      <c r="E52" s="305"/>
      <c r="F52" s="305"/>
      <c r="G52" s="305"/>
      <c r="H52" s="305"/>
      <c r="I52" s="305"/>
      <c r="J52" s="306"/>
      <c r="K52" s="307"/>
    </row>
    <row r="53" spans="3:31" ht="5.25" customHeight="1"/>
    <row r="54" spans="3:31" ht="5.25" customHeight="1"/>
    <row r="55" spans="3:31">
      <c r="C55" s="308" t="s">
        <v>118</v>
      </c>
      <c r="D55" s="309"/>
      <c r="E55" s="308"/>
      <c r="F55" s="310" t="s">
        <v>32</v>
      </c>
      <c r="G55" s="310" t="s">
        <v>119</v>
      </c>
      <c r="H55" s="310" t="s">
        <v>120</v>
      </c>
      <c r="I55" s="310" t="s">
        <v>33</v>
      </c>
    </row>
    <row r="56" spans="3:31">
      <c r="C56" s="300" t="s">
        <v>121</v>
      </c>
      <c r="F56" s="311">
        <f>C67</f>
        <v>185</v>
      </c>
      <c r="G56" s="41">
        <f>F56/F58</f>
        <v>1</v>
      </c>
      <c r="H56" s="312">
        <f>C68</f>
        <v>745.12812495389073</v>
      </c>
      <c r="I56" s="313">
        <f>C71</f>
        <v>31.908814304665992</v>
      </c>
      <c r="P56" s="118"/>
      <c r="Q56" s="118" t="s">
        <v>103</v>
      </c>
      <c r="R56" s="276">
        <v>2026</v>
      </c>
      <c r="S56" s="118"/>
      <c r="T56" s="118"/>
      <c r="U56" s="118"/>
    </row>
    <row r="57" spans="3:31">
      <c r="C57" s="300"/>
      <c r="F57" s="314">
        <f>D67</f>
        <v>0</v>
      </c>
      <c r="G57" s="315">
        <f>1-G56</f>
        <v>0</v>
      </c>
      <c r="H57" s="316">
        <f>D68</f>
        <v>0</v>
      </c>
      <c r="I57" s="317">
        <f>D71</f>
        <v>0</v>
      </c>
      <c r="P57" s="352">
        <v>184.90000000000006</v>
      </c>
      <c r="Q57" s="118" t="s">
        <v>32</v>
      </c>
      <c r="R57" s="276" t="s">
        <v>151</v>
      </c>
      <c r="S57" s="276"/>
      <c r="T57" s="118"/>
      <c r="U57" s="276" t="str">
        <f>$R$57&amp;"Proposed Station Capital Costs"</f>
        <v>I_NTN_SC_FRMProposed Station Capital Costs</v>
      </c>
    </row>
    <row r="58" spans="3:31">
      <c r="C58" s="300" t="s">
        <v>122</v>
      </c>
      <c r="F58" s="311">
        <f>F56+F57</f>
        <v>185</v>
      </c>
      <c r="G58" s="41">
        <f>G56+G57</f>
        <v>1</v>
      </c>
      <c r="H58" s="312">
        <f>ROUND(((F56*H56)+(F57*H57))/F58,0)</f>
        <v>745</v>
      </c>
      <c r="I58" s="313">
        <f>ROUND(((F56*I56)+(F57*I57))/F58,2)</f>
        <v>31.91</v>
      </c>
      <c r="P58" s="352"/>
      <c r="Q58" s="118" t="s">
        <v>32</v>
      </c>
      <c r="R58" s="276"/>
      <c r="S58" s="120"/>
      <c r="T58" s="118"/>
      <c r="U58" s="276" t="str">
        <f>$R$57&amp;"Proposed Station Fixed Costs"</f>
        <v>I_NTN_SC_FRMProposed Station Fixed Costs</v>
      </c>
    </row>
    <row r="59" spans="3:31">
      <c r="C59" s="300"/>
      <c r="F59" s="311"/>
      <c r="G59" s="41"/>
      <c r="H59" s="318"/>
      <c r="I59" s="319"/>
      <c r="P59" s="118"/>
      <c r="Q59" s="118"/>
      <c r="R59" s="348" t="str">
        <f>R57&amp;R56</f>
        <v>I_NTN_SC_FRM2026</v>
      </c>
      <c r="S59" s="118"/>
      <c r="T59" s="118"/>
      <c r="U59" s="276" t="str">
        <f>$R$57&amp;"Proposed Station Variable O&amp;M Costs"</f>
        <v>I_NTN_SC_FRMProposed Station Variable O&amp;M Costs</v>
      </c>
    </row>
    <row r="60" spans="3:31">
      <c r="C60" s="320" t="s">
        <v>118</v>
      </c>
      <c r="D60" s="309"/>
      <c r="E60" s="308"/>
      <c r="F60" s="310" t="s">
        <v>32</v>
      </c>
      <c r="G60" s="310" t="s">
        <v>34</v>
      </c>
      <c r="H60" s="310" t="s">
        <v>123</v>
      </c>
      <c r="I60" s="310" t="s">
        <v>119</v>
      </c>
      <c r="J60" s="310" t="s">
        <v>124</v>
      </c>
      <c r="K60" s="310" t="s">
        <v>125</v>
      </c>
    </row>
    <row r="61" spans="3:31">
      <c r="C61" s="321" t="str">
        <f>C56</f>
        <v>SCCT Dry "F" - Turbine</v>
      </c>
      <c r="D61" s="322"/>
      <c r="E61" s="322"/>
      <c r="F61" s="85">
        <f>C67</f>
        <v>185</v>
      </c>
      <c r="G61" s="41">
        <f>C75</f>
        <v>0.33</v>
      </c>
      <c r="H61" s="323">
        <f>G61*F61</f>
        <v>61.050000000000004</v>
      </c>
      <c r="I61" s="41">
        <f>H61/H63</f>
        <v>1</v>
      </c>
      <c r="J61" s="319">
        <f>C72</f>
        <v>7.7612665227267676</v>
      </c>
      <c r="K61" s="324">
        <f>C73</f>
        <v>9786.4587359536672</v>
      </c>
    </row>
    <row r="62" spans="3:31">
      <c r="C62" s="321">
        <f>C57</f>
        <v>0</v>
      </c>
      <c r="D62" s="322"/>
      <c r="E62" s="322"/>
      <c r="F62" s="325">
        <f>D67</f>
        <v>0</v>
      </c>
      <c r="G62" s="315">
        <f>D75</f>
        <v>0</v>
      </c>
      <c r="H62" s="326">
        <f>G62*F62</f>
        <v>0</v>
      </c>
      <c r="I62" s="315">
        <f>1-I61</f>
        <v>0</v>
      </c>
      <c r="J62" s="327">
        <f>D72</f>
        <v>0</v>
      </c>
      <c r="K62" s="328">
        <f>D73</f>
        <v>0</v>
      </c>
    </row>
    <row r="63" spans="3:31">
      <c r="C63" s="300" t="s">
        <v>126</v>
      </c>
      <c r="F63" s="85">
        <f>F61+F62</f>
        <v>185</v>
      </c>
      <c r="G63" s="329">
        <f>ROUND(H63/F63,3)</f>
        <v>0.33</v>
      </c>
      <c r="H63" s="323">
        <f>SUM(H61:H62)</f>
        <v>61.050000000000004</v>
      </c>
      <c r="I63" s="41">
        <f>I61+I62</f>
        <v>1</v>
      </c>
      <c r="J63" s="319">
        <f>ROUND(($I61*J61)+($I62*J62),2)</f>
        <v>7.76</v>
      </c>
      <c r="K63" s="330">
        <f>ROUND(($I61*K61)+($I62*K62),0)</f>
        <v>9786</v>
      </c>
    </row>
    <row r="64" spans="3:31">
      <c r="G64" s="329"/>
      <c r="I64" s="41"/>
      <c r="J64" s="319"/>
      <c r="K64" s="331" t="s">
        <v>127</v>
      </c>
    </row>
    <row r="66" spans="2:29">
      <c r="C66" s="310" t="s">
        <v>128</v>
      </c>
      <c r="D66" s="310" t="s">
        <v>129</v>
      </c>
      <c r="E66" s="332" t="str">
        <f>D44</f>
        <v xml:space="preserve">Plant Costs  - 2019 IRP - Table 6.1 &amp; 6.2 </v>
      </c>
      <c r="F66" s="333"/>
      <c r="G66" s="333"/>
      <c r="H66" s="333"/>
      <c r="I66" s="333"/>
      <c r="J66" s="333"/>
      <c r="K66" s="334"/>
    </row>
    <row r="67" spans="2:29">
      <c r="C67" s="342">
        <v>185</v>
      </c>
      <c r="E67" s="85" t="s">
        <v>130</v>
      </c>
      <c r="H67" s="335"/>
    </row>
    <row r="68" spans="2:29">
      <c r="B68" s="85" t="s">
        <v>101</v>
      </c>
      <c r="C68" s="341">
        <v>745.12812495389073</v>
      </c>
      <c r="D68" s="318"/>
      <c r="E68" s="85" t="s">
        <v>131</v>
      </c>
      <c r="M68" s="340"/>
    </row>
    <row r="69" spans="2:29">
      <c r="B69" s="85" t="s">
        <v>101</v>
      </c>
      <c r="C69" s="344">
        <v>17.005460468665991</v>
      </c>
      <c r="D69" s="319"/>
      <c r="E69" s="85" t="s">
        <v>132</v>
      </c>
    </row>
    <row r="70" spans="2:29">
      <c r="B70" s="85" t="s">
        <v>101</v>
      </c>
      <c r="C70" s="345">
        <v>14.903353836000001</v>
      </c>
      <c r="D70" s="336"/>
      <c r="E70" s="85" t="s">
        <v>133</v>
      </c>
    </row>
    <row r="71" spans="2:29">
      <c r="B71" s="85" t="s">
        <v>101</v>
      </c>
      <c r="C71" s="319">
        <f>C69+C70</f>
        <v>31.908814304665992</v>
      </c>
      <c r="D71" s="319"/>
      <c r="E71" s="85" t="s">
        <v>134</v>
      </c>
    </row>
    <row r="72" spans="2:29">
      <c r="B72" s="85" t="s">
        <v>101</v>
      </c>
      <c r="C72" s="344">
        <v>7.7612665227267676</v>
      </c>
      <c r="D72" s="319"/>
      <c r="E72" s="85" t="s">
        <v>135</v>
      </c>
    </row>
    <row r="73" spans="2:29">
      <c r="C73" s="347">
        <v>9786.4587359536672</v>
      </c>
      <c r="D73" s="330"/>
      <c r="E73" s="85" t="s">
        <v>136</v>
      </c>
    </row>
    <row r="74" spans="2:29">
      <c r="C74" s="343">
        <v>6.9588491515316389E-2</v>
      </c>
      <c r="D74" s="337"/>
      <c r="E74" s="85" t="s">
        <v>36</v>
      </c>
      <c r="AB74" s="120"/>
      <c r="AC74" s="120"/>
    </row>
    <row r="75" spans="2:29">
      <c r="C75" s="346">
        <v>0.33</v>
      </c>
      <c r="D75" s="338"/>
      <c r="E75" s="85" t="s">
        <v>37</v>
      </c>
      <c r="AB75" s="120"/>
      <c r="AC75" s="120"/>
    </row>
    <row r="76" spans="2:29">
      <c r="D76" s="41">
        <f>ROUND(H63/F63,3)</f>
        <v>0.33</v>
      </c>
      <c r="E76" s="85" t="s">
        <v>137</v>
      </c>
      <c r="AB76" s="120"/>
      <c r="AC76" s="120"/>
    </row>
    <row r="77" spans="2:29">
      <c r="D77" s="329"/>
      <c r="E77" s="50"/>
      <c r="AB77" s="120"/>
      <c r="AC77" s="120"/>
    </row>
    <row r="78" spans="2:29">
      <c r="B78"/>
      <c r="C78"/>
      <c r="D78"/>
      <c r="E78"/>
      <c r="F78"/>
      <c r="AB78" s="120"/>
      <c r="AC78" s="120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March 31, 2020</v>
      </c>
      <c r="D80" s="143"/>
      <c r="E80" s="143"/>
      <c r="F80" s="143"/>
      <c r="G80" s="143"/>
      <c r="H80" s="143"/>
      <c r="I80" s="143"/>
      <c r="J80" s="143"/>
      <c r="K80" s="143"/>
      <c r="L80" s="145"/>
    </row>
    <row r="81" spans="3:29">
      <c r="C81" s="87">
        <v>2017</v>
      </c>
      <c r="D81" s="41">
        <v>0.02</v>
      </c>
      <c r="F81" s="87">
        <f>C89+1</f>
        <v>2026</v>
      </c>
      <c r="G81" s="41">
        <v>2.3E-2</v>
      </c>
      <c r="H81" s="41"/>
      <c r="I81" s="87">
        <f>F89+1</f>
        <v>2035</v>
      </c>
      <c r="J81" s="41">
        <v>2.1000000000000001E-2</v>
      </c>
      <c r="K81" s="118"/>
      <c r="L81" s="118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2.3E-2</v>
      </c>
      <c r="H82" s="41"/>
      <c r="I82" s="87">
        <f>I81+1</f>
        <v>2036</v>
      </c>
      <c r="J82" s="41">
        <v>2.1000000000000001E-2</v>
      </c>
      <c r="K82" s="118"/>
      <c r="L82" s="118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2.3E-2</v>
      </c>
      <c r="H83" s="41"/>
      <c r="I83" s="87">
        <f t="shared" ref="I83:I89" si="19">I82+1</f>
        <v>2037</v>
      </c>
      <c r="J83" s="41">
        <v>2.1000000000000001E-2</v>
      </c>
      <c r="K83" s="118"/>
      <c r="L83" s="118"/>
    </row>
    <row r="84" spans="3:29">
      <c r="C84" s="87">
        <f t="shared" si="17"/>
        <v>2020</v>
      </c>
      <c r="D84" s="41">
        <v>1.9E-2</v>
      </c>
      <c r="F84" s="87">
        <f t="shared" si="18"/>
        <v>2029</v>
      </c>
      <c r="G84" s="41">
        <v>2.3E-2</v>
      </c>
      <c r="H84" s="41"/>
      <c r="I84" s="87">
        <f t="shared" si="19"/>
        <v>2038</v>
      </c>
      <c r="J84" s="41">
        <v>2.1000000000000001E-2</v>
      </c>
      <c r="K84" s="118"/>
      <c r="L84" s="118"/>
    </row>
    <row r="85" spans="3:29">
      <c r="C85" s="87">
        <f t="shared" si="17"/>
        <v>2021</v>
      </c>
      <c r="D85" s="41">
        <v>0.02</v>
      </c>
      <c r="F85" s="87">
        <f t="shared" si="18"/>
        <v>2030</v>
      </c>
      <c r="G85" s="41">
        <v>2.1999999999999999E-2</v>
      </c>
      <c r="H85" s="41"/>
      <c r="I85" s="87">
        <f t="shared" si="19"/>
        <v>2039</v>
      </c>
      <c r="J85" s="41">
        <v>2.1000000000000001E-2</v>
      </c>
      <c r="K85" s="118"/>
      <c r="L85" s="118"/>
    </row>
    <row r="86" spans="3:29">
      <c r="C86" s="87">
        <f t="shared" si="17"/>
        <v>2022</v>
      </c>
      <c r="D86" s="41">
        <v>2.5000000000000001E-2</v>
      </c>
      <c r="F86" s="87">
        <f t="shared" si="18"/>
        <v>2031</v>
      </c>
      <c r="G86" s="41">
        <v>2.1999999999999999E-2</v>
      </c>
      <c r="H86" s="41"/>
      <c r="I86" s="87">
        <f t="shared" si="19"/>
        <v>2040</v>
      </c>
      <c r="J86" s="41">
        <v>2.1000000000000001E-2</v>
      </c>
      <c r="K86" s="118"/>
      <c r="L86" s="118"/>
    </row>
    <row r="87" spans="3:29" s="86" customFormat="1">
      <c r="C87" s="87">
        <f t="shared" si="17"/>
        <v>2023</v>
      </c>
      <c r="D87" s="41">
        <v>2.5000000000000001E-2</v>
      </c>
      <c r="F87" s="87">
        <f t="shared" si="18"/>
        <v>2032</v>
      </c>
      <c r="G87" s="41">
        <v>2.1999999999999999E-2</v>
      </c>
      <c r="H87" s="41"/>
      <c r="I87" s="87">
        <f t="shared" si="19"/>
        <v>2041</v>
      </c>
      <c r="J87" s="41">
        <v>2.1000000000000001E-2</v>
      </c>
      <c r="K87" s="120"/>
      <c r="L87" s="120"/>
      <c r="N87" s="85"/>
      <c r="O87" s="85"/>
      <c r="AB87" s="118"/>
      <c r="AC87" s="118"/>
    </row>
    <row r="88" spans="3:29" s="86" customFormat="1">
      <c r="C88" s="87">
        <f t="shared" si="17"/>
        <v>2024</v>
      </c>
      <c r="D88" s="41">
        <v>2.4E-2</v>
      </c>
      <c r="F88" s="87">
        <f t="shared" si="18"/>
        <v>2033</v>
      </c>
      <c r="G88" s="41">
        <v>2.1000000000000001E-2</v>
      </c>
      <c r="H88" s="41"/>
      <c r="I88" s="87">
        <f t="shared" si="19"/>
        <v>2042</v>
      </c>
      <c r="J88" s="41">
        <v>2.1000000000000001E-2</v>
      </c>
      <c r="K88" s="120"/>
      <c r="L88" s="120"/>
      <c r="N88" s="85"/>
      <c r="O88" s="85"/>
      <c r="AB88" s="118"/>
      <c r="AC88" s="118"/>
    </row>
    <row r="89" spans="3:29" s="86" customFormat="1">
      <c r="C89" s="87">
        <f t="shared" si="17"/>
        <v>2025</v>
      </c>
      <c r="D89" s="41">
        <v>2.3E-2</v>
      </c>
      <c r="F89" s="87">
        <f t="shared" si="18"/>
        <v>2034</v>
      </c>
      <c r="G89" s="41">
        <v>2.1000000000000001E-2</v>
      </c>
      <c r="H89" s="41"/>
      <c r="I89" s="87">
        <f t="shared" si="19"/>
        <v>2043</v>
      </c>
      <c r="J89" s="41">
        <v>2.1000000000000001E-2</v>
      </c>
      <c r="K89" s="120"/>
      <c r="L89" s="120"/>
      <c r="N89" s="85"/>
      <c r="O89" s="85"/>
      <c r="AB89" s="118"/>
      <c r="AC89" s="118"/>
    </row>
    <row r="90" spans="3:29" s="86" customFormat="1">
      <c r="N90" s="85"/>
      <c r="O90" s="85"/>
      <c r="AB90" s="118"/>
      <c r="AC90" s="118"/>
    </row>
    <row r="91" spans="3:29" s="86" customFormat="1">
      <c r="N91" s="85"/>
      <c r="O91" s="85"/>
      <c r="AB91" s="118"/>
      <c r="AC91" s="118"/>
    </row>
    <row r="92" spans="3:29">
      <c r="D92" s="339"/>
    </row>
    <row r="93" spans="3:29">
      <c r="D93" s="339"/>
    </row>
  </sheetData>
  <printOptions horizontalCentered="1"/>
  <pageMargins left="0.25" right="0.25" top="0.75" bottom="0.75" header="0.3" footer="0.3"/>
  <pageSetup scale="94" fitToHeight="0" orientation="portrait" r:id="rId1"/>
  <headerFooter alignWithMargins="0"/>
  <rowBreaks count="1" manualBreakCount="1">
    <brk id="50" max="10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bestFit="1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3.1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/>
    <col min="16" max="16" width="10" style="118" customWidth="1"/>
    <col min="17" max="17" width="25.1640625" style="118" customWidth="1"/>
    <col min="18" max="18" width="18.1640625" style="118" customWidth="1"/>
    <col min="19" max="19" width="9.33203125" style="118"/>
    <col min="20" max="20" width="16.6640625" style="118" customWidth="1"/>
    <col min="21" max="21" width="11.83203125" style="118" customWidth="1"/>
    <col min="22" max="22" width="9.6640625" style="118" bestFit="1" customWidth="1"/>
    <col min="23" max="16384" width="9.33203125" style="118"/>
  </cols>
  <sheetData>
    <row r="1" spans="2:27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27" ht="15.75">
      <c r="B2" s="116" t="s">
        <v>156</v>
      </c>
      <c r="C2" s="117"/>
      <c r="D2" s="117"/>
      <c r="E2" s="117"/>
      <c r="F2" s="117"/>
      <c r="G2" s="117"/>
      <c r="H2" s="117"/>
      <c r="I2" s="117"/>
      <c r="J2" s="117"/>
    </row>
    <row r="3" spans="2:27" ht="15.75">
      <c r="B3" s="116" t="str">
        <f>TEXT($C$63,"0%")&amp;" Capacity Factor"</f>
        <v>37% Capacity Factor</v>
      </c>
      <c r="C3" s="117"/>
      <c r="D3" s="117"/>
      <c r="E3" s="117"/>
      <c r="F3" s="117"/>
      <c r="G3" s="117"/>
      <c r="H3" s="117"/>
      <c r="I3" s="117"/>
      <c r="J3" s="117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2:27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2:27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R5" s="277"/>
      <c r="S5" s="120"/>
      <c r="T5" s="120"/>
      <c r="U5" s="120"/>
      <c r="V5" s="120"/>
      <c r="W5" s="120"/>
      <c r="X5" s="120"/>
      <c r="Y5" s="383"/>
      <c r="Z5" s="120"/>
      <c r="AA5" s="120"/>
    </row>
    <row r="6" spans="2:27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R6" s="278"/>
      <c r="S6" s="120"/>
      <c r="T6" s="120"/>
      <c r="U6" s="120"/>
      <c r="V6" s="120"/>
      <c r="W6" s="120"/>
      <c r="X6" s="120"/>
      <c r="Y6" s="120"/>
      <c r="Z6" s="120"/>
      <c r="AA6" s="120"/>
    </row>
    <row r="7" spans="2:27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2:27" ht="6" customHeight="1">
      <c r="K8" s="120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2:27" ht="15.75">
      <c r="B9" s="43" t="str">
        <f>C52</f>
        <v>2019 IRP Yakima Wind with Storage Resource - 37%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2:27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  <c r="S10" s="120"/>
      <c r="T10" s="120"/>
      <c r="U10" s="120"/>
      <c r="V10" s="120"/>
      <c r="W10" s="120"/>
      <c r="X10" s="120"/>
      <c r="Y10" s="120"/>
      <c r="Z10" s="120"/>
      <c r="AA10" s="120"/>
    </row>
    <row r="11" spans="2:27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2:27">
      <c r="B12" s="136">
        <f t="shared" si="0"/>
        <v>2018</v>
      </c>
      <c r="C12" s="137"/>
      <c r="D12" s="129"/>
      <c r="E12" s="149"/>
      <c r="F12" s="149"/>
      <c r="G12" s="131"/>
      <c r="H12" s="149">
        <f>$C$58</f>
        <v>10</v>
      </c>
      <c r="I12" s="131"/>
      <c r="J12" s="131"/>
      <c r="K12" s="129">
        <f>(D12+E12+F12)</f>
        <v>0</v>
      </c>
      <c r="L12" s="120"/>
      <c r="N12" s="118"/>
      <c r="R12" s="389"/>
      <c r="S12" s="120"/>
      <c r="T12" s="165"/>
      <c r="U12" s="161"/>
      <c r="V12" s="161"/>
      <c r="W12" s="161"/>
      <c r="X12" s="161"/>
      <c r="Y12" s="161"/>
      <c r="Z12" s="120"/>
      <c r="AA12" s="120"/>
    </row>
    <row r="13" spans="2:27">
      <c r="B13" s="136">
        <f t="shared" si="0"/>
        <v>2019</v>
      </c>
      <c r="C13" s="137"/>
      <c r="D13" s="129"/>
      <c r="E13" s="149"/>
      <c r="F13" s="149"/>
      <c r="G13" s="131"/>
      <c r="H13" s="129">
        <f>ROUND(H12*(1+(IFERROR(INDEX($D$66:$D$74,MATCH($B13,$C$66:$C$74,0),1),0)+IFERROR(INDEX($G$66:$G$74,MATCH($B13,$F$66:$F$74,0),1),0)+IFERROR(INDEX(#REF!,MATCH($B13,$I$66:$I$74,0),1),0))),2)</f>
        <v>10.18</v>
      </c>
      <c r="I13" s="131"/>
      <c r="J13" s="131"/>
      <c r="K13" s="129">
        <f t="shared" ref="K13:K37" si="1">(D13+E13+F13)</f>
        <v>0</v>
      </c>
      <c r="L13" s="120"/>
      <c r="N13" s="118"/>
      <c r="R13" s="120"/>
      <c r="S13" s="120"/>
      <c r="T13" s="120"/>
      <c r="U13" s="120"/>
      <c r="V13" s="161"/>
      <c r="W13" s="161"/>
      <c r="X13" s="161"/>
      <c r="Y13" s="161"/>
      <c r="Z13" s="120"/>
      <c r="AA13" s="120"/>
    </row>
    <row r="14" spans="2:27">
      <c r="B14" s="136">
        <f t="shared" si="0"/>
        <v>2020</v>
      </c>
      <c r="C14" s="137"/>
      <c r="D14" s="129"/>
      <c r="E14" s="129"/>
      <c r="F14" s="129"/>
      <c r="G14" s="131"/>
      <c r="H14" s="129">
        <f>ROUND(H13*(1+(IFERROR(INDEX($D$66:$D$74,MATCH($B14,$C$66:$C$74,0),1),0)+IFERROR(INDEX($G$66:$G$74,MATCH($B14,$F$66:$F$74,0),1),0)+IFERROR(INDEX(#REF!,MATCH($B14,$I$66:$I$74,0),1),0))),2)</f>
        <v>10.37</v>
      </c>
      <c r="I14" s="131"/>
      <c r="J14" s="131"/>
      <c r="K14" s="129">
        <f t="shared" si="1"/>
        <v>0</v>
      </c>
      <c r="L14" s="120"/>
      <c r="N14" s="118"/>
      <c r="O14" s="133"/>
      <c r="P14" s="134"/>
      <c r="Q14" s="135"/>
      <c r="R14" s="120"/>
      <c r="S14" s="120"/>
      <c r="T14" s="120"/>
      <c r="U14" s="120"/>
      <c r="V14" s="161"/>
      <c r="W14" s="161"/>
      <c r="X14" s="161"/>
      <c r="Y14" s="161"/>
      <c r="Z14" s="120"/>
      <c r="AA14" s="120"/>
    </row>
    <row r="15" spans="2:27">
      <c r="B15" s="136">
        <f t="shared" si="0"/>
        <v>2021</v>
      </c>
      <c r="C15" s="137"/>
      <c r="D15" s="129"/>
      <c r="E15" s="129"/>
      <c r="F15" s="129"/>
      <c r="G15" s="131"/>
      <c r="H15" s="129">
        <f>ROUND(H14*(1+(IFERROR(INDEX($D$66:$D$74,MATCH($B15,$C$66:$C$74,0),1),0)+IFERROR(INDEX($G$66:$G$74,MATCH($B15,$F$66:$F$74,0),1),0)+IFERROR(INDEX(#REF!,MATCH($B15,$I$66:$I$74,0),1),0))),2)</f>
        <v>10.58</v>
      </c>
      <c r="I15" s="131"/>
      <c r="J15" s="131"/>
      <c r="K15" s="129">
        <f t="shared" si="1"/>
        <v>0</v>
      </c>
      <c r="L15" s="120"/>
      <c r="N15" s="118"/>
      <c r="O15" s="273"/>
      <c r="P15" s="134"/>
      <c r="Q15" s="135"/>
      <c r="R15" s="120"/>
      <c r="S15" s="120"/>
      <c r="T15" s="120"/>
      <c r="U15" s="120"/>
      <c r="V15" s="161"/>
      <c r="W15" s="161"/>
      <c r="X15" s="161"/>
      <c r="Y15" s="161"/>
      <c r="Z15" s="120"/>
      <c r="AA15" s="120"/>
    </row>
    <row r="16" spans="2:27">
      <c r="B16" s="136">
        <f t="shared" si="0"/>
        <v>2022</v>
      </c>
      <c r="C16" s="137"/>
      <c r="D16" s="129"/>
      <c r="E16" s="129"/>
      <c r="F16" s="129"/>
      <c r="G16" s="131"/>
      <c r="H16" s="129">
        <f>ROUND(H15*(1+(IFERROR(INDEX($D$66:$D$74,MATCH($B16,$C$66:$C$74,0),1),0)+IFERROR(INDEX($G$66:$G$74,MATCH($B16,$F$66:$F$74,0),1),0)+IFERROR(INDEX(#REF!,MATCH($B16,$I$66:$I$74,0),1),0))),2)</f>
        <v>10.84</v>
      </c>
      <c r="I16" s="131"/>
      <c r="J16" s="131"/>
      <c r="K16" s="129">
        <f t="shared" si="1"/>
        <v>0</v>
      </c>
      <c r="L16" s="120"/>
      <c r="N16" s="118"/>
      <c r="R16" s="120"/>
      <c r="S16" s="120"/>
      <c r="T16" s="120"/>
      <c r="U16" s="120"/>
      <c r="V16" s="161"/>
      <c r="W16" s="161"/>
      <c r="X16" s="161"/>
      <c r="Y16" s="161"/>
      <c r="Z16" s="120"/>
      <c r="AA16" s="120"/>
    </row>
    <row r="17" spans="2:27">
      <c r="B17" s="136">
        <f t="shared" si="0"/>
        <v>2023</v>
      </c>
      <c r="C17" s="137"/>
      <c r="D17" s="129"/>
      <c r="E17" s="129"/>
      <c r="F17" s="129"/>
      <c r="G17" s="131"/>
      <c r="H17" s="129">
        <f>ROUND(H16*(1+(IFERROR(INDEX($D$66:$D$74,MATCH($B17,$C$66:$C$74,0),1),0)+IFERROR(INDEX($G$66:$G$74,MATCH($B17,$F$66:$F$74,0),1),0)+IFERROR(INDEX(#REF!,MATCH($B17,$I$66:$I$74,0),1),0))),2)</f>
        <v>11.11</v>
      </c>
      <c r="I17" s="131"/>
      <c r="J17" s="131"/>
      <c r="K17" s="129">
        <f t="shared" si="1"/>
        <v>0</v>
      </c>
      <c r="L17" s="120"/>
      <c r="N17" s="118"/>
      <c r="O17" s="133"/>
      <c r="R17" s="120"/>
      <c r="S17" s="120"/>
      <c r="T17" s="120"/>
      <c r="U17" s="120"/>
      <c r="V17" s="161"/>
      <c r="W17" s="161"/>
      <c r="X17" s="161"/>
      <c r="Y17" s="161"/>
      <c r="Z17" s="120"/>
      <c r="AA17" s="120"/>
    </row>
    <row r="18" spans="2:27">
      <c r="B18" s="136">
        <f t="shared" si="0"/>
        <v>2024</v>
      </c>
      <c r="C18" s="137"/>
      <c r="D18" s="129"/>
      <c r="E18" s="149"/>
      <c r="F18" s="149"/>
      <c r="G18" s="131"/>
      <c r="H18" s="129">
        <f>ROUND(H17*(1+(IFERROR(INDEX($D$66:$D$74,MATCH($B18,$C$66:$C$74,0),1),0)+IFERROR(INDEX($G$66:$G$74,MATCH($B18,$F$66:$F$74,0),1),0)+IFERROR(INDEX(#REF!,MATCH($B18,$I$66:$I$74,0),1),0))),2)</f>
        <v>11.38</v>
      </c>
      <c r="I18" s="131"/>
      <c r="J18" s="131"/>
      <c r="K18" s="129">
        <f t="shared" si="1"/>
        <v>0</v>
      </c>
      <c r="L18" s="120"/>
      <c r="N18" s="118"/>
      <c r="R18" s="120"/>
      <c r="S18" s="120"/>
      <c r="T18" s="165"/>
      <c r="U18" s="161"/>
      <c r="V18" s="161"/>
      <c r="W18" s="161"/>
      <c r="X18" s="161"/>
      <c r="Y18" s="161"/>
      <c r="Z18" s="120"/>
      <c r="AA18" s="120"/>
    </row>
    <row r="19" spans="2:27">
      <c r="B19" s="136">
        <f t="shared" si="0"/>
        <v>2025</v>
      </c>
      <c r="C19" s="137"/>
      <c r="D19" s="129"/>
      <c r="E19" s="149"/>
      <c r="F19" s="149"/>
      <c r="G19" s="131"/>
      <c r="H19" s="129">
        <f>ROUND(H18*(1+(IFERROR(INDEX($D$66:$D$74,MATCH($B19,$C$66:$C$74,0),1),0)+IFERROR(INDEX($G$66:$G$74,MATCH($B19,$F$66:$F$74,0),1),0)+IFERROR(INDEX(#REF!,MATCH($B19,$I$66:$I$74,0),1),0))),2)</f>
        <v>11.64</v>
      </c>
      <c r="I19" s="131"/>
      <c r="J19" s="131"/>
      <c r="K19" s="129">
        <f t="shared" si="1"/>
        <v>0</v>
      </c>
      <c r="L19" s="120"/>
      <c r="N19" s="118"/>
      <c r="R19" s="120"/>
      <c r="S19" s="120"/>
      <c r="T19" s="165"/>
      <c r="U19" s="161"/>
      <c r="V19" s="161"/>
      <c r="W19" s="161"/>
      <c r="X19" s="161"/>
      <c r="Y19" s="161"/>
      <c r="Z19" s="120"/>
      <c r="AA19" s="120"/>
    </row>
    <row r="20" spans="2:27">
      <c r="B20" s="136">
        <f t="shared" si="0"/>
        <v>2026</v>
      </c>
      <c r="C20" s="137"/>
      <c r="D20" s="129"/>
      <c r="E20" s="149"/>
      <c r="F20" s="149"/>
      <c r="G20" s="131"/>
      <c r="H20" s="129">
        <f>ROUND(H19*(1+(IFERROR(INDEX($D$66:$D$74,MATCH($B20,$C$66:$C$74,0),1),0)+IFERROR(INDEX($G$66:$G$74,MATCH($B20,$F$66:$F$74,0),1),0)+IFERROR(INDEX(#REF!,MATCH($B20,$I$66:$I$74,0),1),0))),2)</f>
        <v>11.91</v>
      </c>
      <c r="I20" s="131"/>
      <c r="J20" s="131"/>
      <c r="K20" s="129">
        <f t="shared" si="1"/>
        <v>0</v>
      </c>
      <c r="L20" s="120"/>
      <c r="N20" s="118"/>
      <c r="R20" s="161"/>
      <c r="S20" s="120"/>
      <c r="T20" s="165"/>
      <c r="U20" s="161"/>
      <c r="V20" s="161"/>
      <c r="W20" s="161"/>
      <c r="X20" s="161"/>
      <c r="Y20" s="161"/>
      <c r="Z20" s="120"/>
      <c r="AA20" s="120"/>
    </row>
    <row r="21" spans="2:27">
      <c r="B21" s="136">
        <f t="shared" si="0"/>
        <v>2027</v>
      </c>
      <c r="C21" s="137"/>
      <c r="D21" s="129"/>
      <c r="E21" s="149"/>
      <c r="F21" s="149"/>
      <c r="G21" s="131"/>
      <c r="H21" s="129">
        <f>ROUND(H20*(1+(IFERROR(INDEX($D$66:$D$74,MATCH($B21,$C$66:$C$74,0),1),0)+IFERROR(INDEX($G$66:$G$74,MATCH($B21,$F$66:$F$74,0),1),0)+IFERROR(INDEX(#REF!,MATCH($B21,$I$66:$I$74,0),1),0))),2)</f>
        <v>12.18</v>
      </c>
      <c r="I21" s="131"/>
      <c r="J21" s="131"/>
      <c r="K21" s="129">
        <f t="shared" si="1"/>
        <v>0</v>
      </c>
      <c r="L21" s="120"/>
      <c r="N21" s="118"/>
      <c r="R21" s="161"/>
      <c r="S21" s="120"/>
      <c r="T21" s="165"/>
      <c r="U21" s="161"/>
      <c r="V21" s="161"/>
      <c r="W21" s="161"/>
      <c r="X21" s="161"/>
      <c r="Y21" s="161"/>
      <c r="Z21" s="120"/>
      <c r="AA21" s="120"/>
    </row>
    <row r="22" spans="2:27">
      <c r="B22" s="136">
        <f t="shared" si="0"/>
        <v>2028</v>
      </c>
      <c r="C22" s="137"/>
      <c r="D22" s="129"/>
      <c r="E22" s="149"/>
      <c r="F22" s="149"/>
      <c r="G22" s="131"/>
      <c r="H22" s="129">
        <f>ROUND(H21*(1+(IFERROR(INDEX($D$66:$D$74,MATCH($B22,$C$66:$C$74,0),1),0)+IFERROR(INDEX($G$66:$G$74,MATCH($B22,$F$66:$F$74,0),1),0)+IFERROR(INDEX(#REF!,MATCH($B22,$I$66:$I$74,0),1),0))),2)</f>
        <v>12.46</v>
      </c>
      <c r="I22" s="131"/>
      <c r="J22" s="131"/>
      <c r="K22" s="129">
        <f t="shared" si="1"/>
        <v>0</v>
      </c>
      <c r="L22" s="120"/>
      <c r="N22" s="118"/>
      <c r="R22" s="161"/>
      <c r="S22" s="120"/>
      <c r="T22" s="165"/>
      <c r="U22" s="161"/>
      <c r="V22" s="161"/>
      <c r="W22" s="161"/>
      <c r="X22" s="161"/>
      <c r="Y22" s="161"/>
      <c r="Z22" s="120"/>
      <c r="AA22" s="120"/>
    </row>
    <row r="23" spans="2:27">
      <c r="B23" s="136">
        <f t="shared" si="0"/>
        <v>2029</v>
      </c>
      <c r="C23" s="349">
        <v>1709.591836734694</v>
      </c>
      <c r="D23" s="129">
        <f>C23*$C$62</f>
        <v>117.94474081632653</v>
      </c>
      <c r="E23" s="270">
        <v>25</v>
      </c>
      <c r="F23" s="129">
        <f>INDEX('Table 3 PV wS YK_2024'!$F$10:$F$38,MATCH(B23,'Table 3 PV wS YK_2024'!$B$10:$B$38,0),1)</f>
        <v>0.44</v>
      </c>
      <c r="G23" s="131">
        <f>(D23+E23+F23)/(8.76*$C$63)</f>
        <v>44.118924791790221</v>
      </c>
      <c r="H23" s="129">
        <f>ROUND(H22*(1+(IFERROR(INDEX($D$66:$D$74,MATCH($B23,$C$66:$C$74,0),1),0)+IFERROR(INDEX($G$66:$G$74,MATCH($B23,$F$66:$F$74,0),1),0)+IFERROR(INDEX(#REF!,MATCH($B23,$I$66:$I$74,0),1),0))),2)</f>
        <v>12.75</v>
      </c>
      <c r="I23" s="131">
        <f>(G23+H23)</f>
        <v>56.868924791790221</v>
      </c>
      <c r="J23" s="131">
        <f t="shared" ref="J23" si="2">ROUND(I23*$C$63*8.76,2)</f>
        <v>184.82</v>
      </c>
      <c r="K23" s="129">
        <f t="shared" si="1"/>
        <v>143.38474081632654</v>
      </c>
      <c r="L23" s="120"/>
      <c r="N23" s="118"/>
      <c r="P23" s="199"/>
      <c r="R23" s="161"/>
      <c r="S23" s="120"/>
      <c r="T23" s="165"/>
      <c r="U23" s="161"/>
      <c r="V23" s="161"/>
      <c r="W23" s="161"/>
      <c r="X23" s="161"/>
      <c r="Y23" s="161"/>
      <c r="Z23" s="120"/>
      <c r="AA23" s="120"/>
    </row>
    <row r="24" spans="2:27">
      <c r="B24" s="136">
        <f t="shared" si="0"/>
        <v>2030</v>
      </c>
      <c r="C24" s="137"/>
      <c r="D24" s="129">
        <f t="shared" ref="D24:E37" si="3">ROUND(D23*(1+(IFERROR(INDEX($D$66:$D$74,MATCH($B24,$C$66:$C$74,0),1),0)+IFERROR(INDEX($G$66:$G$74,MATCH($B24,$F$66:$F$74,0),1),0)+IFERROR(INDEX($J$66:$J$74,MATCH($B24,$I$66:$I$74,0),1),0))),2)</f>
        <v>120.54</v>
      </c>
      <c r="E24" s="270">
        <v>25.510204081632654</v>
      </c>
      <c r="F24" s="129">
        <f>INDEX('Table 3 PV wS YK_2024'!$F$10:$F$38,MATCH(B24,'Table 3 PV wS YK_2024'!$B$10:$B$38,0),1)</f>
        <v>0.45</v>
      </c>
      <c r="G24" s="131">
        <f t="shared" ref="G24:G37" si="4">(D24+E24+F24)/(8.76*$C$63)</f>
        <v>45.077540671772169</v>
      </c>
      <c r="H24" s="129">
        <f>ROUND(H23*(1+(IFERROR(INDEX($D$66:$D$74,MATCH($B24,$C$66:$C$74,0),1),0)+IFERROR(INDEX($G$66:$G$74,MATCH($B24,$F$66:$F$74,0),1),0)+IFERROR(INDEX(#REF!,MATCH($B24,$I$66:$I$74,0),1),0))),2)</f>
        <v>13.03</v>
      </c>
      <c r="I24" s="131">
        <f t="shared" ref="I24:I37" si="5">(G24+H24)</f>
        <v>58.107540671772171</v>
      </c>
      <c r="J24" s="131">
        <f t="shared" ref="J24:J32" si="6">ROUND(I24*$C$63*8.76,2)</f>
        <v>188.85</v>
      </c>
      <c r="K24" s="129">
        <f t="shared" si="1"/>
        <v>146.50020408163266</v>
      </c>
      <c r="L24" s="120"/>
      <c r="N24" s="118"/>
      <c r="R24" s="161"/>
      <c r="S24" s="120"/>
      <c r="T24" s="165"/>
      <c r="U24" s="161"/>
      <c r="V24" s="161"/>
      <c r="W24" s="161"/>
      <c r="X24" s="161"/>
      <c r="Y24" s="161"/>
      <c r="Z24" s="120"/>
      <c r="AA24" s="120"/>
    </row>
    <row r="25" spans="2:27">
      <c r="B25" s="136">
        <f t="shared" si="0"/>
        <v>2031</v>
      </c>
      <c r="C25" s="137"/>
      <c r="D25" s="129">
        <f t="shared" si="3"/>
        <v>123.19</v>
      </c>
      <c r="E25" s="270">
        <v>26.122448979591837</v>
      </c>
      <c r="F25" s="129">
        <f>INDEX('Table 3 PV wS YK_2024'!$F$10:$F$38,MATCH(B25,'Table 3 PV wS YK_2024'!$B$10:$B$38,0),1)</f>
        <v>0.46</v>
      </c>
      <c r="G25" s="131">
        <f t="shared" si="4"/>
        <v>46.084397647845471</v>
      </c>
      <c r="H25" s="129">
        <f>ROUND(H24*(1+(IFERROR(INDEX($D$66:$D$74,MATCH($B25,$C$66:$C$74,0),1),0)+IFERROR(INDEX($G$66:$G$74,MATCH($B25,$F$66:$F$74,0),1),0)+IFERROR(INDEX(#REF!,MATCH($B25,$I$66:$I$74,0),1),0))),2)</f>
        <v>13.32</v>
      </c>
      <c r="I25" s="131">
        <f t="shared" si="5"/>
        <v>59.404397647845471</v>
      </c>
      <c r="J25" s="131">
        <f t="shared" si="6"/>
        <v>193.06</v>
      </c>
      <c r="K25" s="129">
        <f t="shared" si="1"/>
        <v>149.77244897959184</v>
      </c>
      <c r="L25" s="120"/>
      <c r="N25" s="118"/>
      <c r="R25" s="161"/>
      <c r="S25" s="120"/>
      <c r="T25" s="165"/>
      <c r="U25" s="161"/>
      <c r="V25" s="161"/>
      <c r="W25" s="161"/>
      <c r="X25" s="161"/>
      <c r="Y25" s="161"/>
      <c r="Z25" s="120"/>
      <c r="AA25" s="120"/>
    </row>
    <row r="26" spans="2:27">
      <c r="B26" s="136">
        <f t="shared" si="0"/>
        <v>2032</v>
      </c>
      <c r="C26" s="137"/>
      <c r="D26" s="129">
        <f t="shared" si="3"/>
        <v>125.9</v>
      </c>
      <c r="E26" s="270">
        <v>26.73469387755102</v>
      </c>
      <c r="F26" s="129">
        <f>INDEX('Table 3 PV wS YK_2024'!$F$10:$F$38,MATCH(B26,'Table 3 PV wS YK_2024'!$B$10:$B$38,0),1)</f>
        <v>0.47</v>
      </c>
      <c r="G26" s="131">
        <f t="shared" si="4"/>
        <v>47.109716389602042</v>
      </c>
      <c r="H26" s="129">
        <f>ROUND(H25*(1+(IFERROR(INDEX($D$66:$D$74,MATCH($B26,$C$66:$C$74,0),1),0)+IFERROR(INDEX($G$66:$G$74,MATCH($B26,$F$66:$F$74,0),1),0)+IFERROR(INDEX(#REF!,MATCH($B26,$I$66:$I$74,0),1),0))),2)</f>
        <v>13.61</v>
      </c>
      <c r="I26" s="131">
        <f t="shared" si="5"/>
        <v>60.719716389602041</v>
      </c>
      <c r="J26" s="131">
        <f t="shared" si="6"/>
        <v>197.34</v>
      </c>
      <c r="K26" s="129">
        <f t="shared" si="1"/>
        <v>153.10469387755103</v>
      </c>
      <c r="L26" s="120"/>
      <c r="N26" s="118"/>
      <c r="R26" s="161"/>
      <c r="S26" s="120"/>
      <c r="T26" s="165"/>
      <c r="U26" s="161"/>
      <c r="V26" s="161"/>
      <c r="W26" s="161"/>
      <c r="X26" s="161"/>
      <c r="Y26" s="161"/>
      <c r="Z26" s="120"/>
      <c r="AA26" s="120"/>
    </row>
    <row r="27" spans="2:27">
      <c r="B27" s="136">
        <f t="shared" si="0"/>
        <v>2033</v>
      </c>
      <c r="C27" s="137"/>
      <c r="D27" s="129">
        <f t="shared" si="3"/>
        <v>128.54</v>
      </c>
      <c r="E27" s="270">
        <v>27.346938775510203</v>
      </c>
      <c r="F27" s="129">
        <f>INDEX('Table 3 PV wS YK_2024'!$F$10:$F$38,MATCH(B27,'Table 3 PV wS YK_2024'!$B$10:$B$38,0),1)</f>
        <v>0.48</v>
      </c>
      <c r="G27" s="131">
        <f t="shared" si="4"/>
        <v>48.113496404728124</v>
      </c>
      <c r="H27" s="129">
        <f>ROUND(H26*(1+(IFERROR(INDEX($D$66:$D$74,MATCH($B27,$C$66:$C$74,0),1),0)+IFERROR(INDEX($G$66:$G$74,MATCH($B27,$F$66:$F$74,0),1),0)+IFERROR(INDEX(#REF!,MATCH($B27,$I$66:$I$74,0),1),0))),2)</f>
        <v>13.9</v>
      </c>
      <c r="I27" s="131">
        <f t="shared" si="5"/>
        <v>62.013496404728123</v>
      </c>
      <c r="J27" s="131">
        <f t="shared" si="6"/>
        <v>201.54</v>
      </c>
      <c r="K27" s="129">
        <f t="shared" si="1"/>
        <v>156.36693877551019</v>
      </c>
      <c r="L27" s="120"/>
      <c r="N27" s="118"/>
      <c r="R27" s="161"/>
      <c r="S27" s="120"/>
      <c r="T27" s="165"/>
      <c r="U27" s="161"/>
      <c r="V27" s="161"/>
      <c r="W27" s="161"/>
      <c r="X27" s="161"/>
      <c r="Y27" s="161"/>
      <c r="Z27" s="120"/>
      <c r="AA27" s="120"/>
    </row>
    <row r="28" spans="2:27">
      <c r="B28" s="136">
        <f t="shared" si="0"/>
        <v>2034</v>
      </c>
      <c r="C28" s="137"/>
      <c r="D28" s="129">
        <f t="shared" si="3"/>
        <v>131.24</v>
      </c>
      <c r="E28" s="270">
        <v>27.959183673469386</v>
      </c>
      <c r="F28" s="129">
        <f>INDEX('Table 3 PV wS YK_2024'!$F$10:$F$38,MATCH(B28,'Table 3 PV wS YK_2024'!$B$10:$B$38,0),1)</f>
        <v>0.49</v>
      </c>
      <c r="G28" s="131">
        <f t="shared" si="4"/>
        <v>49.135738185537491</v>
      </c>
      <c r="H28" s="129">
        <f>ROUND(H27*(1+(IFERROR(INDEX($D$66:$D$74,MATCH($B28,$C$66:$C$74,0),1),0)+IFERROR(INDEX($G$66:$G$74,MATCH($B28,$F$66:$F$74,0),1),0)+IFERROR(INDEX(#REF!,MATCH($B28,$I$66:$I$74,0),1),0))),2)</f>
        <v>14.19</v>
      </c>
      <c r="I28" s="131">
        <f t="shared" si="5"/>
        <v>63.325738185537489</v>
      </c>
      <c r="J28" s="131">
        <f t="shared" si="6"/>
        <v>205.81</v>
      </c>
      <c r="K28" s="129">
        <f t="shared" si="1"/>
        <v>159.68918367346942</v>
      </c>
      <c r="L28" s="120"/>
      <c r="N28" s="118"/>
      <c r="R28" s="161"/>
      <c r="S28" s="120"/>
      <c r="T28" s="165"/>
      <c r="U28" s="161"/>
      <c r="V28" s="161"/>
      <c r="W28" s="161"/>
      <c r="X28" s="161"/>
      <c r="Y28" s="161"/>
      <c r="Z28" s="120"/>
      <c r="AA28" s="120"/>
    </row>
    <row r="29" spans="2:27">
      <c r="B29" s="136">
        <f t="shared" si="0"/>
        <v>2035</v>
      </c>
      <c r="C29" s="137"/>
      <c r="D29" s="129">
        <f t="shared" si="3"/>
        <v>134</v>
      </c>
      <c r="E29" s="270">
        <v>28.571428571428573</v>
      </c>
      <c r="F29" s="129">
        <f>INDEX('Table 3 PV wS YK_2024'!$F$10:$F$38,MATCH(B29,'Table 3 PV wS YK_2024'!$B$10:$B$38,0),1)</f>
        <v>0.5</v>
      </c>
      <c r="G29" s="131">
        <f t="shared" si="4"/>
        <v>50.176441732030113</v>
      </c>
      <c r="H29" s="129">
        <f>ROUND(H28*(1+(IFERROR(INDEX($D$66:$D$74,MATCH($B29,$C$66:$C$74,0),1),0)+IFERROR(INDEX($G$66:$G$74,MATCH($B29,$F$66:$F$74,0),1),0)+IFERROR(INDEX(#REF!,MATCH($B29,$I$66:$I$74,0),1),0))),2)</f>
        <v>14.19</v>
      </c>
      <c r="I29" s="131">
        <f t="shared" si="5"/>
        <v>64.366441732030111</v>
      </c>
      <c r="J29" s="131">
        <f t="shared" si="6"/>
        <v>209.19</v>
      </c>
      <c r="K29" s="129">
        <f t="shared" si="1"/>
        <v>163.07142857142858</v>
      </c>
      <c r="L29" s="120"/>
      <c r="N29" s="118"/>
      <c r="R29" s="161"/>
      <c r="S29" s="120"/>
      <c r="T29" s="165"/>
      <c r="U29" s="161"/>
      <c r="V29" s="161"/>
      <c r="W29" s="161"/>
      <c r="X29" s="161"/>
      <c r="Y29" s="161"/>
      <c r="Z29" s="120"/>
      <c r="AA29" s="120"/>
    </row>
    <row r="30" spans="2:27">
      <c r="B30" s="136">
        <f t="shared" si="0"/>
        <v>2036</v>
      </c>
      <c r="C30" s="137"/>
      <c r="D30" s="129">
        <f t="shared" si="3"/>
        <v>136.81</v>
      </c>
      <c r="E30" s="270">
        <v>29.183673469387756</v>
      </c>
      <c r="F30" s="129">
        <f>INDEX('Table 3 PV wS YK_2024'!$F$10:$F$38,MATCH(B30,'Table 3 PV wS YK_2024'!$B$10:$B$38,0),1)</f>
        <v>0.51</v>
      </c>
      <c r="G30" s="131">
        <f t="shared" si="4"/>
        <v>51.232530083258801</v>
      </c>
      <c r="H30" s="129">
        <f>ROUND(H29*(1+(IFERROR(INDEX($D$66:$D$74,MATCH($B30,$C$66:$C$74,0),1),0)+IFERROR(INDEX($G$66:$G$74,MATCH($B30,$F$66:$F$74,0),1),0)+IFERROR(INDEX(#REF!,MATCH($B30,$I$66:$I$74,0),1),0))),2)</f>
        <v>14.19</v>
      </c>
      <c r="I30" s="131">
        <f t="shared" si="5"/>
        <v>65.422530083258806</v>
      </c>
      <c r="J30" s="131">
        <f t="shared" si="6"/>
        <v>212.62</v>
      </c>
      <c r="K30" s="129">
        <f t="shared" si="1"/>
        <v>166.50367346938776</v>
      </c>
      <c r="L30" s="120"/>
      <c r="N30" s="118"/>
      <c r="R30" s="161"/>
      <c r="S30" s="120"/>
      <c r="T30" s="165"/>
      <c r="U30" s="161"/>
      <c r="V30" s="161"/>
      <c r="W30" s="161"/>
      <c r="X30" s="161"/>
      <c r="Y30" s="161"/>
      <c r="Z30" s="120"/>
      <c r="AA30" s="120"/>
    </row>
    <row r="31" spans="2:27">
      <c r="B31" s="136">
        <f t="shared" si="0"/>
        <v>2037</v>
      </c>
      <c r="C31" s="137"/>
      <c r="D31" s="129">
        <f t="shared" si="3"/>
        <v>139.68</v>
      </c>
      <c r="E31" s="270">
        <v>29.897959183673468</v>
      </c>
      <c r="F31" s="129">
        <f>INDEX('Table 3 PV wS YK_2024'!$F$10:$F$38,MATCH(B31,'Table 3 PV wS YK_2024'!$B$10:$B$38,0),1)</f>
        <v>0.52</v>
      </c>
      <c r="G31" s="131">
        <f t="shared" si="4"/>
        <v>52.338477760856591</v>
      </c>
      <c r="H31" s="129">
        <f>ROUND(H30*(1+(IFERROR(INDEX($D$66:$D$74,MATCH($B31,$C$66:$C$74,0),1),0)+IFERROR(INDEX($G$66:$G$74,MATCH($B31,$F$66:$F$74,0),1),0)+IFERROR(INDEX(#REF!,MATCH($B31,$I$66:$I$74,0),1),0))),2)</f>
        <v>14.19</v>
      </c>
      <c r="I31" s="131">
        <f t="shared" si="5"/>
        <v>66.528477760856589</v>
      </c>
      <c r="J31" s="131">
        <f t="shared" si="6"/>
        <v>216.21</v>
      </c>
      <c r="K31" s="129">
        <f t="shared" si="1"/>
        <v>170.09795918367348</v>
      </c>
      <c r="L31" s="120"/>
      <c r="N31" s="118"/>
      <c r="R31" s="161"/>
      <c r="S31" s="120"/>
      <c r="T31" s="165"/>
      <c r="U31" s="161"/>
      <c r="V31" s="161"/>
      <c r="W31" s="161"/>
      <c r="X31" s="161"/>
      <c r="Y31" s="161"/>
      <c r="Z31" s="120"/>
      <c r="AA31" s="120"/>
    </row>
    <row r="32" spans="2:27">
      <c r="B32" s="136">
        <f t="shared" si="0"/>
        <v>2038</v>
      </c>
      <c r="C32" s="137"/>
      <c r="D32" s="129">
        <f t="shared" si="3"/>
        <v>142.61000000000001</v>
      </c>
      <c r="E32" s="270">
        <v>30.612244897959183</v>
      </c>
      <c r="F32" s="129">
        <f>INDEX('Table 3 PV wS YK_2024'!$F$10:$F$38,MATCH(B32,'Table 3 PV wS YK_2024'!$B$10:$B$38,0),1)</f>
        <v>0.53</v>
      </c>
      <c r="G32" s="131">
        <f t="shared" si="4"/>
        <v>53.462887204137658</v>
      </c>
      <c r="H32" s="129">
        <f>ROUND(H31*(1+(IFERROR(INDEX($D$66:$D$74,MATCH($B32,$C$66:$C$74,0),1),0)+IFERROR(INDEX($G$66:$G$74,MATCH($B32,$F$66:$F$74,0),1),0)+IFERROR(INDEX(#REF!,MATCH($B32,$I$66:$I$74,0),1),0))),2)</f>
        <v>14.19</v>
      </c>
      <c r="I32" s="131">
        <f t="shared" si="5"/>
        <v>67.652887204137656</v>
      </c>
      <c r="J32" s="131">
        <f t="shared" si="6"/>
        <v>219.87</v>
      </c>
      <c r="K32" s="129">
        <f t="shared" si="1"/>
        <v>173.7522448979592</v>
      </c>
      <c r="L32" s="120"/>
      <c r="N32" s="118"/>
      <c r="R32" s="161"/>
      <c r="S32" s="120"/>
      <c r="T32" s="165"/>
      <c r="U32" s="161"/>
      <c r="V32" s="161"/>
      <c r="W32" s="161"/>
      <c r="X32" s="161"/>
      <c r="Y32" s="161"/>
      <c r="Z32" s="120"/>
      <c r="AA32" s="120"/>
    </row>
    <row r="33" spans="2:27">
      <c r="B33" s="136">
        <f t="shared" si="0"/>
        <v>2039</v>
      </c>
      <c r="C33" s="137"/>
      <c r="D33" s="129">
        <f t="shared" si="3"/>
        <v>145.6</v>
      </c>
      <c r="E33" s="129">
        <f t="shared" si="3"/>
        <v>31.26</v>
      </c>
      <c r="F33" s="129">
        <f>INDEX('Table 3 PV wS YK_2024'!$F$10:$F$38,MATCH(B33,'Table 3 PV wS YK_2024'!$B$10:$B$38,0),1)</f>
        <v>0.54</v>
      </c>
      <c r="G33" s="131">
        <f t="shared" si="4"/>
        <v>54.585287203534811</v>
      </c>
      <c r="H33" s="129">
        <f>ROUND(H32*(1+(IFERROR(INDEX($D$66:$D$74,MATCH($B33,$C$66:$C$74,0),1),0)+IFERROR(INDEX($G$66:$G$74,MATCH($B33,$F$66:$F$74,0),1),0)+IFERROR(INDEX(#REF!,MATCH($B33,$I$66:$I$74,0),1),0))),2)</f>
        <v>14.19</v>
      </c>
      <c r="I33" s="131">
        <f t="shared" si="5"/>
        <v>68.775287203534816</v>
      </c>
      <c r="J33" s="131">
        <f t="shared" ref="J33:J37" si="7">ROUND(I33*$C$63*8.76,2)</f>
        <v>223.52</v>
      </c>
      <c r="K33" s="129">
        <f t="shared" si="1"/>
        <v>177.39999999999998</v>
      </c>
      <c r="L33" s="120"/>
      <c r="N33" s="118"/>
      <c r="AA33" s="279"/>
    </row>
    <row r="34" spans="2:27">
      <c r="B34" s="136">
        <f t="shared" si="0"/>
        <v>2040</v>
      </c>
      <c r="C34" s="137"/>
      <c r="D34" s="129">
        <f t="shared" si="3"/>
        <v>148.66</v>
      </c>
      <c r="E34" s="129">
        <f t="shared" ref="E34" si="8">ROUND(E33*(1+(IFERROR(INDEX($D$66:$D$74,MATCH($B34,$C$66:$C$74,0),1),0)+IFERROR(INDEX($G$66:$G$74,MATCH($B34,$F$66:$F$74,0),1),0)+IFERROR(INDEX($J$66:$J$74,MATCH($B34,$I$66:$I$74,0),1),0))),2)</f>
        <v>31.92</v>
      </c>
      <c r="F34" s="129">
        <f>INDEX('Table 3 PV wS YK_2024'!$F$10:$F$38,MATCH(B34,'Table 3 PV wS YK_2024'!$B$10:$B$38,0),1)</f>
        <v>0.55000000000000004</v>
      </c>
      <c r="G34" s="131">
        <f t="shared" si="4"/>
        <v>55.732993636844768</v>
      </c>
      <c r="H34" s="129">
        <f>ROUND(H33*(1+(IFERROR(INDEX($D$66:$D$74,MATCH($B34,$C$66:$C$74,0),1),0)+IFERROR(INDEX($G$66:$G$74,MATCH($B34,$F$66:$F$74,0),1),0)+IFERROR(INDEX(#REF!,MATCH($B34,$I$66:$I$74,0),1),0))),2)</f>
        <v>14.19</v>
      </c>
      <c r="I34" s="131">
        <f t="shared" si="5"/>
        <v>69.922993636844765</v>
      </c>
      <c r="J34" s="131">
        <f t="shared" si="7"/>
        <v>227.25</v>
      </c>
      <c r="K34" s="129">
        <f t="shared" si="1"/>
        <v>181.13</v>
      </c>
      <c r="L34" s="120"/>
      <c r="N34" s="118"/>
      <c r="AA34" s="279"/>
    </row>
    <row r="35" spans="2:27">
      <c r="B35" s="136">
        <f t="shared" si="0"/>
        <v>2041</v>
      </c>
      <c r="C35" s="137"/>
      <c r="D35" s="129">
        <f t="shared" si="3"/>
        <v>151.78</v>
      </c>
      <c r="E35" s="129">
        <f t="shared" ref="E35" si="9">ROUND(E34*(1+(IFERROR(INDEX($D$66:$D$74,MATCH($B35,$C$66:$C$74,0),1),0)+IFERROR(INDEX($G$66:$G$74,MATCH($B35,$F$66:$F$74,0),1),0)+IFERROR(INDEX($J$66:$J$74,MATCH($B35,$I$66:$I$74,0),1),0))),2)</f>
        <v>32.590000000000003</v>
      </c>
      <c r="F35" s="129">
        <f>INDEX('Table 3 PV wS YK_2024'!$F$10:$F$38,MATCH(B35,'Table 3 PV wS YK_2024'!$B$10:$B$38,0),1)</f>
        <v>0.56000000000000005</v>
      </c>
      <c r="G35" s="131">
        <f t="shared" si="4"/>
        <v>56.902238796785198</v>
      </c>
      <c r="H35" s="129">
        <f>ROUND(H34*(1+(IFERROR(INDEX($D$66:$D$74,MATCH($B35,$C$66:$C$74,0),1),0)+IFERROR(INDEX($G$66:$G$74,MATCH($B35,$F$66:$F$74,0),1),0)+IFERROR(INDEX(#REF!,MATCH($B35,$I$66:$I$74,0),1),0))),2)</f>
        <v>14.19</v>
      </c>
      <c r="I35" s="131">
        <f t="shared" si="5"/>
        <v>71.092238796785196</v>
      </c>
      <c r="J35" s="131">
        <f t="shared" si="7"/>
        <v>231.05</v>
      </c>
      <c r="K35" s="129">
        <f t="shared" si="1"/>
        <v>184.93</v>
      </c>
      <c r="L35" s="120"/>
      <c r="N35" s="118"/>
      <c r="AA35" s="279"/>
    </row>
    <row r="36" spans="2:27">
      <c r="B36" s="136">
        <f t="shared" si="0"/>
        <v>2042</v>
      </c>
      <c r="C36" s="137"/>
      <c r="D36" s="129">
        <f t="shared" si="3"/>
        <v>154.97</v>
      </c>
      <c r="E36" s="129">
        <f t="shared" ref="E36" si="10">ROUND(E35*(1+(IFERROR(INDEX($D$66:$D$74,MATCH($B36,$C$66:$C$74,0),1),0)+IFERROR(INDEX($G$66:$G$74,MATCH($B36,$F$66:$F$74,0),1),0)+IFERROR(INDEX($J$66:$J$74,MATCH($B36,$I$66:$I$74,0),1),0))),2)</f>
        <v>33.270000000000003</v>
      </c>
      <c r="F36" s="129">
        <f>INDEX('Table 3 PV wS YK_2024'!$F$10:$F$38,MATCH(B36,'Table 3 PV wS YK_2024'!$B$10:$B$38,0),1)</f>
        <v>0.56999999999999995</v>
      </c>
      <c r="G36" s="131">
        <f t="shared" si="4"/>
        <v>58.096099644303322</v>
      </c>
      <c r="H36" s="129">
        <f>ROUND(H35*(1+(IFERROR(INDEX($D$66:$D$74,MATCH($B36,$C$66:$C$74,0),1),0)+IFERROR(INDEX($G$66:$G$74,MATCH($B36,$F$66:$F$74,0),1),0)+IFERROR(INDEX(#REF!,MATCH($B36,$I$66:$I$74,0),1),0))),2)</f>
        <v>14.19</v>
      </c>
      <c r="I36" s="131">
        <f t="shared" si="5"/>
        <v>72.28609964430332</v>
      </c>
      <c r="J36" s="131">
        <f t="shared" si="7"/>
        <v>234.93</v>
      </c>
      <c r="K36" s="129">
        <f t="shared" si="1"/>
        <v>188.81</v>
      </c>
      <c r="L36" s="120"/>
      <c r="N36" s="118"/>
      <c r="AA36" s="279"/>
    </row>
    <row r="37" spans="2:27">
      <c r="B37" s="136">
        <f t="shared" si="0"/>
        <v>2043</v>
      </c>
      <c r="C37" s="137"/>
      <c r="D37" s="129">
        <f t="shared" si="3"/>
        <v>158.22</v>
      </c>
      <c r="E37" s="129">
        <f t="shared" ref="E37" si="11">ROUND(E36*(1+(IFERROR(INDEX($D$66:$D$74,MATCH($B37,$C$66:$C$74,0),1),0)+IFERROR(INDEX($G$66:$G$74,MATCH($B37,$F$66:$F$74,0),1),0)+IFERROR(INDEX($J$66:$J$74,MATCH($B37,$I$66:$I$74,0),1),0))),2)</f>
        <v>33.97</v>
      </c>
      <c r="F37" s="129">
        <f>INDEX('Table 3 PV wS YK_2024'!$F$10:$F$38,MATCH(B37,'Table 3 PV wS YK_2024'!$B$10:$B$38,0),1)</f>
        <v>0.57999999999999996</v>
      </c>
      <c r="G37" s="131">
        <f t="shared" si="4"/>
        <v>59.31457617939914</v>
      </c>
      <c r="H37" s="129">
        <f>ROUND(H36*(1+(IFERROR(INDEX($D$66:$D$74,MATCH($B37,$C$66:$C$74,0),1),0)+IFERROR(INDEX($G$66:$G$74,MATCH($B37,$F$66:$F$74,0),1),0)+IFERROR(INDEX(#REF!,MATCH($B37,$I$66:$I$74,0),1),0))),2)</f>
        <v>14.19</v>
      </c>
      <c r="I37" s="131">
        <f t="shared" si="5"/>
        <v>73.504576179399137</v>
      </c>
      <c r="J37" s="131">
        <f t="shared" si="7"/>
        <v>238.89</v>
      </c>
      <c r="K37" s="129">
        <f t="shared" si="1"/>
        <v>192.77</v>
      </c>
      <c r="L37" s="120"/>
      <c r="N37" s="118"/>
      <c r="AA37" s="279"/>
    </row>
    <row r="38" spans="2:27">
      <c r="B38" s="136"/>
      <c r="C38" s="137"/>
      <c r="D38" s="129"/>
      <c r="E38" s="129"/>
      <c r="F38" s="129"/>
      <c r="G38" s="131"/>
      <c r="H38" s="129"/>
      <c r="I38" s="131"/>
      <c r="J38" s="131"/>
      <c r="K38" s="129"/>
      <c r="L38" s="120"/>
      <c r="N38" s="118"/>
      <c r="AA38" s="279"/>
    </row>
    <row r="39" spans="2:27">
      <c r="B39" s="136"/>
      <c r="C39" s="137"/>
      <c r="D39" s="129"/>
      <c r="E39" s="129"/>
      <c r="F39" s="129"/>
      <c r="G39" s="131"/>
      <c r="H39" s="129"/>
      <c r="I39" s="131"/>
      <c r="J39" s="131"/>
      <c r="K39" s="129"/>
      <c r="L39" s="120"/>
      <c r="N39" s="118"/>
      <c r="AA39" s="279"/>
    </row>
    <row r="40" spans="2:27">
      <c r="B40" s="136"/>
      <c r="C40" s="137"/>
      <c r="D40" s="129"/>
      <c r="E40" s="129"/>
      <c r="F40" s="129"/>
      <c r="G40" s="131"/>
      <c r="H40" s="129"/>
      <c r="I40" s="131"/>
      <c r="J40" s="131"/>
      <c r="K40" s="129"/>
      <c r="L40" s="120"/>
      <c r="N40" s="118"/>
      <c r="AA40" s="279"/>
    </row>
    <row r="41" spans="2:27">
      <c r="B41" s="136"/>
      <c r="C41" s="137"/>
      <c r="D41" s="129"/>
      <c r="E41" s="129"/>
      <c r="F41" s="129"/>
      <c r="G41" s="131"/>
      <c r="H41" s="129"/>
      <c r="I41" s="131"/>
      <c r="J41" s="131"/>
      <c r="K41" s="129"/>
      <c r="L41" s="120"/>
      <c r="N41" s="118"/>
      <c r="AA41" s="279"/>
    </row>
    <row r="42" spans="2:27" ht="14.25">
      <c r="B42" s="139" t="s">
        <v>25</v>
      </c>
      <c r="C42" s="140"/>
      <c r="D42" s="140"/>
      <c r="E42" s="140"/>
      <c r="F42" s="140"/>
      <c r="G42" s="140"/>
      <c r="H42" s="140"/>
      <c r="AA42" s="279"/>
    </row>
    <row r="43" spans="2:27">
      <c r="AA43" s="279"/>
    </row>
    <row r="44" spans="2:27">
      <c r="B44" s="118" t="s">
        <v>63</v>
      </c>
      <c r="C44" s="141" t="s">
        <v>64</v>
      </c>
      <c r="D44" s="142" t="s">
        <v>102</v>
      </c>
      <c r="AA44" s="279"/>
    </row>
    <row r="45" spans="2:27">
      <c r="C45" s="141" t="str">
        <f>C7</f>
        <v>(a)</v>
      </c>
      <c r="D45" s="118" t="s">
        <v>65</v>
      </c>
      <c r="AA45" s="279"/>
    </row>
    <row r="46" spans="2:27">
      <c r="C46" s="141" t="str">
        <f>D7</f>
        <v>(b)</v>
      </c>
      <c r="D46" s="131" t="str">
        <f>"= "&amp;C7&amp;" x "&amp;C62</f>
        <v>= (a) x 0.06899</v>
      </c>
      <c r="AA46" s="279"/>
    </row>
    <row r="47" spans="2:27">
      <c r="C47" s="141" t="str">
        <f>G7</f>
        <v>(e)</v>
      </c>
      <c r="D47" s="131" t="str">
        <f>"= ("&amp;$D$7&amp;" + "&amp;$E$7&amp;") /  (8.76 x "&amp;TEXT(C63,"0.0%")&amp;")"</f>
        <v>= ((b) + (c)) /  (8.76 x 37.1%)</v>
      </c>
      <c r="AA47" s="279"/>
    </row>
    <row r="48" spans="2:27">
      <c r="C48" s="141" t="str">
        <f>I7</f>
        <v>(g)</v>
      </c>
      <c r="D48" s="131" t="str">
        <f>"= "&amp;$G$7&amp;" + "&amp;$H$7</f>
        <v>= (e) + (f)</v>
      </c>
      <c r="AA48" s="279"/>
    </row>
    <row r="49" spans="2:27">
      <c r="C49" s="141" t="str">
        <f>K7</f>
        <v>(i)</v>
      </c>
      <c r="D49" s="85" t="str">
        <f>D44</f>
        <v>Plant Costs  - 2019 IRP Update - Table 6.1 &amp; 6.2</v>
      </c>
      <c r="AA49" s="279"/>
    </row>
    <row r="50" spans="2:27">
      <c r="C50" s="141"/>
      <c r="D50" s="131"/>
      <c r="AA50" s="279"/>
    </row>
    <row r="51" spans="2:27" ht="13.5" thickBot="1">
      <c r="AA51" s="279"/>
    </row>
    <row r="52" spans="2:27" ht="13.5" thickBot="1">
      <c r="C52" s="42" t="str">
        <f>B2&amp;" - "&amp;B3</f>
        <v>2019 IRP Yakima Wind with Storage Resource - 37% Capacity Factor</v>
      </c>
      <c r="D52" s="143"/>
      <c r="E52" s="143"/>
      <c r="F52" s="143"/>
      <c r="G52" s="143"/>
      <c r="H52" s="143"/>
      <c r="I52" s="144"/>
      <c r="J52" s="144"/>
      <c r="K52" s="145"/>
      <c r="AA52" s="279"/>
    </row>
    <row r="53" spans="2:27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  <c r="AA53" s="279"/>
    </row>
    <row r="54" spans="2:27">
      <c r="P54" s="118" t="s">
        <v>103</v>
      </c>
      <c r="Q54" s="118">
        <v>2029</v>
      </c>
    </row>
    <row r="55" spans="2:27">
      <c r="B55" s="85" t="s">
        <v>101</v>
      </c>
      <c r="C55" s="171">
        <v>1923.6831909029345</v>
      </c>
      <c r="D55" s="118" t="s">
        <v>65</v>
      </c>
      <c r="T55" s="118" t="str">
        <f>$Q$56&amp;"Proposed Station Capital Costs"</f>
        <v>H_.YK1_WDSProposed Station Capital Costs</v>
      </c>
    </row>
    <row r="56" spans="2:27">
      <c r="B56" s="85" t="s">
        <v>101</v>
      </c>
      <c r="C56" s="270">
        <v>30.743277943329019</v>
      </c>
      <c r="D56" s="118" t="s">
        <v>68</v>
      </c>
      <c r="O56" s="118">
        <v>9.8000000000000007</v>
      </c>
      <c r="P56" s="118" t="s">
        <v>32</v>
      </c>
      <c r="Q56" s="118" t="s">
        <v>157</v>
      </c>
      <c r="T56" s="118" t="str">
        <f>Q56&amp;"Proposed Station Fixed Costs"</f>
        <v>H_.YK1_WDSProposed Station Fixed Costs</v>
      </c>
      <c r="Z56" s="118" t="s">
        <v>110</v>
      </c>
      <c r="AA56" s="280">
        <f>PMT(0.0692,30,NPV(0.0692,AA23:AA52))</f>
        <v>0</v>
      </c>
    </row>
    <row r="57" spans="2:27" ht="24" customHeight="1">
      <c r="B57" s="85"/>
      <c r="C57" s="272"/>
      <c r="D57" s="118" t="s">
        <v>105</v>
      </c>
    </row>
    <row r="58" spans="2:27">
      <c r="B58" s="85" t="s">
        <v>101</v>
      </c>
      <c r="C58" s="270">
        <v>10</v>
      </c>
      <c r="D58" s="118" t="s">
        <v>69</v>
      </c>
      <c r="K58" s="120"/>
      <c r="L58" s="150"/>
      <c r="M58" s="52"/>
      <c r="N58" s="164"/>
      <c r="O58" s="52"/>
      <c r="P58" s="52"/>
      <c r="Q58" s="120"/>
      <c r="R58" s="120"/>
      <c r="T58" s="118" t="str">
        <f>$Q$56&amp;"Proposed Station Variable O&amp;M Costs"</f>
        <v>H_.YK1_WDSProposed Station Variable O&amp;M Costs</v>
      </c>
      <c r="U58" s="120"/>
      <c r="V58" s="120"/>
      <c r="W58" s="120"/>
      <c r="X58" s="120"/>
      <c r="Y58" s="120"/>
    </row>
    <row r="59" spans="2:27">
      <c r="B59" s="85"/>
      <c r="C59" s="159"/>
      <c r="D59" s="118" t="s">
        <v>70</v>
      </c>
      <c r="I59" s="198" t="s">
        <v>91</v>
      </c>
      <c r="L59" s="152"/>
      <c r="M59" s="153"/>
      <c r="O59" s="151"/>
      <c r="P59" s="120"/>
      <c r="Q59" s="215" t="str">
        <f>Q56&amp;Q54</f>
        <v>H_.YK1_WDS2029</v>
      </c>
      <c r="R59" s="120"/>
      <c r="T59" s="118" t="str">
        <f>$Q$57&amp;"Proposed Station Variable O&amp;M Costs"</f>
        <v>Proposed Station Variable O&amp;M Costs</v>
      </c>
      <c r="U59" s="120"/>
      <c r="V59" s="120"/>
      <c r="W59" s="120"/>
      <c r="X59" s="120"/>
      <c r="Y59" s="120"/>
    </row>
    <row r="60" spans="2:27">
      <c r="B60" s="371" t="str">
        <f>LEFT(RIGHT(INDEX('Table 3 TransCost'!$39:$39,1,MATCH(F60,'Table 3 TransCost'!$4:$4,0)),6),5)</f>
        <v>2024$</v>
      </c>
      <c r="C60" s="272">
        <f>INDEX('Table 3 TransCost'!$39:$39,1,MATCH(F60,'Table 3 TransCost'!$4:$4,0)+2)</f>
        <v>0.39132049215213044</v>
      </c>
      <c r="D60" s="118" t="s">
        <v>218</v>
      </c>
      <c r="F60" s="276" t="s">
        <v>183</v>
      </c>
      <c r="K60" s="152"/>
      <c r="L60" s="152"/>
      <c r="M60" s="152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7">
      <c r="B61" s="85"/>
      <c r="C61" s="201"/>
      <c r="K61" s="152"/>
      <c r="L61" s="152"/>
      <c r="M61" s="152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7">
      <c r="C62" s="271">
        <v>6.8989999999999996E-2</v>
      </c>
      <c r="D62" s="118" t="s">
        <v>36</v>
      </c>
      <c r="K62" s="156"/>
      <c r="L62" s="157"/>
      <c r="M62" s="157"/>
      <c r="O62" s="158"/>
    </row>
    <row r="63" spans="2:27">
      <c r="C63" s="209">
        <v>0.371</v>
      </c>
      <c r="D63" s="118" t="s">
        <v>37</v>
      </c>
    </row>
    <row r="64" spans="2:27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2.1000000000000001E-2</v>
      </c>
    </row>
    <row r="69" spans="3:14">
      <c r="C69" s="87">
        <f t="shared" si="12"/>
        <v>2020</v>
      </c>
      <c r="D69" s="41">
        <v>1.9E-2</v>
      </c>
      <c r="E69" s="85"/>
      <c r="F69" s="87">
        <f t="shared" si="13"/>
        <v>2029</v>
      </c>
      <c r="G69" s="41">
        <v>2.3E-2</v>
      </c>
      <c r="H69" s="41"/>
      <c r="I69" s="87">
        <f t="shared" si="14"/>
        <v>2038</v>
      </c>
      <c r="J69" s="41">
        <v>2.1000000000000001E-2</v>
      </c>
    </row>
    <row r="70" spans="3:14">
      <c r="C70" s="87">
        <f t="shared" si="12"/>
        <v>2021</v>
      </c>
      <c r="D70" s="41">
        <v>0.02</v>
      </c>
      <c r="E70" s="85"/>
      <c r="F70" s="87">
        <f t="shared" si="13"/>
        <v>2030</v>
      </c>
      <c r="G70" s="41">
        <v>2.1999999999999999E-2</v>
      </c>
      <c r="H70" s="41"/>
      <c r="I70" s="87">
        <f t="shared" si="14"/>
        <v>2039</v>
      </c>
      <c r="J70" s="41">
        <v>2.1000000000000001E-2</v>
      </c>
    </row>
    <row r="71" spans="3:14">
      <c r="C71" s="87">
        <f t="shared" si="12"/>
        <v>2022</v>
      </c>
      <c r="D71" s="41">
        <v>2.5000000000000001E-2</v>
      </c>
      <c r="E71" s="85"/>
      <c r="F71" s="87">
        <f t="shared" si="13"/>
        <v>2031</v>
      </c>
      <c r="G71" s="41">
        <v>2.1999999999999999E-2</v>
      </c>
      <c r="H71" s="41"/>
      <c r="I71" s="87">
        <f t="shared" si="14"/>
        <v>2040</v>
      </c>
      <c r="J71" s="41">
        <v>2.1000000000000001E-2</v>
      </c>
    </row>
    <row r="72" spans="3:14" s="120" customFormat="1">
      <c r="C72" s="87">
        <f t="shared" si="12"/>
        <v>2023</v>
      </c>
      <c r="D72" s="41">
        <v>2.5000000000000001E-2</v>
      </c>
      <c r="E72" s="86"/>
      <c r="F72" s="87">
        <f t="shared" si="13"/>
        <v>2032</v>
      </c>
      <c r="G72" s="41">
        <v>2.1999999999999999E-2</v>
      </c>
      <c r="H72" s="41"/>
      <c r="I72" s="87">
        <f t="shared" si="14"/>
        <v>2041</v>
      </c>
      <c r="J72" s="41">
        <v>2.1000000000000001E-2</v>
      </c>
      <c r="N72" s="165"/>
    </row>
    <row r="73" spans="3:14" s="120" customFormat="1">
      <c r="C73" s="87">
        <f t="shared" si="12"/>
        <v>2024</v>
      </c>
      <c r="D73" s="41">
        <v>2.4E-2</v>
      </c>
      <c r="E73" s="86"/>
      <c r="F73" s="87">
        <f t="shared" si="13"/>
        <v>2033</v>
      </c>
      <c r="G73" s="41">
        <v>2.1000000000000001E-2</v>
      </c>
      <c r="H73" s="41"/>
      <c r="I73" s="87">
        <f t="shared" si="14"/>
        <v>2042</v>
      </c>
      <c r="J73" s="41">
        <v>2.1000000000000001E-2</v>
      </c>
      <c r="N73" s="165"/>
    </row>
    <row r="74" spans="3:14" s="120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2.1000000000000001E-2</v>
      </c>
      <c r="H74" s="41"/>
      <c r="I74" s="87">
        <f t="shared" si="14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bestFit="1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3.1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/>
    <col min="16" max="16" width="10" style="118" customWidth="1"/>
    <col min="17" max="17" width="25.1640625" style="118" customWidth="1"/>
    <col min="18" max="18" width="18.1640625" style="118" customWidth="1"/>
    <col min="19" max="19" width="9.33203125" style="118"/>
    <col min="20" max="20" width="16.6640625" style="118" customWidth="1"/>
    <col min="21" max="21" width="11.83203125" style="118" customWidth="1"/>
    <col min="22" max="22" width="9.6640625" style="118" bestFit="1" customWidth="1"/>
    <col min="23" max="16384" width="9.33203125" style="118"/>
  </cols>
  <sheetData>
    <row r="1" spans="2:27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27" ht="15.75">
      <c r="B2" s="116" t="s">
        <v>156</v>
      </c>
      <c r="C2" s="117"/>
      <c r="D2" s="117"/>
      <c r="E2" s="117"/>
      <c r="F2" s="117"/>
      <c r="G2" s="117"/>
      <c r="H2" s="117"/>
      <c r="I2" s="117"/>
      <c r="J2" s="117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2:27" ht="15.75">
      <c r="B3" s="116" t="str">
        <f>TEXT($C$63,"0%")&amp;" Capacity Factor"</f>
        <v>37% Capacity Factor</v>
      </c>
      <c r="C3" s="117"/>
      <c r="D3" s="117"/>
      <c r="E3" s="117"/>
      <c r="F3" s="117"/>
      <c r="G3" s="117"/>
      <c r="H3" s="117"/>
      <c r="I3" s="117"/>
      <c r="J3" s="117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2:27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  <c r="S4" s="120"/>
      <c r="T4" s="120"/>
      <c r="U4" s="120"/>
      <c r="V4" s="120"/>
      <c r="W4" s="120"/>
      <c r="X4" s="120"/>
      <c r="Y4" s="120"/>
      <c r="Z4" s="120"/>
      <c r="AA4" s="120"/>
    </row>
    <row r="5" spans="2:27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R5" s="277"/>
      <c r="S5" s="120"/>
      <c r="T5" s="120"/>
      <c r="U5" s="120"/>
      <c r="V5" s="120"/>
      <c r="W5" s="120"/>
      <c r="X5" s="120"/>
      <c r="Y5" s="383"/>
      <c r="Z5" s="120"/>
      <c r="AA5" s="120"/>
    </row>
    <row r="6" spans="2:27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R6" s="278"/>
      <c r="S6" s="120"/>
      <c r="T6" s="120"/>
      <c r="U6" s="120"/>
      <c r="V6" s="120"/>
      <c r="W6" s="120"/>
      <c r="X6" s="120"/>
      <c r="Y6" s="120"/>
      <c r="Z6" s="120"/>
      <c r="AA6" s="120"/>
    </row>
    <row r="7" spans="2:27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2:27" ht="6" customHeight="1">
      <c r="K8" s="120"/>
      <c r="R8" s="120"/>
      <c r="S8" s="120"/>
      <c r="T8" s="120"/>
      <c r="U8" s="120"/>
      <c r="V8" s="120"/>
      <c r="W8" s="120"/>
      <c r="X8" s="120"/>
      <c r="Y8" s="120"/>
      <c r="Z8" s="120"/>
      <c r="AA8" s="120"/>
    </row>
    <row r="9" spans="2:27" ht="15.75">
      <c r="B9" s="43" t="str">
        <f>C52</f>
        <v>2019 IRP Yakima Wind with Storage Resource - 37% Capacity Factor</v>
      </c>
      <c r="C9" s="120"/>
      <c r="E9" s="120"/>
      <c r="F9" s="120"/>
      <c r="G9" s="120"/>
      <c r="H9" s="120"/>
      <c r="I9" s="120"/>
      <c r="J9" s="120"/>
      <c r="K9" s="120"/>
      <c r="N9" s="118"/>
      <c r="R9" s="120"/>
      <c r="S9" s="120"/>
      <c r="T9" s="120"/>
      <c r="U9" s="120"/>
      <c r="V9" s="120"/>
      <c r="W9" s="120"/>
      <c r="X9" s="120"/>
      <c r="Y9" s="120"/>
      <c r="Z9" s="120"/>
      <c r="AA9" s="120"/>
    </row>
    <row r="10" spans="2:27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  <c r="R10" s="120"/>
      <c r="S10" s="120"/>
      <c r="T10" s="120"/>
      <c r="U10" s="120"/>
      <c r="V10" s="120"/>
      <c r="W10" s="120"/>
      <c r="X10" s="120"/>
      <c r="Y10" s="120"/>
      <c r="Z10" s="120"/>
      <c r="AA10" s="120"/>
    </row>
    <row r="11" spans="2:27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2:27">
      <c r="B12" s="136">
        <f t="shared" si="0"/>
        <v>2018</v>
      </c>
      <c r="C12" s="137"/>
      <c r="D12" s="129"/>
      <c r="E12" s="149"/>
      <c r="F12" s="149"/>
      <c r="G12" s="131"/>
      <c r="H12" s="149">
        <f>$C$58</f>
        <v>0</v>
      </c>
      <c r="I12" s="131"/>
      <c r="J12" s="131"/>
      <c r="K12" s="129">
        <f>(D12+E12+F12)</f>
        <v>0</v>
      </c>
      <c r="L12" s="120"/>
      <c r="N12" s="118"/>
      <c r="R12" s="389"/>
      <c r="S12" s="120"/>
      <c r="T12" s="165"/>
      <c r="U12" s="161"/>
      <c r="V12" s="161"/>
      <c r="W12" s="161"/>
      <c r="X12" s="161"/>
      <c r="Y12" s="161"/>
      <c r="Z12" s="120"/>
      <c r="AA12" s="120"/>
    </row>
    <row r="13" spans="2:27">
      <c r="B13" s="136">
        <f t="shared" si="0"/>
        <v>2019</v>
      </c>
      <c r="C13" s="137"/>
      <c r="D13" s="129"/>
      <c r="E13" s="149"/>
      <c r="F13" s="149"/>
      <c r="G13" s="131"/>
      <c r="H13" s="129">
        <f>ROUND(H12*(1+(IFERROR(INDEX($D$66:$D$74,MATCH($B13,$C$66:$C$74,0),1),0)+IFERROR(INDEX($G$66:$G$74,MATCH($B13,$F$66:$F$74,0),1),0)+IFERROR(INDEX(#REF!,MATCH($B13,$I$66:$I$74,0),1),0))),2)</f>
        <v>0</v>
      </c>
      <c r="I13" s="131"/>
      <c r="J13" s="131"/>
      <c r="K13" s="129">
        <f t="shared" ref="K13:K37" si="1">(D13+E13+F13)</f>
        <v>0</v>
      </c>
      <c r="L13" s="120"/>
      <c r="N13" s="118"/>
      <c r="R13" s="120"/>
      <c r="S13" s="120"/>
      <c r="T13" s="120"/>
      <c r="U13" s="120"/>
      <c r="V13" s="161"/>
      <c r="W13" s="161"/>
      <c r="X13" s="161"/>
      <c r="Y13" s="161"/>
      <c r="Z13" s="120"/>
      <c r="AA13" s="120"/>
    </row>
    <row r="14" spans="2:27">
      <c r="B14" s="136">
        <f t="shared" si="0"/>
        <v>2020</v>
      </c>
      <c r="C14" s="137"/>
      <c r="D14" s="129"/>
      <c r="E14" s="129"/>
      <c r="F14" s="129"/>
      <c r="G14" s="131"/>
      <c r="H14" s="129">
        <f>ROUND(H13*(1+(IFERROR(INDEX($D$66:$D$74,MATCH($B14,$C$66:$C$74,0),1),0)+IFERROR(INDEX($G$66:$G$74,MATCH($B14,$F$66:$F$74,0),1),0)+IFERROR(INDEX(#REF!,MATCH($B14,$I$66:$I$74,0),1),0))),2)</f>
        <v>0</v>
      </c>
      <c r="I14" s="131"/>
      <c r="J14" s="131"/>
      <c r="K14" s="129">
        <f t="shared" si="1"/>
        <v>0</v>
      </c>
      <c r="L14" s="120"/>
      <c r="N14" s="118"/>
      <c r="O14" s="133"/>
      <c r="P14" s="134"/>
      <c r="Q14" s="135"/>
      <c r="R14" s="120"/>
      <c r="S14" s="120"/>
      <c r="T14" s="120"/>
      <c r="U14" s="120"/>
      <c r="V14" s="161"/>
      <c r="W14" s="161"/>
      <c r="X14" s="161"/>
      <c r="Y14" s="161"/>
      <c r="Z14" s="120"/>
      <c r="AA14" s="120"/>
    </row>
    <row r="15" spans="2:27">
      <c r="B15" s="136">
        <f t="shared" si="0"/>
        <v>2021</v>
      </c>
      <c r="C15" s="137"/>
      <c r="D15" s="129"/>
      <c r="E15" s="129"/>
      <c r="F15" s="129"/>
      <c r="G15" s="131"/>
      <c r="H15" s="129">
        <f>ROUND(H14*(1+(IFERROR(INDEX($D$66:$D$74,MATCH($B15,$C$66:$C$74,0),1),0)+IFERROR(INDEX($G$66:$G$74,MATCH($B15,$F$66:$F$74,0),1),0)+IFERROR(INDEX(#REF!,MATCH($B15,$I$66:$I$74,0),1),0))),2)</f>
        <v>0</v>
      </c>
      <c r="I15" s="131"/>
      <c r="J15" s="131"/>
      <c r="K15" s="129">
        <f t="shared" si="1"/>
        <v>0</v>
      </c>
      <c r="L15" s="120"/>
      <c r="N15" s="118"/>
      <c r="O15" s="273"/>
      <c r="P15" s="134"/>
      <c r="Q15" s="135"/>
      <c r="R15" s="120"/>
      <c r="S15" s="120"/>
      <c r="T15" s="120"/>
      <c r="U15" s="120"/>
      <c r="V15" s="161"/>
      <c r="W15" s="161"/>
      <c r="X15" s="161"/>
      <c r="Y15" s="161"/>
      <c r="Z15" s="120"/>
      <c r="AA15" s="120"/>
    </row>
    <row r="16" spans="2:27">
      <c r="B16" s="136">
        <f t="shared" si="0"/>
        <v>2022</v>
      </c>
      <c r="C16" s="137"/>
      <c r="D16" s="129"/>
      <c r="E16" s="129"/>
      <c r="F16" s="129"/>
      <c r="G16" s="131"/>
      <c r="H16" s="129">
        <f>ROUND(H15*(1+(IFERROR(INDEX($D$66:$D$74,MATCH($B16,$C$66:$C$74,0),1),0)+IFERROR(INDEX($G$66:$G$74,MATCH($B16,$F$66:$F$74,0),1),0)+IFERROR(INDEX(#REF!,MATCH($B16,$I$66:$I$74,0),1),0))),2)</f>
        <v>0</v>
      </c>
      <c r="I16" s="131"/>
      <c r="J16" s="131"/>
      <c r="K16" s="129">
        <f t="shared" si="1"/>
        <v>0</v>
      </c>
      <c r="L16" s="120"/>
      <c r="N16" s="118"/>
      <c r="R16" s="120"/>
      <c r="S16" s="120"/>
      <c r="T16" s="120"/>
      <c r="U16" s="120"/>
      <c r="V16" s="161"/>
      <c r="W16" s="161"/>
      <c r="X16" s="161"/>
      <c r="Y16" s="161"/>
      <c r="Z16" s="120"/>
      <c r="AA16" s="120"/>
    </row>
    <row r="17" spans="2:27">
      <c r="B17" s="136">
        <f t="shared" si="0"/>
        <v>2023</v>
      </c>
      <c r="C17" s="137"/>
      <c r="D17" s="129"/>
      <c r="E17" s="129"/>
      <c r="F17" s="129"/>
      <c r="G17" s="131"/>
      <c r="H17" s="129">
        <f>ROUND(H16*(1+(IFERROR(INDEX($D$66:$D$74,MATCH($B17,$C$66:$C$74,0),1),0)+IFERROR(INDEX($G$66:$G$74,MATCH($B17,$F$66:$F$74,0),1),0)+IFERROR(INDEX(#REF!,MATCH($B17,$I$66:$I$74,0),1),0))),2)</f>
        <v>0</v>
      </c>
      <c r="I17" s="131"/>
      <c r="J17" s="131"/>
      <c r="K17" s="129">
        <f t="shared" si="1"/>
        <v>0</v>
      </c>
      <c r="L17" s="120"/>
      <c r="N17" s="118"/>
      <c r="O17" s="133"/>
      <c r="R17" s="120"/>
      <c r="S17" s="120"/>
      <c r="T17" s="120"/>
      <c r="U17" s="120"/>
      <c r="V17" s="161"/>
      <c r="W17" s="161"/>
      <c r="X17" s="161"/>
      <c r="Y17" s="161"/>
      <c r="Z17" s="120"/>
      <c r="AA17" s="120"/>
    </row>
    <row r="18" spans="2:27">
      <c r="B18" s="136">
        <f t="shared" si="0"/>
        <v>2024</v>
      </c>
      <c r="C18" s="137"/>
      <c r="D18" s="129"/>
      <c r="E18" s="149"/>
      <c r="F18" s="149"/>
      <c r="G18" s="131"/>
      <c r="H18" s="129">
        <f>ROUND(H17*(1+(IFERROR(INDEX($D$66:$D$74,MATCH($B18,$C$66:$C$74,0),1),0)+IFERROR(INDEX($G$66:$G$74,MATCH($B18,$F$66:$F$74,0),1),0)+IFERROR(INDEX(#REF!,MATCH($B18,$I$66:$I$74,0),1),0))),2)</f>
        <v>0</v>
      </c>
      <c r="I18" s="131"/>
      <c r="J18" s="131"/>
      <c r="K18" s="129">
        <f t="shared" si="1"/>
        <v>0</v>
      </c>
      <c r="L18" s="120"/>
      <c r="N18" s="118"/>
      <c r="R18" s="120"/>
      <c r="S18" s="120"/>
      <c r="T18" s="165"/>
      <c r="U18" s="161"/>
      <c r="V18" s="161"/>
      <c r="W18" s="161"/>
      <c r="X18" s="161"/>
      <c r="Y18" s="161"/>
      <c r="Z18" s="120"/>
      <c r="AA18" s="120"/>
    </row>
    <row r="19" spans="2:27">
      <c r="B19" s="136">
        <f t="shared" si="0"/>
        <v>2025</v>
      </c>
      <c r="C19" s="137"/>
      <c r="D19" s="129"/>
      <c r="E19" s="149"/>
      <c r="F19" s="149"/>
      <c r="G19" s="131"/>
      <c r="H19" s="129">
        <f>ROUND(H18*(1+(IFERROR(INDEX($D$66:$D$74,MATCH($B19,$C$66:$C$74,0),1),0)+IFERROR(INDEX($G$66:$G$74,MATCH($B19,$F$66:$F$74,0),1),0)+IFERROR(INDEX(#REF!,MATCH($B19,$I$66:$I$74,0),1),0))),2)</f>
        <v>0</v>
      </c>
      <c r="I19" s="131"/>
      <c r="J19" s="131"/>
      <c r="K19" s="129">
        <f t="shared" si="1"/>
        <v>0</v>
      </c>
      <c r="L19" s="120"/>
      <c r="N19" s="118"/>
      <c r="R19" s="120"/>
      <c r="S19" s="120"/>
      <c r="T19" s="165"/>
      <c r="U19" s="161"/>
      <c r="V19" s="161"/>
      <c r="W19" s="161"/>
      <c r="X19" s="161"/>
      <c r="Y19" s="161"/>
      <c r="Z19" s="120"/>
      <c r="AA19" s="120"/>
    </row>
    <row r="20" spans="2:27">
      <c r="B20" s="136">
        <f t="shared" si="0"/>
        <v>2026</v>
      </c>
      <c r="C20" s="137"/>
      <c r="D20" s="129"/>
      <c r="E20" s="149"/>
      <c r="F20" s="149"/>
      <c r="G20" s="131"/>
      <c r="H20" s="129">
        <f>ROUND(H19*(1+(IFERROR(INDEX($D$66:$D$74,MATCH($B20,$C$66:$C$74,0),1),0)+IFERROR(INDEX($G$66:$G$74,MATCH($B20,$F$66:$F$74,0),1),0)+IFERROR(INDEX(#REF!,MATCH($B20,$I$66:$I$74,0),1),0))),2)</f>
        <v>0</v>
      </c>
      <c r="I20" s="131"/>
      <c r="J20" s="131"/>
      <c r="K20" s="129">
        <f t="shared" si="1"/>
        <v>0</v>
      </c>
      <c r="L20" s="120"/>
      <c r="N20" s="118"/>
      <c r="R20" s="161"/>
      <c r="S20" s="120"/>
      <c r="T20" s="165"/>
      <c r="U20" s="161"/>
      <c r="V20" s="161"/>
      <c r="W20" s="161"/>
      <c r="X20" s="161"/>
      <c r="Y20" s="161"/>
      <c r="Z20" s="120"/>
      <c r="AA20" s="120"/>
    </row>
    <row r="21" spans="2:27">
      <c r="B21" s="136">
        <f t="shared" si="0"/>
        <v>2027</v>
      </c>
      <c r="C21" s="137"/>
      <c r="D21" s="129"/>
      <c r="E21" s="149"/>
      <c r="F21" s="149"/>
      <c r="G21" s="131"/>
      <c r="H21" s="129">
        <f>ROUND(H20*(1+(IFERROR(INDEX($D$66:$D$74,MATCH($B21,$C$66:$C$74,0),1),0)+IFERROR(INDEX($G$66:$G$74,MATCH($B21,$F$66:$F$74,0),1),0)+IFERROR(INDEX(#REF!,MATCH($B21,$I$66:$I$74,0),1),0))),2)</f>
        <v>0</v>
      </c>
      <c r="I21" s="131"/>
      <c r="J21" s="131"/>
      <c r="K21" s="129">
        <f t="shared" si="1"/>
        <v>0</v>
      </c>
      <c r="L21" s="120"/>
      <c r="N21" s="118"/>
      <c r="R21" s="161"/>
      <c r="S21" s="120"/>
      <c r="T21" s="165"/>
      <c r="U21" s="161"/>
      <c r="V21" s="161"/>
      <c r="W21" s="161"/>
      <c r="X21" s="161"/>
      <c r="Y21" s="161"/>
      <c r="Z21" s="120"/>
      <c r="AA21" s="120"/>
    </row>
    <row r="22" spans="2:27">
      <c r="B22" s="136">
        <f t="shared" si="0"/>
        <v>2028</v>
      </c>
      <c r="C22" s="137"/>
      <c r="D22" s="129"/>
      <c r="E22" s="149"/>
      <c r="F22" s="149"/>
      <c r="G22" s="131"/>
      <c r="H22" s="129">
        <f>ROUND(H21*(1+(IFERROR(INDEX($D$66:$D$74,MATCH($B22,$C$66:$C$74,0),1),0)+IFERROR(INDEX($G$66:$G$74,MATCH($B22,$F$66:$F$74,0),1),0)+IFERROR(INDEX(#REF!,MATCH($B22,$I$66:$I$74,0),1),0))),2)</f>
        <v>0</v>
      </c>
      <c r="I22" s="131"/>
      <c r="J22" s="131"/>
      <c r="K22" s="129">
        <f t="shared" si="1"/>
        <v>0</v>
      </c>
      <c r="L22" s="120"/>
      <c r="N22" s="118"/>
      <c r="R22" s="161"/>
      <c r="S22" s="120"/>
      <c r="T22" s="165"/>
      <c r="U22" s="161"/>
      <c r="V22" s="161"/>
      <c r="W22" s="161"/>
      <c r="X22" s="161"/>
      <c r="Y22" s="161"/>
      <c r="Z22" s="120"/>
      <c r="AA22" s="120"/>
    </row>
    <row r="23" spans="2:27">
      <c r="B23" s="136">
        <f t="shared" si="0"/>
        <v>2029</v>
      </c>
      <c r="C23" s="137"/>
      <c r="D23" s="129"/>
      <c r="E23" s="149"/>
      <c r="F23" s="149"/>
      <c r="G23" s="131"/>
      <c r="H23" s="129">
        <f>ROUND(H22*(1+(IFERROR(INDEX($D$66:$D$74,MATCH($B23,$C$66:$C$74,0),1),0)+IFERROR(INDEX($G$66:$G$74,MATCH($B23,$F$66:$F$74,0),1),0)+IFERROR(INDEX(#REF!,MATCH($B23,$I$66:$I$74,0),1),0))),2)</f>
        <v>0</v>
      </c>
      <c r="I23" s="131"/>
      <c r="J23" s="131"/>
      <c r="K23" s="129">
        <f t="shared" si="1"/>
        <v>0</v>
      </c>
      <c r="L23" s="120"/>
      <c r="N23" s="118"/>
      <c r="R23" s="161"/>
      <c r="S23" s="120"/>
      <c r="T23" s="165"/>
      <c r="U23" s="161"/>
      <c r="V23" s="161"/>
      <c r="W23" s="161"/>
      <c r="X23" s="161"/>
      <c r="Y23" s="161"/>
      <c r="Z23" s="120"/>
      <c r="AA23" s="120"/>
    </row>
    <row r="24" spans="2:27">
      <c r="B24" s="136">
        <f t="shared" si="0"/>
        <v>2030</v>
      </c>
      <c r="C24" s="137"/>
      <c r="D24" s="129"/>
      <c r="E24" s="149"/>
      <c r="F24" s="149"/>
      <c r="G24" s="131"/>
      <c r="H24" s="129">
        <f>ROUND(H23*(1+(IFERROR(INDEX($D$66:$D$74,MATCH($B24,$C$66:$C$74,0),1),0)+IFERROR(INDEX($G$66:$G$74,MATCH($B24,$F$66:$F$74,0),1),0)+IFERROR(INDEX(#REF!,MATCH($B24,$I$66:$I$74,0),1),0))),2)</f>
        <v>0</v>
      </c>
      <c r="I24" s="131"/>
      <c r="J24" s="131"/>
      <c r="K24" s="129">
        <f t="shared" si="1"/>
        <v>0</v>
      </c>
      <c r="L24" s="120"/>
      <c r="N24" s="118"/>
      <c r="R24" s="161"/>
      <c r="S24" s="120"/>
      <c r="T24" s="165"/>
      <c r="U24" s="161"/>
      <c r="V24" s="161"/>
      <c r="W24" s="161"/>
      <c r="X24" s="161"/>
      <c r="Y24" s="161"/>
      <c r="Z24" s="120"/>
      <c r="AA24" s="120"/>
    </row>
    <row r="25" spans="2:27">
      <c r="B25" s="136">
        <f t="shared" si="0"/>
        <v>2031</v>
      </c>
      <c r="C25" s="137"/>
      <c r="D25" s="129"/>
      <c r="E25" s="149"/>
      <c r="F25" s="149"/>
      <c r="G25" s="131"/>
      <c r="H25" s="129">
        <f>ROUND(H24*(1+(IFERROR(INDEX($D$66:$D$74,MATCH($B25,$C$66:$C$74,0),1),0)+IFERROR(INDEX($G$66:$G$74,MATCH($B25,$F$66:$F$74,0),1),0)+IFERROR(INDEX(#REF!,MATCH($B25,$I$66:$I$74,0),1),0))),2)</f>
        <v>0</v>
      </c>
      <c r="I25" s="131"/>
      <c r="J25" s="131"/>
      <c r="K25" s="129">
        <f t="shared" si="1"/>
        <v>0</v>
      </c>
      <c r="L25" s="120"/>
      <c r="N25" s="118"/>
      <c r="R25" s="161"/>
      <c r="S25" s="120"/>
      <c r="T25" s="165"/>
      <c r="U25" s="161"/>
      <c r="V25" s="161"/>
      <c r="W25" s="161"/>
      <c r="X25" s="161"/>
      <c r="Y25" s="161"/>
      <c r="Z25" s="120"/>
      <c r="AA25" s="120"/>
    </row>
    <row r="26" spans="2:27">
      <c r="B26" s="136">
        <f t="shared" si="0"/>
        <v>2032</v>
      </c>
      <c r="C26" s="349">
        <v>1672.135761589404</v>
      </c>
      <c r="D26" s="129">
        <f>C26*$C$62</f>
        <v>115.36064619205297</v>
      </c>
      <c r="E26" s="270">
        <v>26.705298013245034</v>
      </c>
      <c r="F26" s="129">
        <f>INDEX('Table 3 ID Wind_2030'!$F$10:$F$38,MATCH(B26,'Table 3 ID Wind_2030'!$B$10:$B$38,0),1)</f>
        <v>12.63</v>
      </c>
      <c r="G26" s="131">
        <f>(D26+E26+F26)/(8.76*$C$63)</f>
        <v>47.599337901173556</v>
      </c>
      <c r="H26" s="129">
        <f>ROUND(H25*(1+(IFERROR(INDEX($D$66:$D$74,MATCH($B26,$C$66:$C$74,0),1),0)+IFERROR(INDEX($G$66:$G$74,MATCH($B26,$F$66:$F$74,0),1),0)+IFERROR(INDEX(#REF!,MATCH($B26,$I$66:$I$74,0),1),0))),2)</f>
        <v>0</v>
      </c>
      <c r="I26" s="131">
        <f>(G26+H26)</f>
        <v>47.599337901173556</v>
      </c>
      <c r="J26" s="131">
        <f t="shared" ref="J26:J32" si="2">ROUND(I26*$C$63*8.76,2)</f>
        <v>154.69999999999999</v>
      </c>
      <c r="K26" s="129">
        <f t="shared" si="1"/>
        <v>154.69594420529799</v>
      </c>
      <c r="L26" s="120"/>
      <c r="N26" s="118"/>
      <c r="R26" s="161"/>
      <c r="S26" s="120"/>
      <c r="T26" s="165"/>
      <c r="U26" s="161"/>
      <c r="V26" s="161"/>
      <c r="W26" s="161"/>
      <c r="X26" s="161"/>
      <c r="Y26" s="161"/>
      <c r="Z26" s="120"/>
      <c r="AA26" s="120"/>
    </row>
    <row r="27" spans="2:27">
      <c r="B27" s="136">
        <f t="shared" si="0"/>
        <v>2033</v>
      </c>
      <c r="C27" s="137"/>
      <c r="D27" s="129">
        <f t="shared" ref="D27:E37" si="3">ROUND(D26*(1+(IFERROR(INDEX($D$66:$D$74,MATCH($B27,$C$66:$C$74,0),1),0)+IFERROR(INDEX($G$66:$G$74,MATCH($B27,$F$66:$F$74,0),1),0)+IFERROR(INDEX($J$66:$J$74,MATCH($B27,$I$66:$I$74,0),1),0))),2)</f>
        <v>117.78</v>
      </c>
      <c r="E27" s="270">
        <v>27.317880794701988</v>
      </c>
      <c r="F27" s="129">
        <f>INDEX('Table 3 ID Wind_2030'!$F$10:$F$38,MATCH(B27,'Table 3 ID Wind_2030'!$B$10:$B$38,0),1)</f>
        <v>12.9</v>
      </c>
      <c r="G27" s="131">
        <f t="shared" ref="G27:G37" si="4">(D27+E27+F27)/(8.76*$C$63)</f>
        <v>48.615330894750088</v>
      </c>
      <c r="H27" s="129">
        <f>ROUND(H26*(1+(IFERROR(INDEX($D$66:$D$74,MATCH($B27,$C$66:$C$74,0),1),0)+IFERROR(INDEX($G$66:$G$74,MATCH($B27,$F$66:$F$74,0),1),0)+IFERROR(INDEX(#REF!,MATCH($B27,$I$66:$I$74,0),1),0))),2)</f>
        <v>0</v>
      </c>
      <c r="I27" s="131">
        <f t="shared" ref="I27:I37" si="5">(G27+H27)</f>
        <v>48.615330894750088</v>
      </c>
      <c r="J27" s="131">
        <f t="shared" si="2"/>
        <v>158</v>
      </c>
      <c r="K27" s="129">
        <f t="shared" si="1"/>
        <v>157.99788079470198</v>
      </c>
      <c r="L27" s="120"/>
      <c r="N27" s="118"/>
      <c r="R27" s="161"/>
      <c r="S27" s="120"/>
      <c r="T27" s="165"/>
      <c r="U27" s="161"/>
      <c r="V27" s="161"/>
      <c r="W27" s="161"/>
      <c r="X27" s="161"/>
      <c r="Y27" s="161"/>
      <c r="Z27" s="120"/>
      <c r="AA27" s="120"/>
    </row>
    <row r="28" spans="2:27">
      <c r="B28" s="136">
        <f t="shared" si="0"/>
        <v>2034</v>
      </c>
      <c r="C28" s="137"/>
      <c r="D28" s="129">
        <f t="shared" si="3"/>
        <v>120.25</v>
      </c>
      <c r="E28" s="270">
        <v>27.94701986754967</v>
      </c>
      <c r="F28" s="129">
        <f>INDEX('Table 3 ID Wind_2030'!$F$10:$F$38,MATCH(B28,'Table 3 ID Wind_2030'!$B$10:$B$38,0),1)</f>
        <v>13.17</v>
      </c>
      <c r="G28" s="131">
        <f t="shared" si="4"/>
        <v>49.652001830037804</v>
      </c>
      <c r="H28" s="129">
        <f>ROUND(H27*(1+(IFERROR(INDEX($D$66:$D$74,MATCH($B28,$C$66:$C$74,0),1),0)+IFERROR(INDEX($G$66:$G$74,MATCH($B28,$F$66:$F$74,0),1),0)+IFERROR(INDEX(#REF!,MATCH($B28,$I$66:$I$74,0),1),0))),2)</f>
        <v>0</v>
      </c>
      <c r="I28" s="131">
        <f t="shared" si="5"/>
        <v>49.652001830037804</v>
      </c>
      <c r="J28" s="131">
        <f t="shared" si="2"/>
        <v>161.37</v>
      </c>
      <c r="K28" s="129">
        <f t="shared" si="1"/>
        <v>161.36701986754966</v>
      </c>
      <c r="L28" s="120"/>
      <c r="N28" s="118"/>
      <c r="R28" s="161"/>
      <c r="S28" s="120"/>
      <c r="T28" s="165"/>
      <c r="U28" s="161"/>
      <c r="V28" s="161"/>
      <c r="W28" s="161"/>
      <c r="X28" s="161"/>
      <c r="Y28" s="161"/>
      <c r="Z28" s="120"/>
      <c r="AA28" s="120"/>
    </row>
    <row r="29" spans="2:27">
      <c r="B29" s="136">
        <f t="shared" si="0"/>
        <v>2035</v>
      </c>
      <c r="C29" s="137"/>
      <c r="D29" s="129">
        <f t="shared" si="3"/>
        <v>122.78</v>
      </c>
      <c r="E29" s="270">
        <v>28.576158940397352</v>
      </c>
      <c r="F29" s="129">
        <f>INDEX('Table 3 ID Wind_2030'!$F$10:$F$38,MATCH(B29,'Table 3 ID Wind_2030'!$B$10:$B$38,0),1)</f>
        <v>13.45</v>
      </c>
      <c r="G29" s="131">
        <f t="shared" si="4"/>
        <v>50.710211491956017</v>
      </c>
      <c r="H29" s="129">
        <f>ROUND(H28*(1+(IFERROR(INDEX($D$66:$D$74,MATCH($B29,$C$66:$C$74,0),1),0)+IFERROR(INDEX($G$66:$G$74,MATCH($B29,$F$66:$F$74,0),1),0)+IFERROR(INDEX(#REF!,MATCH($B29,$I$66:$I$74,0),1),0))),2)</f>
        <v>0</v>
      </c>
      <c r="I29" s="131">
        <f t="shared" si="5"/>
        <v>50.710211491956017</v>
      </c>
      <c r="J29" s="131">
        <f t="shared" si="2"/>
        <v>164.81</v>
      </c>
      <c r="K29" s="129">
        <f t="shared" si="1"/>
        <v>164.80615894039735</v>
      </c>
      <c r="L29" s="120"/>
      <c r="N29" s="118"/>
      <c r="R29" s="161"/>
      <c r="S29" s="120"/>
      <c r="T29" s="165"/>
      <c r="U29" s="161"/>
      <c r="V29" s="161"/>
      <c r="W29" s="161"/>
      <c r="X29" s="161"/>
      <c r="Y29" s="161"/>
      <c r="Z29" s="120"/>
      <c r="AA29" s="120"/>
    </row>
    <row r="30" spans="2:27">
      <c r="B30" s="136">
        <f t="shared" si="0"/>
        <v>2036</v>
      </c>
      <c r="C30" s="137"/>
      <c r="D30" s="129">
        <f t="shared" si="3"/>
        <v>125.36</v>
      </c>
      <c r="E30" s="270">
        <v>29.221854304635762</v>
      </c>
      <c r="F30" s="129">
        <f>INDEX('Table 3 ID Wind_2030'!$F$10:$F$38,MATCH(B30,'Table 3 ID Wind_2030'!$B$10:$B$38,0),1)</f>
        <v>13.73</v>
      </c>
      <c r="G30" s="131">
        <f t="shared" si="4"/>
        <v>51.788900264814259</v>
      </c>
      <c r="H30" s="129">
        <f>ROUND(H29*(1+(IFERROR(INDEX($D$66:$D$74,MATCH($B30,$C$66:$C$74,0),1),0)+IFERROR(INDEX($G$66:$G$74,MATCH($B30,$F$66:$F$74,0),1),0)+IFERROR(INDEX(#REF!,MATCH($B30,$I$66:$I$74,0),1),0))),2)</f>
        <v>0</v>
      </c>
      <c r="I30" s="131">
        <f t="shared" si="5"/>
        <v>51.788900264814259</v>
      </c>
      <c r="J30" s="131">
        <f t="shared" si="2"/>
        <v>168.31</v>
      </c>
      <c r="K30" s="129">
        <f t="shared" si="1"/>
        <v>168.31185430463574</v>
      </c>
      <c r="L30" s="120"/>
      <c r="N30" s="118"/>
      <c r="R30" s="161"/>
      <c r="S30" s="120"/>
      <c r="T30" s="165"/>
      <c r="U30" s="161"/>
      <c r="V30" s="161"/>
      <c r="W30" s="161"/>
      <c r="X30" s="161"/>
      <c r="Y30" s="161"/>
      <c r="Z30" s="120"/>
      <c r="AA30" s="120"/>
    </row>
    <row r="31" spans="2:27">
      <c r="B31" s="136">
        <f t="shared" si="0"/>
        <v>2037</v>
      </c>
      <c r="C31" s="137"/>
      <c r="D31" s="129">
        <f t="shared" si="3"/>
        <v>127.99</v>
      </c>
      <c r="E31" s="270">
        <v>29.900662251655628</v>
      </c>
      <c r="F31" s="129">
        <f>INDEX('Table 3 ID Wind_2030'!$F$10:$F$38,MATCH(B31,'Table 3 ID Wind_2030'!$B$10:$B$38,0),1)</f>
        <v>14.02</v>
      </c>
      <c r="G31" s="131">
        <f t="shared" si="4"/>
        <v>52.896239415763773</v>
      </c>
      <c r="H31" s="129">
        <f>ROUND(H30*(1+(IFERROR(INDEX($D$66:$D$74,MATCH($B31,$C$66:$C$74,0),1),0)+IFERROR(INDEX($G$66:$G$74,MATCH($B31,$F$66:$F$74,0),1),0)+IFERROR(INDEX(#REF!,MATCH($B31,$I$66:$I$74,0),1),0))),2)</f>
        <v>0</v>
      </c>
      <c r="I31" s="131">
        <f t="shared" si="5"/>
        <v>52.896239415763773</v>
      </c>
      <c r="J31" s="131">
        <f t="shared" si="2"/>
        <v>171.91</v>
      </c>
      <c r="K31" s="129">
        <f t="shared" si="1"/>
        <v>171.91066225165562</v>
      </c>
      <c r="L31" s="120"/>
      <c r="N31" s="118"/>
      <c r="R31" s="161"/>
      <c r="S31" s="120"/>
      <c r="T31" s="165"/>
      <c r="U31" s="161"/>
      <c r="V31" s="161"/>
      <c r="W31" s="161"/>
      <c r="X31" s="161"/>
      <c r="Y31" s="161"/>
      <c r="Z31" s="120"/>
      <c r="AA31" s="120"/>
    </row>
    <row r="32" spans="2:27">
      <c r="B32" s="136">
        <f t="shared" si="0"/>
        <v>2038</v>
      </c>
      <c r="C32" s="137"/>
      <c r="D32" s="129">
        <f t="shared" si="3"/>
        <v>130.68</v>
      </c>
      <c r="E32" s="270">
        <v>30.579470198675498</v>
      </c>
      <c r="F32" s="129">
        <f>INDEX('Table 3 ID Wind_2030'!$F$10:$F$38,MATCH(B32,'Table 3 ID Wind_2030'!$B$10:$B$38,0),1)</f>
        <v>14.31</v>
      </c>
      <c r="G32" s="131">
        <f t="shared" si="4"/>
        <v>54.022040332396557</v>
      </c>
      <c r="H32" s="129">
        <f>ROUND(H31*(1+(IFERROR(INDEX($D$66:$D$74,MATCH($B32,$C$66:$C$74,0),1),0)+IFERROR(INDEX($G$66:$G$74,MATCH($B32,$F$66:$F$74,0),1),0)+IFERROR(INDEX(#REF!,MATCH($B32,$I$66:$I$74,0),1),0))),2)</f>
        <v>0</v>
      </c>
      <c r="I32" s="131">
        <f t="shared" si="5"/>
        <v>54.022040332396557</v>
      </c>
      <c r="J32" s="131">
        <f t="shared" si="2"/>
        <v>175.57</v>
      </c>
      <c r="K32" s="129">
        <f t="shared" si="1"/>
        <v>175.5694701986755</v>
      </c>
      <c r="L32" s="120"/>
      <c r="N32" s="118"/>
      <c r="R32" s="161"/>
      <c r="S32" s="120"/>
      <c r="T32" s="165"/>
      <c r="U32" s="161"/>
      <c r="V32" s="161"/>
      <c r="W32" s="161"/>
      <c r="X32" s="161"/>
      <c r="Y32" s="161"/>
      <c r="Z32" s="120"/>
      <c r="AA32" s="120"/>
    </row>
    <row r="33" spans="2:27">
      <c r="B33" s="136">
        <f t="shared" si="0"/>
        <v>2039</v>
      </c>
      <c r="C33" s="137"/>
      <c r="D33" s="129">
        <f t="shared" si="3"/>
        <v>133.41999999999999</v>
      </c>
      <c r="E33" s="129">
        <f t="shared" si="3"/>
        <v>31.22</v>
      </c>
      <c r="F33" s="129">
        <f>INDEX('Table 3 ID Wind_2030'!$F$10:$F$38,MATCH(B33,'Table 3 ID Wind_2030'!$B$10:$B$38,0),1)</f>
        <v>14.61</v>
      </c>
      <c r="G33" s="131">
        <f t="shared" si="4"/>
        <v>55.154524978768976</v>
      </c>
      <c r="H33" s="129">
        <f>ROUND(H32*(1+(IFERROR(INDEX($D$66:$D$74,MATCH($B33,$C$66:$C$74,0),1),0)+IFERROR(INDEX($G$66:$G$74,MATCH($B33,$F$66:$F$74,0),1),0)+IFERROR(INDEX(#REF!,MATCH($B33,$I$66:$I$74,0),1),0))),2)</f>
        <v>0</v>
      </c>
      <c r="I33" s="131">
        <f t="shared" si="5"/>
        <v>55.154524978768976</v>
      </c>
      <c r="J33" s="131">
        <f t="shared" ref="J33:J37" si="6">ROUND(I33*$C$63*8.76,2)</f>
        <v>179.25</v>
      </c>
      <c r="K33" s="129">
        <f t="shared" si="1"/>
        <v>179.25</v>
      </c>
      <c r="L33" s="120"/>
      <c r="N33" s="118"/>
      <c r="R33" s="120"/>
      <c r="S33" s="120"/>
      <c r="T33" s="120"/>
      <c r="U33" s="120"/>
      <c r="V33" s="120"/>
      <c r="W33" s="120"/>
      <c r="X33" s="120"/>
      <c r="Y33" s="120"/>
      <c r="Z33" s="120"/>
      <c r="AA33" s="120"/>
    </row>
    <row r="34" spans="2:27">
      <c r="B34" s="136">
        <f t="shared" si="0"/>
        <v>2040</v>
      </c>
      <c r="C34" s="137"/>
      <c r="D34" s="129">
        <f t="shared" si="3"/>
        <v>136.22</v>
      </c>
      <c r="E34" s="129">
        <f t="shared" ref="E34" si="7">ROUND(E33*(1+(IFERROR(INDEX($D$66:$D$74,MATCH($B34,$C$66:$C$74,0),1),0)+IFERROR(INDEX($G$66:$G$74,MATCH($B34,$F$66:$F$74,0),1),0)+IFERROR(INDEX($J$66:$J$74,MATCH($B34,$I$66:$I$74,0),1),0))),2)</f>
        <v>31.88</v>
      </c>
      <c r="F34" s="129">
        <f>INDEX('Table 3 ID Wind_2030'!$F$10:$F$38,MATCH(B34,'Table 3 ID Wind_2030'!$B$10:$B$38,0),1)</f>
        <v>14.92</v>
      </c>
      <c r="G34" s="131">
        <f t="shared" si="4"/>
        <v>56.314539255867764</v>
      </c>
      <c r="H34" s="129">
        <f>ROUND(H33*(1+(IFERROR(INDEX($D$66:$D$74,MATCH($B34,$C$66:$C$74,0),1),0)+IFERROR(INDEX($G$66:$G$74,MATCH($B34,$F$66:$F$74,0),1),0)+IFERROR(INDEX(#REF!,MATCH($B34,$I$66:$I$74,0),1),0))),2)</f>
        <v>0</v>
      </c>
      <c r="I34" s="131">
        <f t="shared" si="5"/>
        <v>56.314539255867764</v>
      </c>
      <c r="J34" s="131">
        <f t="shared" si="6"/>
        <v>183.02</v>
      </c>
      <c r="K34" s="129">
        <f t="shared" si="1"/>
        <v>183.01999999999998</v>
      </c>
      <c r="L34" s="120"/>
      <c r="N34" s="118"/>
      <c r="R34" s="120"/>
      <c r="S34" s="120"/>
      <c r="T34" s="120"/>
      <c r="U34" s="120"/>
      <c r="V34" s="120"/>
      <c r="W34" s="120"/>
      <c r="X34" s="120"/>
      <c r="Y34" s="120"/>
      <c r="Z34" s="120"/>
      <c r="AA34" s="120"/>
    </row>
    <row r="35" spans="2:27">
      <c r="B35" s="136">
        <f t="shared" si="0"/>
        <v>2041</v>
      </c>
      <c r="C35" s="137"/>
      <c r="D35" s="129">
        <f t="shared" si="3"/>
        <v>139.08000000000001</v>
      </c>
      <c r="E35" s="129">
        <f t="shared" ref="E35" si="8">ROUND(E34*(1+(IFERROR(INDEX($D$66:$D$74,MATCH($B35,$C$66:$C$74,0),1),0)+IFERROR(INDEX($G$66:$G$74,MATCH($B35,$F$66:$F$74,0),1),0)+IFERROR(INDEX($J$66:$J$74,MATCH($B35,$I$66:$I$74,0),1),0))),2)</f>
        <v>32.549999999999997</v>
      </c>
      <c r="F35" s="129">
        <f>INDEX('Table 3 ID Wind_2030'!$F$10:$F$38,MATCH(B35,'Table 3 ID Wind_2030'!$B$10:$B$38,0),1)</f>
        <v>15.23</v>
      </c>
      <c r="G35" s="131">
        <f t="shared" si="4"/>
        <v>57.496092259597042</v>
      </c>
      <c r="H35" s="129">
        <f>ROUND(H34*(1+(IFERROR(INDEX($D$66:$D$74,MATCH($B35,$C$66:$C$74,0),1),0)+IFERROR(INDEX($G$66:$G$74,MATCH($B35,$F$66:$F$74,0),1),0)+IFERROR(INDEX(#REF!,MATCH($B35,$I$66:$I$74,0),1),0))),2)</f>
        <v>0</v>
      </c>
      <c r="I35" s="131">
        <f t="shared" si="5"/>
        <v>57.496092259597042</v>
      </c>
      <c r="J35" s="131">
        <f t="shared" si="6"/>
        <v>186.86</v>
      </c>
      <c r="K35" s="129">
        <f t="shared" si="1"/>
        <v>186.85999999999999</v>
      </c>
      <c r="L35" s="120"/>
      <c r="N35" s="118"/>
      <c r="R35" s="120"/>
      <c r="S35" s="120"/>
      <c r="T35" s="120"/>
      <c r="U35" s="120"/>
      <c r="V35" s="120"/>
      <c r="W35" s="120"/>
      <c r="X35" s="120"/>
      <c r="Y35" s="120"/>
      <c r="Z35" s="120"/>
      <c r="AA35" s="120"/>
    </row>
    <row r="36" spans="2:27">
      <c r="B36" s="136">
        <f t="shared" si="0"/>
        <v>2042</v>
      </c>
      <c r="C36" s="137"/>
      <c r="D36" s="129">
        <f t="shared" si="3"/>
        <v>142</v>
      </c>
      <c r="E36" s="129">
        <f t="shared" ref="E36" si="9">ROUND(E35*(1+(IFERROR(INDEX($D$66:$D$74,MATCH($B36,$C$66:$C$74,0),1),0)+IFERROR(INDEX($G$66:$G$74,MATCH($B36,$F$66:$F$74,0),1),0)+IFERROR(INDEX($J$66:$J$74,MATCH($B36,$I$66:$I$74,0),1),0))),2)</f>
        <v>33.229999999999997</v>
      </c>
      <c r="F36" s="129">
        <f>INDEX('Table 3 ID Wind_2030'!$F$10:$F$38,MATCH(B36,'Table 3 ID Wind_2030'!$B$10:$B$38,0),1)</f>
        <v>15.55</v>
      </c>
      <c r="G36" s="131">
        <f t="shared" si="4"/>
        <v>58.702260950904019</v>
      </c>
      <c r="H36" s="129">
        <f>ROUND(H35*(1+(IFERROR(INDEX($D$66:$D$74,MATCH($B36,$C$66:$C$74,0),1),0)+IFERROR(INDEX($G$66:$G$74,MATCH($B36,$F$66:$F$74,0),1),0)+IFERROR(INDEX(#REF!,MATCH($B36,$I$66:$I$74,0),1),0))),2)</f>
        <v>0</v>
      </c>
      <c r="I36" s="131">
        <f t="shared" si="5"/>
        <v>58.702260950904019</v>
      </c>
      <c r="J36" s="131">
        <f t="shared" si="6"/>
        <v>190.78</v>
      </c>
      <c r="K36" s="129">
        <f t="shared" si="1"/>
        <v>190.78</v>
      </c>
      <c r="L36" s="120"/>
      <c r="N36" s="118"/>
      <c r="R36" s="120"/>
      <c r="S36" s="120"/>
      <c r="T36" s="120"/>
      <c r="U36" s="120"/>
      <c r="V36" s="120"/>
      <c r="W36" s="120"/>
      <c r="X36" s="120"/>
      <c r="Y36" s="120"/>
      <c r="Z36" s="120"/>
      <c r="AA36" s="120"/>
    </row>
    <row r="37" spans="2:27">
      <c r="B37" s="136">
        <f t="shared" si="0"/>
        <v>2043</v>
      </c>
      <c r="C37" s="137"/>
      <c r="D37" s="129">
        <f t="shared" si="3"/>
        <v>144.97999999999999</v>
      </c>
      <c r="E37" s="129">
        <f t="shared" ref="E37" si="10">ROUND(E36*(1+(IFERROR(INDEX($D$66:$D$74,MATCH($B37,$C$66:$C$74,0),1),0)+IFERROR(INDEX($G$66:$G$74,MATCH($B37,$F$66:$F$74,0),1),0)+IFERROR(INDEX($J$66:$J$74,MATCH($B37,$I$66:$I$74,0),1),0))),2)</f>
        <v>33.93</v>
      </c>
      <c r="F37" s="129">
        <f>INDEX('Table 3 ID Wind_2030'!$F$10:$F$38,MATCH(B37,'Table 3 ID Wind_2030'!$B$10:$B$38,0),1)</f>
        <v>15.88</v>
      </c>
      <c r="G37" s="131">
        <f t="shared" si="4"/>
        <v>59.936122290735888</v>
      </c>
      <c r="H37" s="129">
        <f>ROUND(H36*(1+(IFERROR(INDEX($D$66:$D$74,MATCH($B37,$C$66:$C$74,0),1),0)+IFERROR(INDEX($G$66:$G$74,MATCH($B37,$F$66:$F$74,0),1),0)+IFERROR(INDEX(#REF!,MATCH($B37,$I$66:$I$74,0),1),0))),2)</f>
        <v>0</v>
      </c>
      <c r="I37" s="131">
        <f t="shared" si="5"/>
        <v>59.936122290735888</v>
      </c>
      <c r="J37" s="131">
        <f t="shared" si="6"/>
        <v>194.79</v>
      </c>
      <c r="K37" s="129">
        <f t="shared" si="1"/>
        <v>194.79</v>
      </c>
      <c r="L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</row>
    <row r="38" spans="2:27">
      <c r="B38" s="136"/>
      <c r="C38" s="137"/>
      <c r="D38" s="129"/>
      <c r="E38" s="129"/>
      <c r="F38" s="131"/>
      <c r="G38" s="129"/>
      <c r="H38" s="129"/>
      <c r="I38" s="131"/>
      <c r="J38" s="131"/>
      <c r="K38" s="129"/>
      <c r="L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</row>
    <row r="39" spans="2:27">
      <c r="B39" s="127"/>
      <c r="C39" s="132"/>
      <c r="D39" s="129"/>
      <c r="E39" s="129"/>
      <c r="F39" s="130"/>
      <c r="G39" s="129"/>
      <c r="H39" s="129"/>
      <c r="I39" s="131"/>
      <c r="J39" s="131"/>
      <c r="K39" s="138"/>
      <c r="R39" s="120"/>
      <c r="S39" s="120"/>
      <c r="T39" s="120"/>
      <c r="U39" s="120"/>
      <c r="V39" s="120"/>
      <c r="W39" s="120"/>
      <c r="X39" s="120"/>
      <c r="Y39" s="120"/>
      <c r="Z39" s="120"/>
      <c r="AA39" s="120"/>
    </row>
    <row r="40" spans="2:27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R40" s="120"/>
      <c r="S40" s="120"/>
      <c r="T40" s="120"/>
      <c r="U40" s="120"/>
      <c r="V40" s="120"/>
      <c r="W40" s="120"/>
      <c r="X40" s="120"/>
      <c r="Y40" s="120"/>
      <c r="Z40" s="120"/>
      <c r="AA40" s="120"/>
    </row>
    <row r="41" spans="2:27">
      <c r="R41" s="120"/>
      <c r="S41" s="120"/>
      <c r="T41" s="120"/>
      <c r="U41" s="120"/>
      <c r="V41" s="120"/>
      <c r="W41" s="120"/>
      <c r="X41" s="120"/>
      <c r="Y41" s="120"/>
      <c r="Z41" s="120"/>
      <c r="AA41" s="120"/>
    </row>
    <row r="42" spans="2:27" ht="14.25">
      <c r="B42" s="139" t="s">
        <v>25</v>
      </c>
      <c r="C42" s="140"/>
      <c r="D42" s="140"/>
      <c r="E42" s="140"/>
      <c r="F42" s="140"/>
      <c r="G42" s="140"/>
      <c r="H42" s="14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</row>
    <row r="43" spans="2:27">
      <c r="R43" s="120"/>
      <c r="S43" s="120"/>
      <c r="T43" s="120"/>
      <c r="U43" s="120"/>
      <c r="V43" s="120"/>
      <c r="W43" s="120"/>
      <c r="X43" s="120"/>
      <c r="Y43" s="120"/>
      <c r="Z43" s="120"/>
      <c r="AA43" s="120"/>
    </row>
    <row r="44" spans="2:27">
      <c r="B44" s="118" t="s">
        <v>63</v>
      </c>
      <c r="C44" s="141" t="s">
        <v>64</v>
      </c>
      <c r="D44" s="142" t="s">
        <v>102</v>
      </c>
      <c r="R44" s="120"/>
      <c r="S44" s="120"/>
      <c r="T44" s="120"/>
      <c r="U44" s="120"/>
      <c r="V44" s="120"/>
      <c r="W44" s="120"/>
      <c r="X44" s="120"/>
      <c r="Y44" s="120"/>
      <c r="Z44" s="120"/>
      <c r="AA44" s="120"/>
    </row>
    <row r="45" spans="2:27">
      <c r="C45" s="141" t="str">
        <f>C7</f>
        <v>(a)</v>
      </c>
      <c r="D45" s="118" t="s">
        <v>65</v>
      </c>
      <c r="R45" s="120"/>
      <c r="S45" s="120"/>
      <c r="T45" s="120"/>
      <c r="U45" s="120"/>
      <c r="V45" s="120"/>
      <c r="W45" s="120"/>
      <c r="X45" s="120"/>
      <c r="Y45" s="120"/>
      <c r="Z45" s="120"/>
      <c r="AA45" s="120"/>
    </row>
    <row r="46" spans="2:27">
      <c r="C46" s="141" t="str">
        <f>D7</f>
        <v>(b)</v>
      </c>
      <c r="D46" s="131" t="str">
        <f>"= "&amp;C7&amp;" x "&amp;C62</f>
        <v>= (a) x 0.06899</v>
      </c>
      <c r="R46" s="120"/>
      <c r="S46" s="120"/>
      <c r="T46" s="120"/>
      <c r="U46" s="120"/>
      <c r="V46" s="120"/>
      <c r="W46" s="120"/>
      <c r="X46" s="120"/>
      <c r="Y46" s="120"/>
      <c r="Z46" s="120"/>
      <c r="AA46" s="120"/>
    </row>
    <row r="47" spans="2:27">
      <c r="C47" s="141" t="str">
        <f>G7</f>
        <v>(e)</v>
      </c>
      <c r="D47" s="131" t="str">
        <f>"= ("&amp;$D$7&amp;" + "&amp;$E$7&amp;") /  (8.76 x "&amp;TEXT(C63,"0.0%")&amp;")"</f>
        <v>= ((b) + (c)) /  (8.76 x 37.1%)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</row>
    <row r="48" spans="2:27">
      <c r="C48" s="141" t="str">
        <f>I7</f>
        <v>(g)</v>
      </c>
      <c r="D48" s="131" t="str">
        <f>"= "&amp;$G$7&amp;" + "&amp;$H$7</f>
        <v>= (e) + (f)</v>
      </c>
      <c r="R48" s="120"/>
      <c r="S48" s="120"/>
      <c r="T48" s="120"/>
      <c r="U48" s="120"/>
      <c r="V48" s="120"/>
      <c r="W48" s="120"/>
      <c r="X48" s="120"/>
      <c r="Y48" s="120"/>
      <c r="Z48" s="120"/>
      <c r="AA48" s="120"/>
    </row>
    <row r="49" spans="2:27">
      <c r="C49" s="141" t="str">
        <f>K7</f>
        <v>(i)</v>
      </c>
      <c r="D49" s="85" t="str">
        <f>D44</f>
        <v>Plant Costs  - 2019 IRP Update - Table 6.1 &amp; 6.2</v>
      </c>
      <c r="R49" s="120"/>
      <c r="S49" s="120"/>
      <c r="T49" s="120"/>
      <c r="U49" s="120"/>
      <c r="V49" s="120"/>
      <c r="W49" s="120"/>
      <c r="X49" s="120"/>
      <c r="Y49" s="120"/>
      <c r="Z49" s="120"/>
      <c r="AA49" s="120"/>
    </row>
    <row r="50" spans="2:27">
      <c r="C50" s="141"/>
      <c r="D50" s="131"/>
      <c r="R50" s="120"/>
      <c r="S50" s="120"/>
      <c r="T50" s="120"/>
      <c r="U50" s="120"/>
      <c r="V50" s="120"/>
      <c r="W50" s="120"/>
      <c r="X50" s="120"/>
      <c r="Y50" s="120"/>
      <c r="Z50" s="120"/>
      <c r="AA50" s="120"/>
    </row>
    <row r="51" spans="2:27" ht="13.5" thickBot="1">
      <c r="R51" s="120"/>
      <c r="S51" s="120"/>
      <c r="T51" s="120"/>
      <c r="U51" s="120"/>
      <c r="V51" s="120"/>
      <c r="W51" s="120"/>
      <c r="X51" s="120"/>
      <c r="Y51" s="120"/>
      <c r="Z51" s="120"/>
      <c r="AA51" s="120"/>
    </row>
    <row r="52" spans="2:27" ht="13.5" thickBot="1">
      <c r="C52" s="42" t="str">
        <f>B2&amp;" - "&amp;B3</f>
        <v>2019 IRP Yakima Wind with Storage Resource - 37% Capacity Factor</v>
      </c>
      <c r="D52" s="143"/>
      <c r="E52" s="143"/>
      <c r="F52" s="143"/>
      <c r="G52" s="143"/>
      <c r="H52" s="143"/>
      <c r="I52" s="144"/>
      <c r="J52" s="144"/>
      <c r="K52" s="145"/>
      <c r="R52" s="120"/>
      <c r="S52" s="120"/>
      <c r="T52" s="120"/>
      <c r="U52" s="120"/>
      <c r="V52" s="120"/>
      <c r="W52" s="120"/>
      <c r="X52" s="120"/>
      <c r="Y52" s="120"/>
      <c r="Z52" s="120"/>
      <c r="AA52" s="120"/>
    </row>
    <row r="53" spans="2:27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  <c r="R53" s="120"/>
      <c r="S53" s="120"/>
      <c r="T53" s="120"/>
      <c r="U53" s="120"/>
      <c r="V53" s="120"/>
      <c r="W53" s="120"/>
      <c r="X53" s="120"/>
      <c r="Y53" s="120"/>
      <c r="Z53" s="120"/>
      <c r="AA53" s="120"/>
    </row>
    <row r="54" spans="2:27">
      <c r="P54" s="118" t="s">
        <v>103</v>
      </c>
      <c r="Q54" s="118">
        <v>2032</v>
      </c>
    </row>
    <row r="55" spans="2:27">
      <c r="B55" s="85" t="s">
        <v>101</v>
      </c>
      <c r="C55" s="171">
        <v>1879.5324259832769</v>
      </c>
      <c r="D55" s="118" t="s">
        <v>65</v>
      </c>
      <c r="T55" s="118" t="str">
        <f>$Q$56&amp;"Proposed Station Capital Costs"</f>
        <v>H_.GO2_WDSProposed Station Capital Costs</v>
      </c>
    </row>
    <row r="56" spans="2:27">
      <c r="B56" s="85" t="s">
        <v>101</v>
      </c>
      <c r="C56" s="270">
        <v>30.743277943329019</v>
      </c>
      <c r="D56" s="118" t="s">
        <v>68</v>
      </c>
      <c r="O56" s="118">
        <v>60.4</v>
      </c>
      <c r="P56" s="118" t="s">
        <v>32</v>
      </c>
      <c r="Q56" s="118" t="s">
        <v>171</v>
      </c>
      <c r="T56" s="118" t="str">
        <f>Q56&amp;"Proposed Station Fixed Costs"</f>
        <v>H_.GO2_WDSProposed Station Fixed Costs</v>
      </c>
      <c r="Z56" s="118" t="s">
        <v>110</v>
      </c>
      <c r="AA56" s="280">
        <f>PMT(0.0692,30,NPV(0.0692,AA23:AA52))</f>
        <v>0</v>
      </c>
    </row>
    <row r="57" spans="2:27" ht="24" customHeight="1">
      <c r="B57" s="85"/>
      <c r="C57" s="272"/>
      <c r="D57" s="118" t="s">
        <v>105</v>
      </c>
    </row>
    <row r="58" spans="2:27">
      <c r="B58" s="85" t="s">
        <v>101</v>
      </c>
      <c r="C58" s="270">
        <v>0</v>
      </c>
      <c r="D58" s="118" t="s">
        <v>69</v>
      </c>
      <c r="K58" s="120"/>
      <c r="L58" s="150"/>
      <c r="M58" s="52"/>
      <c r="N58" s="164"/>
      <c r="O58" s="52"/>
      <c r="P58" s="52"/>
      <c r="Q58" s="120"/>
      <c r="R58" s="120"/>
      <c r="T58" s="118" t="str">
        <f>$Q$56&amp;"Proposed Station Variable O&amp;M Costs"</f>
        <v>H_.GO2_WDSProposed Station Variable O&amp;M Costs</v>
      </c>
      <c r="U58" s="120"/>
      <c r="V58" s="120"/>
      <c r="W58" s="120"/>
      <c r="X58" s="120"/>
      <c r="Y58" s="120"/>
    </row>
    <row r="59" spans="2:27">
      <c r="B59" s="85"/>
      <c r="C59" s="159"/>
      <c r="D59" s="118" t="s">
        <v>70</v>
      </c>
      <c r="I59" s="198" t="s">
        <v>91</v>
      </c>
      <c r="L59" s="152"/>
      <c r="M59" s="153"/>
      <c r="O59" s="151"/>
      <c r="P59" s="120"/>
      <c r="Q59" s="215" t="str">
        <f>Q56&amp;Q54</f>
        <v>H_.GO2_WDS2032</v>
      </c>
      <c r="R59" s="120"/>
      <c r="T59" s="118" t="str">
        <f>$Q$57&amp;"Proposed Station Variable O&amp;M Costs"</f>
        <v>Proposed Station Variable O&amp;M Costs</v>
      </c>
      <c r="U59" s="120"/>
      <c r="V59" s="120"/>
      <c r="W59" s="120"/>
      <c r="X59" s="120"/>
      <c r="Y59" s="120"/>
    </row>
    <row r="60" spans="2:27">
      <c r="B60" s="371" t="str">
        <f>LEFT(RIGHT(INDEX('Table 3 TransCost'!$39:$39,1,MATCH(F60,'Table 3 TransCost'!$4:$4,0)),6),5)</f>
        <v>2030$</v>
      </c>
      <c r="C60" s="272">
        <f>INDEX('Table 3 TransCost'!$39:$39,1,MATCH(F60,'Table 3 TransCost'!$4:$4,0)+2)</f>
        <v>12.097273854334603</v>
      </c>
      <c r="D60" s="118" t="s">
        <v>218</v>
      </c>
      <c r="F60" s="276" t="s">
        <v>184</v>
      </c>
      <c r="K60" s="152"/>
      <c r="L60" s="152"/>
      <c r="M60" s="152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7">
      <c r="B61" s="85"/>
      <c r="C61" s="201"/>
      <c r="K61" s="152"/>
      <c r="L61" s="152"/>
      <c r="M61" s="152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7">
      <c r="C62" s="271">
        <v>6.8989999999999996E-2</v>
      </c>
      <c r="D62" s="118" t="s">
        <v>36</v>
      </c>
      <c r="K62" s="156"/>
      <c r="L62" s="157"/>
      <c r="M62" s="157"/>
      <c r="O62" s="158"/>
    </row>
    <row r="63" spans="2:27">
      <c r="C63" s="209">
        <v>0.371</v>
      </c>
      <c r="D63" s="118" t="s">
        <v>37</v>
      </c>
    </row>
    <row r="64" spans="2:27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2.1000000000000001E-2</v>
      </c>
    </row>
    <row r="69" spans="3:14">
      <c r="C69" s="87">
        <f t="shared" si="11"/>
        <v>2020</v>
      </c>
      <c r="D69" s="41">
        <v>1.9E-2</v>
      </c>
      <c r="E69" s="85"/>
      <c r="F69" s="87">
        <f t="shared" si="12"/>
        <v>2029</v>
      </c>
      <c r="G69" s="41">
        <v>2.3E-2</v>
      </c>
      <c r="H69" s="41"/>
      <c r="I69" s="87">
        <f t="shared" si="13"/>
        <v>2038</v>
      </c>
      <c r="J69" s="41">
        <v>2.1000000000000001E-2</v>
      </c>
    </row>
    <row r="70" spans="3:14">
      <c r="C70" s="87">
        <f t="shared" si="11"/>
        <v>2021</v>
      </c>
      <c r="D70" s="41">
        <v>0.02</v>
      </c>
      <c r="E70" s="85"/>
      <c r="F70" s="87">
        <f t="shared" si="12"/>
        <v>2030</v>
      </c>
      <c r="G70" s="41">
        <v>2.1999999999999999E-2</v>
      </c>
      <c r="H70" s="41"/>
      <c r="I70" s="87">
        <f t="shared" si="13"/>
        <v>2039</v>
      </c>
      <c r="J70" s="41">
        <v>2.1000000000000001E-2</v>
      </c>
    </row>
    <row r="71" spans="3:14">
      <c r="C71" s="87">
        <f t="shared" si="11"/>
        <v>2022</v>
      </c>
      <c r="D71" s="41">
        <v>2.5000000000000001E-2</v>
      </c>
      <c r="E71" s="85"/>
      <c r="F71" s="87">
        <f t="shared" si="12"/>
        <v>2031</v>
      </c>
      <c r="G71" s="41">
        <v>2.1999999999999999E-2</v>
      </c>
      <c r="H71" s="41"/>
      <c r="I71" s="87">
        <f t="shared" si="13"/>
        <v>2040</v>
      </c>
      <c r="J71" s="41">
        <v>2.1000000000000001E-2</v>
      </c>
    </row>
    <row r="72" spans="3:14" s="120" customFormat="1">
      <c r="C72" s="87">
        <f t="shared" si="11"/>
        <v>2023</v>
      </c>
      <c r="D72" s="41">
        <v>2.5000000000000001E-2</v>
      </c>
      <c r="E72" s="86"/>
      <c r="F72" s="87">
        <f t="shared" si="12"/>
        <v>2032</v>
      </c>
      <c r="G72" s="41">
        <v>2.1999999999999999E-2</v>
      </c>
      <c r="H72" s="41"/>
      <c r="I72" s="87">
        <f t="shared" si="13"/>
        <v>2041</v>
      </c>
      <c r="J72" s="41">
        <v>2.1000000000000001E-2</v>
      </c>
      <c r="N72" s="165"/>
    </row>
    <row r="73" spans="3:14" s="120" customFormat="1">
      <c r="C73" s="87">
        <f t="shared" si="11"/>
        <v>2024</v>
      </c>
      <c r="D73" s="41">
        <v>2.4E-2</v>
      </c>
      <c r="E73" s="86"/>
      <c r="F73" s="87">
        <f t="shared" si="12"/>
        <v>2033</v>
      </c>
      <c r="G73" s="41">
        <v>2.1000000000000001E-2</v>
      </c>
      <c r="H73" s="41"/>
      <c r="I73" s="87">
        <f t="shared" si="13"/>
        <v>2042</v>
      </c>
      <c r="J73" s="41">
        <v>2.1000000000000001E-2</v>
      </c>
      <c r="N73" s="165"/>
    </row>
    <row r="74" spans="3:14" s="120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2.1000000000000001E-2</v>
      </c>
      <c r="H74" s="41"/>
      <c r="I74" s="87">
        <f t="shared" si="13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5"/>
  <sheetViews>
    <sheetView topLeftCell="A2" zoomScale="70" zoomScaleNormal="70" workbookViewId="0">
      <selection activeCell="K14" sqref="K14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5">
        <v>0</v>
      </c>
      <c r="DC3" t="s">
        <v>88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9" t="s">
        <v>58</v>
      </c>
      <c r="Q4" s="169"/>
      <c r="R4" s="169"/>
      <c r="DB4">
        <v>1700</v>
      </c>
      <c r="DC4" t="s">
        <v>89</v>
      </c>
    </row>
    <row r="5" spans="2:107" customFormat="1" ht="15.75">
      <c r="B5" s="4" t="str">
        <f ca="1">'Table 5'!M4&amp; " - "&amp;TEXT(Study_MW,"#.0")&amp;" MW and "&amp;TEXT(Study_CF,"#.0%")&amp;" CF"</f>
        <v>Utah 2020.Q1 - 100.0 MW and 100.0% CF</v>
      </c>
      <c r="C5" s="4"/>
      <c r="D5" s="4"/>
      <c r="E5" s="4"/>
      <c r="F5" s="4"/>
      <c r="G5" s="1"/>
      <c r="H5" s="36"/>
      <c r="I5" s="5"/>
      <c r="P5" s="170">
        <v>0.19110185946338937</v>
      </c>
      <c r="Q5" s="170">
        <v>0.17942392948633207</v>
      </c>
      <c r="R5" s="170">
        <v>0.1271079447656262</v>
      </c>
      <c r="S5" s="170">
        <v>0.76028737403417868</v>
      </c>
      <c r="T5" s="170">
        <v>0.76028737403417868</v>
      </c>
      <c r="U5" s="170">
        <v>0.38371436341206699</v>
      </c>
      <c r="V5" s="170">
        <v>0.3269329984960806</v>
      </c>
      <c r="W5" s="170">
        <v>0.3269329984960806</v>
      </c>
      <c r="X5" s="170">
        <v>0.35161226356897352</v>
      </c>
      <c r="Y5" s="170">
        <v>0.35161226356897352</v>
      </c>
      <c r="Z5" s="170">
        <v>0.30222943999568985</v>
      </c>
      <c r="AA5" s="170">
        <v>0.31403713524649896</v>
      </c>
      <c r="AB5" s="170">
        <v>0.31403713524649896</v>
      </c>
      <c r="AC5" s="170">
        <v>0.31403713524649896</v>
      </c>
      <c r="AD5" s="170">
        <v>0.30222943999568985</v>
      </c>
      <c r="AE5" s="170">
        <v>0.30222943999568985</v>
      </c>
      <c r="AF5" s="170">
        <v>0.30222943999568985</v>
      </c>
      <c r="AG5" s="170">
        <v>0.96944331644387627</v>
      </c>
      <c r="AH5" s="170"/>
      <c r="AI5" s="170"/>
      <c r="AJ5" s="170"/>
      <c r="AK5" s="170"/>
      <c r="DB5" s="176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14" t="s">
        <v>74</v>
      </c>
      <c r="AM7" s="214"/>
    </row>
    <row r="8" spans="2:107" s="211" customFormat="1" ht="40.5" customHeight="1">
      <c r="B8" s="202"/>
      <c r="C8" s="202"/>
      <c r="D8" s="202"/>
      <c r="E8" s="204"/>
      <c r="F8" s="205"/>
      <c r="G8" s="203" t="s">
        <v>14</v>
      </c>
      <c r="H8" s="207"/>
      <c r="I8" s="213"/>
      <c r="K8"/>
      <c r="L8"/>
      <c r="M8"/>
      <c r="P8" s="214"/>
      <c r="Q8" s="214"/>
      <c r="R8" s="214"/>
      <c r="S8" s="211" t="s">
        <v>201</v>
      </c>
      <c r="T8" s="219" t="s">
        <v>202</v>
      </c>
      <c r="U8" s="216"/>
      <c r="V8" s="219" t="s">
        <v>203</v>
      </c>
      <c r="W8" s="219" t="s">
        <v>204</v>
      </c>
      <c r="X8" s="219" t="s">
        <v>206</v>
      </c>
      <c r="Y8" s="219" t="s">
        <v>207</v>
      </c>
      <c r="Z8" s="216" t="s">
        <v>209</v>
      </c>
      <c r="AA8" s="211" t="s">
        <v>211</v>
      </c>
      <c r="AB8" s="219" t="s">
        <v>212</v>
      </c>
      <c r="AC8" s="219" t="s">
        <v>213</v>
      </c>
      <c r="AD8" s="211" t="s">
        <v>215</v>
      </c>
      <c r="AE8" s="219" t="s">
        <v>216</v>
      </c>
      <c r="AF8" s="219" t="s">
        <v>217</v>
      </c>
      <c r="AG8" s="219" t="s">
        <v>168</v>
      </c>
      <c r="AL8" s="219">
        <f>P8</f>
        <v>0</v>
      </c>
      <c r="AM8" s="219"/>
      <c r="AN8" s="219">
        <f t="shared" ref="AN8" si="0">R8</f>
        <v>0</v>
      </c>
      <c r="AO8" s="219" t="str">
        <f t="shared" ref="AO8" si="1">S8</f>
        <v>IRP19Wind_wS_YK_T 2029</v>
      </c>
      <c r="AP8" s="219" t="str">
        <f t="shared" ref="AP8" si="2">T8</f>
        <v>IRP19Wind_wS_YK_T 2037</v>
      </c>
      <c r="AQ8" s="219">
        <f t="shared" ref="AQ8" si="3">U8</f>
        <v>0</v>
      </c>
      <c r="AR8" s="219" t="str">
        <f t="shared" ref="AR8" si="4">V8</f>
        <v>IRP19Solar_wS_YK_T 2024</v>
      </c>
      <c r="AS8" s="219" t="str">
        <f t="shared" ref="AS8" si="5">W8</f>
        <v>IRP19Solar_wS_YK_T 2036</v>
      </c>
      <c r="AT8" s="219" t="str">
        <f t="shared" ref="AT8" si="6">X8</f>
        <v>IRP19Solar_wS_OR_T 2024</v>
      </c>
      <c r="AU8" s="219" t="str">
        <f t="shared" ref="AU8" si="7">Y8</f>
        <v>IRP19Solar_wS_OR_T 2033</v>
      </c>
      <c r="AV8" s="219" t="str">
        <f t="shared" ref="AV8" si="8">Z8</f>
        <v>IRP19Solar_wS_UT_UTN_T 2024</v>
      </c>
      <c r="AW8" s="219" t="str">
        <f t="shared" ref="AW8" si="9">AA8</f>
        <v>IRP19Solar_wS_WY_JB_T 2024</v>
      </c>
      <c r="AX8" s="219" t="str">
        <f t="shared" ref="AX8" si="10">AB8</f>
        <v>IRP19Solar_wS_WY_JB_T 2029</v>
      </c>
      <c r="AY8" s="219" t="str">
        <f t="shared" ref="AY8" si="11">AC8</f>
        <v>IRP19Solar_wS_WY_JB_T 2038</v>
      </c>
      <c r="AZ8" s="219" t="str">
        <f t="shared" ref="AZ8" si="12">AD8</f>
        <v>IRP19Solar_wS_UT_UTS_T 2024</v>
      </c>
      <c r="BA8" s="219" t="str">
        <f t="shared" ref="BA8" si="13">AE8</f>
        <v>IRP19Solar_wS_UT_UTS_T 2030</v>
      </c>
      <c r="BB8" s="219" t="str">
        <f>AF8</f>
        <v>IRP19Solar_wS_UT_UTS_T 2037</v>
      </c>
      <c r="BC8" s="219" t="str">
        <f>AG8</f>
        <v>IRP19_SCCT_NTN_2026_185MW</v>
      </c>
      <c r="BD8" s="219"/>
      <c r="BE8" s="219"/>
      <c r="BF8" s="219"/>
      <c r="BH8" s="214" t="s">
        <v>75</v>
      </c>
      <c r="BI8" s="214"/>
      <c r="BJ8" s="214"/>
      <c r="BK8" s="219" t="str">
        <f t="shared" ref="BK8:BY9" si="14">S8</f>
        <v>IRP19Wind_wS_YK_T 2029</v>
      </c>
      <c r="BL8" s="219" t="str">
        <f t="shared" si="14"/>
        <v>IRP19Wind_wS_YK_T 2037</v>
      </c>
      <c r="BM8" s="219">
        <f t="shared" si="14"/>
        <v>0</v>
      </c>
      <c r="BN8" s="219" t="str">
        <f t="shared" si="14"/>
        <v>IRP19Solar_wS_YK_T 2024</v>
      </c>
      <c r="BO8" s="219" t="str">
        <f t="shared" si="14"/>
        <v>IRP19Solar_wS_YK_T 2036</v>
      </c>
      <c r="BP8" s="219" t="str">
        <f t="shared" si="14"/>
        <v>IRP19Solar_wS_OR_T 2024</v>
      </c>
      <c r="BQ8" s="219" t="str">
        <f t="shared" si="14"/>
        <v>IRP19Solar_wS_OR_T 2033</v>
      </c>
      <c r="BR8" s="219" t="str">
        <f t="shared" si="14"/>
        <v>IRP19Solar_wS_UT_UTN_T 2024</v>
      </c>
      <c r="BS8" s="219" t="str">
        <f t="shared" si="14"/>
        <v>IRP19Solar_wS_WY_JB_T 2024</v>
      </c>
      <c r="BT8" s="219" t="str">
        <f t="shared" si="14"/>
        <v>IRP19Solar_wS_WY_JB_T 2029</v>
      </c>
      <c r="BU8" s="219" t="str">
        <f t="shared" si="14"/>
        <v>IRP19Solar_wS_WY_JB_T 2038</v>
      </c>
      <c r="BV8" s="219" t="str">
        <f t="shared" si="14"/>
        <v>IRP19Solar_wS_UT_UTS_T 2024</v>
      </c>
      <c r="BW8" s="219" t="str">
        <f t="shared" si="14"/>
        <v>IRP19Solar_wS_UT_UTS_T 2030</v>
      </c>
      <c r="BX8" s="219" t="str">
        <f t="shared" si="14"/>
        <v>IRP19Solar_wS_UT_UTS_T 2037</v>
      </c>
      <c r="BY8" s="219" t="str">
        <f t="shared" si="14"/>
        <v>IRP19_SCCT_NTN_2026_185MW</v>
      </c>
      <c r="BZ8" s="219"/>
      <c r="CA8" s="219"/>
      <c r="CB8" s="219"/>
      <c r="CD8" s="214" t="s">
        <v>76</v>
      </c>
      <c r="CE8" s="214"/>
      <c r="CF8" s="214"/>
      <c r="CI8" s="219"/>
      <c r="CN8" s="219"/>
      <c r="DB8" s="188" t="s">
        <v>75</v>
      </c>
      <c r="DC8" s="189" t="s">
        <v>76</v>
      </c>
    </row>
    <row r="9" spans="2:107" s="197" customFormat="1" ht="76.5" customHeight="1">
      <c r="B9" s="202"/>
      <c r="C9" s="203" t="s">
        <v>6</v>
      </c>
      <c r="D9" s="203"/>
      <c r="E9" s="204" t="s">
        <v>18</v>
      </c>
      <c r="F9" s="205"/>
      <c r="G9" s="206">
        <f ca="1">Study_CF</f>
        <v>1</v>
      </c>
      <c r="H9" s="207"/>
      <c r="I9" s="208"/>
      <c r="K9"/>
      <c r="L9"/>
      <c r="M9"/>
      <c r="P9" s="197" t="s">
        <v>196</v>
      </c>
      <c r="Q9" s="219" t="s">
        <v>230</v>
      </c>
      <c r="R9" s="197" t="s">
        <v>197</v>
      </c>
      <c r="S9" s="197" t="s">
        <v>198</v>
      </c>
      <c r="T9" s="219" t="s">
        <v>198</v>
      </c>
      <c r="U9" s="216" t="s">
        <v>199</v>
      </c>
      <c r="V9" s="197" t="s">
        <v>200</v>
      </c>
      <c r="W9" s="219" t="s">
        <v>200</v>
      </c>
      <c r="X9" s="197" t="s">
        <v>205</v>
      </c>
      <c r="Y9" s="219" t="s">
        <v>205</v>
      </c>
      <c r="Z9" s="216" t="s">
        <v>208</v>
      </c>
      <c r="AA9" s="197" t="s">
        <v>210</v>
      </c>
      <c r="AB9" s="219" t="s">
        <v>210</v>
      </c>
      <c r="AC9" s="219" t="s">
        <v>210</v>
      </c>
      <c r="AD9" s="197" t="s">
        <v>214</v>
      </c>
      <c r="AE9" s="219" t="s">
        <v>214</v>
      </c>
      <c r="AF9" s="219" t="s">
        <v>214</v>
      </c>
      <c r="AG9" s="211" t="s">
        <v>168</v>
      </c>
      <c r="AH9" s="211"/>
      <c r="AI9" s="211"/>
      <c r="AK9" s="210"/>
      <c r="AL9" s="197" t="str">
        <f>P9</f>
        <v>IRP19Wind_ID_T</v>
      </c>
      <c r="AM9" s="219" t="str">
        <f t="shared" ref="AM9:BA9" si="15">Q9</f>
        <v>IRP19Wind_UT_CP_T</v>
      </c>
      <c r="AN9" s="197" t="str">
        <f t="shared" si="15"/>
        <v>IRP19Wind_WYAE_T</v>
      </c>
      <c r="AO9" s="197" t="str">
        <f t="shared" si="15"/>
        <v>IRP19Wind_wS_YK_T</v>
      </c>
      <c r="AP9" s="197" t="str">
        <f t="shared" si="15"/>
        <v>IRP19Wind_wS_YK_T</v>
      </c>
      <c r="AQ9" s="216" t="str">
        <f t="shared" si="15"/>
        <v>IRP19Wind_wS_ID_T</v>
      </c>
      <c r="AR9" s="197" t="str">
        <f t="shared" si="15"/>
        <v>IRP19Solar_wS_YK_T</v>
      </c>
      <c r="AS9" s="197" t="str">
        <f t="shared" si="15"/>
        <v>IRP19Solar_wS_YK_T</v>
      </c>
      <c r="AT9" s="197" t="str">
        <f t="shared" si="15"/>
        <v>IRP19Solar_wS_OR_T</v>
      </c>
      <c r="AU9" s="197" t="str">
        <f t="shared" si="15"/>
        <v>IRP19Solar_wS_OR_T</v>
      </c>
      <c r="AV9" s="216" t="str">
        <f t="shared" si="15"/>
        <v>IRP19Solar_wS_UT_UTN_T</v>
      </c>
      <c r="AW9" s="197" t="str">
        <f t="shared" si="15"/>
        <v>IRP19Solar_wS_WY_JB_T</v>
      </c>
      <c r="AX9" s="211" t="str">
        <f t="shared" si="15"/>
        <v>IRP19Solar_wS_WY_JB_T</v>
      </c>
      <c r="AY9" s="211" t="str">
        <f t="shared" si="15"/>
        <v>IRP19Solar_wS_WY_JB_T</v>
      </c>
      <c r="AZ9" s="211" t="str">
        <f t="shared" si="15"/>
        <v>IRP19Solar_wS_UT_UTS_T</v>
      </c>
      <c r="BA9" s="211" t="str">
        <f t="shared" si="15"/>
        <v>IRP19Solar_wS_UT_UTS_T</v>
      </c>
      <c r="BB9" s="211" t="str">
        <f>AF9</f>
        <v>IRP19Solar_wS_UT_UTS_T</v>
      </c>
      <c r="BC9" s="219" t="str">
        <f>AG9</f>
        <v>IRP19_SCCT_NTN_2026_185MW</v>
      </c>
      <c r="BD9" s="211"/>
      <c r="BE9" s="211"/>
      <c r="BF9" s="211"/>
      <c r="BH9" s="197" t="str">
        <f>P9</f>
        <v>IRP19Wind_ID_T</v>
      </c>
      <c r="BI9" s="219" t="str">
        <f>Q9</f>
        <v>IRP19Wind_UT_CP_T</v>
      </c>
      <c r="BJ9" s="219" t="str">
        <f>R9</f>
        <v>IRP19Wind_WYAE_T</v>
      </c>
      <c r="BK9" s="219" t="str">
        <f t="shared" si="14"/>
        <v>IRP19Wind_wS_YK_T</v>
      </c>
      <c r="BL9" s="219" t="str">
        <f t="shared" si="14"/>
        <v>IRP19Wind_wS_YK_T</v>
      </c>
      <c r="BM9" s="219" t="str">
        <f t="shared" si="14"/>
        <v>IRP19Wind_wS_ID_T</v>
      </c>
      <c r="BN9" s="219" t="str">
        <f t="shared" si="14"/>
        <v>IRP19Solar_wS_YK_T</v>
      </c>
      <c r="BO9" s="219" t="str">
        <f t="shared" si="14"/>
        <v>IRP19Solar_wS_YK_T</v>
      </c>
      <c r="BP9" s="219" t="str">
        <f t="shared" si="14"/>
        <v>IRP19Solar_wS_OR_T</v>
      </c>
      <c r="BQ9" s="219" t="str">
        <f t="shared" si="14"/>
        <v>IRP19Solar_wS_OR_T</v>
      </c>
      <c r="BR9" s="219" t="str">
        <f t="shared" si="14"/>
        <v>IRP19Solar_wS_UT_UTN_T</v>
      </c>
      <c r="BS9" s="219" t="str">
        <f t="shared" si="14"/>
        <v>IRP19Solar_wS_WY_JB_T</v>
      </c>
      <c r="BT9" s="219" t="str">
        <f t="shared" si="14"/>
        <v>IRP19Solar_wS_WY_JB_T</v>
      </c>
      <c r="BU9" s="219" t="str">
        <f t="shared" si="14"/>
        <v>IRP19Solar_wS_WY_JB_T</v>
      </c>
      <c r="BV9" s="219" t="str">
        <f t="shared" si="14"/>
        <v>IRP19Solar_wS_UT_UTS_T</v>
      </c>
      <c r="BW9" s="219" t="str">
        <f t="shared" si="14"/>
        <v>IRP19Solar_wS_UT_UTS_T</v>
      </c>
      <c r="BX9" s="219" t="str">
        <f t="shared" si="14"/>
        <v>IRP19Solar_wS_UT_UTS_T</v>
      </c>
      <c r="BY9" s="219" t="str">
        <f t="shared" si="14"/>
        <v>IRP19_SCCT_NTN_2026_185MW</v>
      </c>
      <c r="BZ9" s="219"/>
      <c r="CA9" s="219"/>
      <c r="CB9" s="219"/>
      <c r="CD9" s="197" t="str">
        <f t="shared" ref="CD9:CX9" si="16">BH9</f>
        <v>IRP19Wind_ID_T</v>
      </c>
      <c r="CE9" s="219" t="str">
        <f t="shared" si="16"/>
        <v>IRP19Wind_UT_CP_T</v>
      </c>
      <c r="CF9" s="211" t="str">
        <f t="shared" si="16"/>
        <v>IRP19Wind_WYAE_T</v>
      </c>
      <c r="CG9" s="211" t="str">
        <f t="shared" si="16"/>
        <v>IRP19Wind_wS_YK_T</v>
      </c>
      <c r="CH9" s="211" t="str">
        <f t="shared" si="16"/>
        <v>IRP19Wind_wS_YK_T</v>
      </c>
      <c r="CI9" s="217" t="str">
        <f t="shared" si="16"/>
        <v>IRP19Wind_wS_ID_T</v>
      </c>
      <c r="CJ9" s="211" t="str">
        <f t="shared" si="16"/>
        <v>IRP19Solar_wS_YK_T</v>
      </c>
      <c r="CK9" s="211" t="str">
        <f t="shared" si="16"/>
        <v>IRP19Solar_wS_YK_T</v>
      </c>
      <c r="CL9" s="211" t="str">
        <f t="shared" si="16"/>
        <v>IRP19Solar_wS_OR_T</v>
      </c>
      <c r="CM9" s="211" t="str">
        <f t="shared" si="16"/>
        <v>IRP19Solar_wS_OR_T</v>
      </c>
      <c r="CN9" s="217" t="str">
        <f t="shared" si="16"/>
        <v>IRP19Solar_wS_UT_UTN_T</v>
      </c>
      <c r="CO9" s="211" t="str">
        <f t="shared" si="16"/>
        <v>IRP19Solar_wS_WY_JB_T</v>
      </c>
      <c r="CP9" s="211" t="str">
        <f t="shared" si="16"/>
        <v>IRP19Solar_wS_WY_JB_T</v>
      </c>
      <c r="CQ9" s="211" t="str">
        <f t="shared" si="16"/>
        <v>IRP19Solar_wS_WY_JB_T</v>
      </c>
      <c r="CR9" s="211" t="str">
        <f t="shared" si="16"/>
        <v>IRP19Solar_wS_UT_UTS_T</v>
      </c>
      <c r="CS9" s="211" t="str">
        <f t="shared" si="16"/>
        <v>IRP19Solar_wS_UT_UTS_T</v>
      </c>
      <c r="CT9" s="211" t="str">
        <f t="shared" si="16"/>
        <v>IRP19Solar_wS_UT_UTS_T</v>
      </c>
      <c r="CU9" s="211" t="str">
        <f t="shared" si="16"/>
        <v>IRP19_SCCT_NTN_2026_185MW</v>
      </c>
      <c r="CV9" s="211">
        <f t="shared" si="16"/>
        <v>0</v>
      </c>
      <c r="CW9" s="211">
        <f t="shared" si="16"/>
        <v>0</v>
      </c>
      <c r="CX9" s="211">
        <f t="shared" si="16"/>
        <v>0</v>
      </c>
      <c r="CY9" s="197" t="s">
        <v>77</v>
      </c>
      <c r="DB9" s="197" t="s">
        <v>86</v>
      </c>
      <c r="DC9" s="197" t="s">
        <v>86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 t="s">
        <v>231</v>
      </c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I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72"/>
      <c r="C12" s="173"/>
      <c r="D12" s="172"/>
      <c r="E12" s="12"/>
      <c r="F12" s="12"/>
      <c r="G12" s="3"/>
      <c r="H12" s="36"/>
      <c r="I12" s="89"/>
      <c r="BU12" s="369"/>
    </row>
    <row r="13" spans="2:107" customFormat="1">
      <c r="B13" s="15">
        <f>'Table 5'!J13</f>
        <v>2020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14.22268619575631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14.22268619575631</v>
      </c>
      <c r="H13" s="36"/>
      <c r="I13" s="176"/>
      <c r="J13" s="176"/>
      <c r="O13">
        <f t="shared" ref="O13:O32" si="18">B13</f>
        <v>2020</v>
      </c>
      <c r="P13">
        <v>0</v>
      </c>
      <c r="Q13">
        <v>0</v>
      </c>
      <c r="R13">
        <v>0</v>
      </c>
      <c r="S13" s="368">
        <v>0</v>
      </c>
      <c r="T13" s="368">
        <v>0</v>
      </c>
      <c r="U13" s="176">
        <v>0</v>
      </c>
      <c r="V13" s="368">
        <v>0</v>
      </c>
      <c r="W13" s="368">
        <v>0</v>
      </c>
      <c r="X13" s="368">
        <v>0</v>
      </c>
      <c r="Y13" s="368">
        <v>0</v>
      </c>
      <c r="Z13" s="368">
        <v>0</v>
      </c>
      <c r="AA13" s="368">
        <v>0</v>
      </c>
      <c r="AB13" s="368">
        <v>0</v>
      </c>
      <c r="AC13" s="368">
        <v>0</v>
      </c>
      <c r="AD13" s="368">
        <v>0</v>
      </c>
      <c r="AE13" s="368">
        <v>0</v>
      </c>
      <c r="AF13" s="368">
        <v>0</v>
      </c>
      <c r="AG13" s="368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2020</v>
      </c>
      <c r="BH13" s="131">
        <f>IFERROR(VLOOKUP($O13,'Table 3 ID Wind_2030'!$B$10:$K$37,10,FALSE),0)</f>
        <v>0</v>
      </c>
      <c r="BI13" s="131">
        <f>IFERROR(VLOOKUP($O13,'Table 3 UT CP Wind_2023'!$B$10:$K$37,10,FALSE),0)</f>
        <v>0</v>
      </c>
      <c r="BJ13" s="131">
        <f>IFERROR(VLOOKUP($O13,'Table 3 WYAE Wind_2024'!$B$10:$L$37,11,FALSE),0)</f>
        <v>0</v>
      </c>
      <c r="BK13" s="131">
        <f>IFERROR(VLOOKUP($O13,'Table 3 YK Wind wS_2029'!$B$10:$K$37,10,FALSE),0)</f>
        <v>0</v>
      </c>
      <c r="BL13" s="370"/>
      <c r="BM13" s="131">
        <f>IFERROR(VLOOKUP($O13,'Table 3 ID Wind wS_2032'!$B$10:$K$38,10,FALSE),0)</f>
        <v>0</v>
      </c>
      <c r="BN13" s="131">
        <f>IFERROR(VLOOKUP($O13,'Table 3 PV wS YK_2024'!$B$10:$K$40,10,FALSE),0)</f>
        <v>25.49</v>
      </c>
      <c r="BO13" s="370"/>
      <c r="BP13" s="131">
        <f>IFERROR(VLOOKUP($O13,'Table 3 PV wS SO_2024'!$B$10:$K$40,10,FALSE),0)</f>
        <v>25.49</v>
      </c>
      <c r="BQ13" s="370"/>
      <c r="BR13" s="131">
        <f>IFERROR(VLOOKUP($O13,'Table 3 PV wS UTN_2024'!$B$10:$K$43,10,FALSE),0)</f>
        <v>25.49</v>
      </c>
      <c r="BS13" s="131">
        <f>IFERROR(VLOOKUP($O13,'Table 3 PV wS JB_2024'!$B$10:$K$40,10,FALSE),0)</f>
        <v>25.49</v>
      </c>
      <c r="BT13" s="131">
        <f>IFERROR(VLOOKUP($O13,'Table 3 PV wS JB_2029'!$B$10:$K$40,10,FALSE),0)</f>
        <v>25.49</v>
      </c>
      <c r="BU13" s="370"/>
      <c r="BV13" s="131">
        <f>IFERROR(VLOOKUP($O13,'Table 3 PV wS UTS_2024'!$B$10:$K$38,10,FALSE),0)</f>
        <v>25.49</v>
      </c>
      <c r="BW13" s="131">
        <f>IFERROR(VLOOKUP($O13,'Table 3 PV wS UTS_2030'!$B$10:$K$38,10,FALSE),0)</f>
        <v>25.49</v>
      </c>
      <c r="BX13" s="369"/>
      <c r="BY13" s="131">
        <f>IFERROR(VLOOKUP($O13,'Table 3 185 MW (NTN) 2026)'!$B$13:$L$40,11,FALSE),0)</f>
        <v>8.0500000000000007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6">SUM(CD13:CX13)</f>
        <v>0</v>
      </c>
      <c r="DA13">
        <f t="shared" ref="DA13:DA30" si="37">O13</f>
        <v>2020</v>
      </c>
      <c r="DB13" s="89">
        <f>IFERROR(VLOOKUP($DA13,'Table 3 TransCost'!$B$10:$E$40,4,FALSE),0)</f>
        <v>0</v>
      </c>
      <c r="DC13" s="176">
        <f>$DB$5*DB13/1000</f>
        <v>0</v>
      </c>
    </row>
    <row r="14" spans="2:107" customFormat="1">
      <c r="B14" s="15">
        <f t="shared" ref="B14:B38" si="38">B13+1</f>
        <v>2021</v>
      </c>
      <c r="C14" s="9">
        <f t="shared" si="17"/>
        <v>0</v>
      </c>
      <c r="D14" s="45"/>
      <c r="E14" s="9">
        <f t="shared" ref="E14:E32" ca="1" si="39">SUMIF(INDIRECT("'Table 5'!$J$"&amp;$K$3&amp;":$J$"&amp;$K$4),B14,INDIRECT("'Table 5'!$c$"&amp;$K$3&amp;":$c$"&amp;$K$4))/SUMIF(INDIRECT("'Table 5'!$J$"&amp;$K$3&amp;":$J$"&amp;$K$4),B14,INDIRECT("'Table 5'!$f$"&amp;$K$3&amp;":$f$"&amp;$K$4))</f>
        <v>16.687778139102676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16.687778139102676</v>
      </c>
      <c r="H14" s="36"/>
      <c r="I14" s="176"/>
      <c r="J14" s="176"/>
      <c r="O14">
        <f t="shared" si="18"/>
        <v>2021</v>
      </c>
      <c r="P14">
        <v>0</v>
      </c>
      <c r="Q14">
        <v>0</v>
      </c>
      <c r="R14">
        <v>0</v>
      </c>
      <c r="S14" s="368">
        <v>0</v>
      </c>
      <c r="T14" s="368">
        <v>0</v>
      </c>
      <c r="U14" s="176">
        <v>0</v>
      </c>
      <c r="V14" s="368">
        <v>0</v>
      </c>
      <c r="W14" s="368">
        <v>0</v>
      </c>
      <c r="X14" s="368">
        <v>0</v>
      </c>
      <c r="Y14" s="368">
        <v>0</v>
      </c>
      <c r="Z14" s="368">
        <v>0</v>
      </c>
      <c r="AA14" s="368">
        <v>0</v>
      </c>
      <c r="AB14" s="368">
        <v>0</v>
      </c>
      <c r="AC14" s="368">
        <v>0</v>
      </c>
      <c r="AD14" s="368">
        <v>0</v>
      </c>
      <c r="AE14" s="368">
        <v>0</v>
      </c>
      <c r="AF14" s="368">
        <v>0</v>
      </c>
      <c r="AG14" s="368">
        <v>0</v>
      </c>
      <c r="AL14">
        <f t="shared" si="19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  <c r="AS14">
        <f t="shared" si="25"/>
        <v>0</v>
      </c>
      <c r="AT14">
        <f t="shared" si="26"/>
        <v>0</v>
      </c>
      <c r="AU14">
        <f t="shared" si="27"/>
        <v>0</v>
      </c>
      <c r="AV14">
        <f t="shared" si="28"/>
        <v>0</v>
      </c>
      <c r="AW14">
        <f t="shared" si="29"/>
        <v>0</v>
      </c>
      <c r="AX14">
        <f t="shared" si="30"/>
        <v>0</v>
      </c>
      <c r="AY14">
        <f t="shared" si="31"/>
        <v>0</v>
      </c>
      <c r="AZ14">
        <f t="shared" si="32"/>
        <v>0</v>
      </c>
      <c r="BA14">
        <f t="shared" si="33"/>
        <v>0</v>
      </c>
      <c r="BB14">
        <f t="shared" si="34"/>
        <v>0</v>
      </c>
      <c r="BC14">
        <f t="shared" si="35"/>
        <v>0</v>
      </c>
      <c r="BG14">
        <f t="shared" ref="BG14:BG30" si="40">O14</f>
        <v>2021</v>
      </c>
      <c r="BH14" s="131">
        <f>IFERROR(VLOOKUP($O14,'Table 3 ID Wind_2030'!$B$10:$K$37,10,FALSE),0)</f>
        <v>0</v>
      </c>
      <c r="BI14" s="131">
        <f>IFERROR(VLOOKUP($O14,'Table 3 UT CP Wind_2023'!$B$10:$K$37,10,FALSE),0)</f>
        <v>0</v>
      </c>
      <c r="BJ14" s="131">
        <f>IFERROR(VLOOKUP($O14,'Table 3 WYAE Wind_2024'!$B$10:$L$37,11,FALSE),0)</f>
        <v>0</v>
      </c>
      <c r="BK14" s="131">
        <f>IFERROR(VLOOKUP($O14,'Table 3 YK Wind wS_2029'!$B$10:$K$37,10,FALSE),0)</f>
        <v>0</v>
      </c>
      <c r="BL14" s="370"/>
      <c r="BM14" s="131">
        <f>IFERROR(VLOOKUP($O14,'Table 3 ID Wind wS_2032'!$B$10:$K$38,10,FALSE),0)</f>
        <v>0</v>
      </c>
      <c r="BN14" s="131">
        <f>IFERROR(VLOOKUP($O14,'Table 3 PV wS YK_2024'!$B$10:$K$40,10,FALSE),0)</f>
        <v>26</v>
      </c>
      <c r="BO14" s="370"/>
      <c r="BP14" s="131">
        <f>IFERROR(VLOOKUP($O14,'Table 3 PV wS SO_2024'!$B$10:$K$40,10,FALSE),0)</f>
        <v>26</v>
      </c>
      <c r="BQ14" s="370"/>
      <c r="BR14" s="131">
        <f>IFERROR(VLOOKUP($O14,'Table 3 PV wS UTN_2024'!$B$10:$K$43,10,FALSE),0)</f>
        <v>26</v>
      </c>
      <c r="BS14" s="131">
        <f>IFERROR(VLOOKUP($O14,'Table 3 PV wS JB_2024'!$B$10:$K$40,10,FALSE),0)</f>
        <v>26</v>
      </c>
      <c r="BT14" s="131">
        <f>IFERROR(VLOOKUP($O14,'Table 3 PV wS JB_2029'!$B$10:$K$40,10,FALSE),0)</f>
        <v>26</v>
      </c>
      <c r="BU14" s="370"/>
      <c r="BV14" s="131">
        <f>IFERROR(VLOOKUP($O14,'Table 3 PV wS UTS_2024'!$B$10:$K$38,10,FALSE),0)</f>
        <v>26</v>
      </c>
      <c r="BW14" s="131">
        <f>IFERROR(VLOOKUP($O14,'Table 3 PV wS UTS_2030'!$B$10:$K$38,10,FALSE),0)</f>
        <v>26</v>
      </c>
      <c r="BX14" s="369"/>
      <c r="BY14" s="131">
        <f>IFERROR(VLOOKUP($O14,'Table 3 185 MW (NTN) 2026)'!$B$13:$L$40,11,FALSE),0)</f>
        <v>8.2100000000000009</v>
      </c>
      <c r="CD14">
        <f>SUM(AL$13:AL14)*BH14/1000</f>
        <v>0</v>
      </c>
      <c r="CE14">
        <f>SUM(AM$13:AM14)*BI14/1000</f>
        <v>0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6"/>
        <v>0</v>
      </c>
      <c r="DA14">
        <f t="shared" si="37"/>
        <v>2021</v>
      </c>
      <c r="DB14" s="89">
        <f>IFERROR(VLOOKUP($DA14,'Table 3 TransCost'!$B$10:$E$40,4,FALSE),0)</f>
        <v>0</v>
      </c>
      <c r="DC14" s="176">
        <f t="shared" ref="DC14:DC30" si="41">$DB$5*DB14/1000</f>
        <v>0</v>
      </c>
    </row>
    <row r="15" spans="2:107" customFormat="1">
      <c r="B15" s="15">
        <f t="shared" si="38"/>
        <v>2022</v>
      </c>
      <c r="C15" s="9">
        <f t="shared" si="17"/>
        <v>0</v>
      </c>
      <c r="D15" s="45"/>
      <c r="E15" s="9">
        <f t="shared" ca="1" si="39"/>
        <v>17.718585299433826</v>
      </c>
      <c r="F15" s="37"/>
      <c r="G15" s="14">
        <f t="shared" ref="G15:G38" ca="1" si="42">SUMIF(INDIRECT("'Table 5'!$J$"&amp;$K$3&amp;":$J$"&amp;$K$4),B15,INDIRECT("'Table 5'!$e$"&amp;$K$3&amp;":$e$"&amp;$K$4))/SUMIF(INDIRECT("'Table 5'!$J$"&amp;$K$3&amp;":$J$"&amp;$K$4),B15,INDIRECT("'Table 5'!$f$"&amp;$K$3&amp;":$f$"&amp;$K$4))</f>
        <v>17.718585299433826</v>
      </c>
      <c r="H15" s="36"/>
      <c r="I15" s="176"/>
      <c r="J15" s="176"/>
      <c r="O15">
        <f t="shared" si="18"/>
        <v>2022</v>
      </c>
      <c r="P15">
        <v>0</v>
      </c>
      <c r="Q15">
        <v>0</v>
      </c>
      <c r="R15">
        <v>0</v>
      </c>
      <c r="S15" s="368">
        <v>0</v>
      </c>
      <c r="T15" s="368">
        <v>0</v>
      </c>
      <c r="U15" s="176">
        <v>0</v>
      </c>
      <c r="V15" s="368">
        <v>0</v>
      </c>
      <c r="W15" s="368">
        <v>0</v>
      </c>
      <c r="X15" s="368">
        <v>0</v>
      </c>
      <c r="Y15" s="368">
        <v>0</v>
      </c>
      <c r="Z15" s="368">
        <v>0</v>
      </c>
      <c r="AA15" s="368">
        <v>0</v>
      </c>
      <c r="AB15" s="368">
        <v>0</v>
      </c>
      <c r="AC15" s="368">
        <v>0</v>
      </c>
      <c r="AD15" s="368">
        <v>0</v>
      </c>
      <c r="AE15" s="368">
        <v>0</v>
      </c>
      <c r="AF15" s="368">
        <v>0</v>
      </c>
      <c r="AG15" s="368">
        <v>0</v>
      </c>
      <c r="AL15">
        <f t="shared" si="19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R15">
        <f t="shared" si="24"/>
        <v>0</v>
      </c>
      <c r="AS15">
        <f t="shared" si="25"/>
        <v>0</v>
      </c>
      <c r="AT15">
        <f t="shared" si="26"/>
        <v>0</v>
      </c>
      <c r="AU15">
        <f t="shared" si="27"/>
        <v>0</v>
      </c>
      <c r="AV15">
        <f t="shared" si="28"/>
        <v>0</v>
      </c>
      <c r="AW15">
        <f t="shared" si="29"/>
        <v>0</v>
      </c>
      <c r="AX15">
        <f t="shared" si="30"/>
        <v>0</v>
      </c>
      <c r="AY15">
        <f t="shared" si="31"/>
        <v>0</v>
      </c>
      <c r="AZ15">
        <f t="shared" si="32"/>
        <v>0</v>
      </c>
      <c r="BA15">
        <f t="shared" si="33"/>
        <v>0</v>
      </c>
      <c r="BB15">
        <f t="shared" si="34"/>
        <v>0</v>
      </c>
      <c r="BC15">
        <f t="shared" si="35"/>
        <v>0</v>
      </c>
      <c r="BG15">
        <f t="shared" si="40"/>
        <v>2022</v>
      </c>
      <c r="BH15" s="131">
        <f>IFERROR(VLOOKUP($O15,'Table 3 ID Wind_2030'!$B$10:$K$37,10,FALSE),0)</f>
        <v>0</v>
      </c>
      <c r="BI15" s="131">
        <f>IFERROR(VLOOKUP($O15,'Table 3 UT CP Wind_2023'!$B$10:$K$37,10,FALSE),0)</f>
        <v>0</v>
      </c>
      <c r="BJ15" s="131">
        <f>IFERROR(VLOOKUP($O15,'Table 3 WYAE Wind_2024'!$B$10:$L$37,11,FALSE),0)</f>
        <v>0</v>
      </c>
      <c r="BK15" s="131">
        <f>IFERROR(VLOOKUP($O15,'Table 3 YK Wind wS_2029'!$B$10:$K$37,10,FALSE),0)</f>
        <v>0</v>
      </c>
      <c r="BL15" s="370"/>
      <c r="BM15" s="131">
        <f>IFERROR(VLOOKUP($O15,'Table 3 ID Wind wS_2032'!$B$10:$K$38,10,FALSE),0)</f>
        <v>0</v>
      </c>
      <c r="BN15" s="131">
        <f>IFERROR(VLOOKUP($O15,'Table 3 PV wS YK_2024'!$B$10:$K$40,10,FALSE),0)</f>
        <v>26.65</v>
      </c>
      <c r="BO15" s="370"/>
      <c r="BP15" s="131">
        <f>IFERROR(VLOOKUP($O15,'Table 3 PV wS SO_2024'!$B$10:$K$40,10,FALSE),0)</f>
        <v>26.65</v>
      </c>
      <c r="BQ15" s="370"/>
      <c r="BR15" s="131">
        <f>IFERROR(VLOOKUP($O15,'Table 3 PV wS UTN_2024'!$B$10:$K$43,10,FALSE),0)</f>
        <v>26.65</v>
      </c>
      <c r="BS15" s="131">
        <f>IFERROR(VLOOKUP($O15,'Table 3 PV wS JB_2024'!$B$10:$K$40,10,FALSE),0)</f>
        <v>26.65</v>
      </c>
      <c r="BT15" s="131">
        <f>IFERROR(VLOOKUP($O15,'Table 3 PV wS JB_2029'!$B$10:$K$40,10,FALSE),0)</f>
        <v>26.65</v>
      </c>
      <c r="BU15" s="370"/>
      <c r="BV15" s="131">
        <f>IFERROR(VLOOKUP($O15,'Table 3 PV wS UTS_2024'!$B$10:$K$38,10,FALSE),0)</f>
        <v>26.65</v>
      </c>
      <c r="BW15" s="131">
        <f>IFERROR(VLOOKUP($O15,'Table 3 PV wS UTS_2030'!$B$10:$K$38,10,FALSE),0)</f>
        <v>26.65</v>
      </c>
      <c r="BX15" s="369"/>
      <c r="BY15" s="131">
        <f>IFERROR(VLOOKUP($O15,'Table 3 185 MW (NTN) 2026)'!$B$13:$L$40,11,FALSE),0)</f>
        <v>8.42</v>
      </c>
      <c r="CD15">
        <f>SUM(AL$13:AL15)*BH15/1000</f>
        <v>0</v>
      </c>
      <c r="CE15">
        <f>SUM(AM$13:AM15)*BI15/1000</f>
        <v>0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0</v>
      </c>
      <c r="DA15">
        <f t="shared" si="37"/>
        <v>2022</v>
      </c>
      <c r="DB15" s="89">
        <f>IFERROR(VLOOKUP($DA15,'Table 3 TransCost'!$B$10:$E$40,4,FALSE),0)</f>
        <v>0</v>
      </c>
      <c r="DC15" s="176">
        <f t="shared" si="41"/>
        <v>0</v>
      </c>
    </row>
    <row r="16" spans="2:107" customFormat="1">
      <c r="B16" s="15">
        <f t="shared" si="38"/>
        <v>2023</v>
      </c>
      <c r="C16" s="9">
        <f t="shared" si="17"/>
        <v>0</v>
      </c>
      <c r="D16" s="45"/>
      <c r="E16" s="9">
        <f t="shared" ca="1" si="39"/>
        <v>16.863877496331657</v>
      </c>
      <c r="F16" s="37"/>
      <c r="G16" s="14">
        <f t="shared" ca="1" si="42"/>
        <v>16.863877496331657</v>
      </c>
      <c r="H16" s="36"/>
      <c r="I16" s="176"/>
      <c r="J16" s="176"/>
      <c r="M16" s="112"/>
      <c r="O16">
        <f t="shared" si="18"/>
        <v>2023</v>
      </c>
      <c r="P16">
        <v>0</v>
      </c>
      <c r="Q16">
        <v>0</v>
      </c>
      <c r="R16">
        <v>0</v>
      </c>
      <c r="S16" s="368">
        <v>0</v>
      </c>
      <c r="T16" s="368">
        <v>0</v>
      </c>
      <c r="U16" s="176">
        <v>0</v>
      </c>
      <c r="V16" s="368">
        <v>0</v>
      </c>
      <c r="W16" s="368">
        <v>0</v>
      </c>
      <c r="X16" s="368">
        <v>0</v>
      </c>
      <c r="Y16" s="368">
        <v>0</v>
      </c>
      <c r="Z16" s="368">
        <v>0</v>
      </c>
      <c r="AA16" s="368">
        <v>0</v>
      </c>
      <c r="AB16" s="368">
        <v>0</v>
      </c>
      <c r="AC16" s="368">
        <v>0</v>
      </c>
      <c r="AD16" s="368">
        <v>0</v>
      </c>
      <c r="AE16" s="368">
        <v>0</v>
      </c>
      <c r="AF16" s="368">
        <v>0</v>
      </c>
      <c r="AG16" s="368">
        <v>0</v>
      </c>
      <c r="AL16">
        <f t="shared" si="19"/>
        <v>0</v>
      </c>
      <c r="AM16">
        <f t="shared" si="19"/>
        <v>0</v>
      </c>
      <c r="AN16">
        <f t="shared" si="20"/>
        <v>0</v>
      </c>
      <c r="AO16">
        <f t="shared" si="21"/>
        <v>0</v>
      </c>
      <c r="AP16">
        <f t="shared" si="22"/>
        <v>0</v>
      </c>
      <c r="AQ16">
        <f t="shared" si="23"/>
        <v>0</v>
      </c>
      <c r="AR16">
        <f t="shared" si="24"/>
        <v>0</v>
      </c>
      <c r="AS16">
        <f t="shared" si="25"/>
        <v>0</v>
      </c>
      <c r="AT16">
        <f t="shared" si="26"/>
        <v>0</v>
      </c>
      <c r="AU16">
        <f t="shared" si="27"/>
        <v>0</v>
      </c>
      <c r="AV16">
        <f t="shared" si="28"/>
        <v>0</v>
      </c>
      <c r="AW16">
        <f t="shared" si="29"/>
        <v>0</v>
      </c>
      <c r="AX16">
        <f t="shared" si="30"/>
        <v>0</v>
      </c>
      <c r="AY16">
        <f t="shared" si="31"/>
        <v>0</v>
      </c>
      <c r="AZ16">
        <f t="shared" si="32"/>
        <v>0</v>
      </c>
      <c r="BA16">
        <f t="shared" si="33"/>
        <v>0</v>
      </c>
      <c r="BB16">
        <f t="shared" si="34"/>
        <v>0</v>
      </c>
      <c r="BC16">
        <f t="shared" si="35"/>
        <v>0</v>
      </c>
      <c r="BG16">
        <f t="shared" si="40"/>
        <v>2023</v>
      </c>
      <c r="BH16" s="131">
        <f>IFERROR(VLOOKUP($O16,'Table 3 ID Wind_2030'!$B$10:$K$37,10,FALSE),0)</f>
        <v>0</v>
      </c>
      <c r="BI16" s="131">
        <f>IFERROR(VLOOKUP($O16,'Table 3 UT CP Wind_2023'!$B$10:$K$37,10,FALSE),0)</f>
        <v>121.1121219836666</v>
      </c>
      <c r="BJ16" s="131">
        <f>IFERROR(VLOOKUP($O16,'Table 3 WYAE Wind_2024'!$B$10:$L$37,11,FALSE),0)</f>
        <v>0</v>
      </c>
      <c r="BK16" s="131">
        <f>IFERROR(VLOOKUP($O16,'Table 3 YK Wind wS_2029'!$B$10:$K$37,10,FALSE),0)</f>
        <v>0</v>
      </c>
      <c r="BL16" s="370"/>
      <c r="BM16" s="131">
        <f>IFERROR(VLOOKUP($O16,'Table 3 ID Wind wS_2032'!$B$10:$K$38,10,FALSE),0)</f>
        <v>0</v>
      </c>
      <c r="BN16" s="131">
        <f>IFERROR(VLOOKUP($O16,'Table 3 PV wS YK_2024'!$B$10:$K$40,10,FALSE),0)</f>
        <v>27.32</v>
      </c>
      <c r="BO16" s="370"/>
      <c r="BP16" s="131">
        <f>IFERROR(VLOOKUP($O16,'Table 3 PV wS SO_2024'!$B$10:$K$40,10,FALSE),0)</f>
        <v>27.32</v>
      </c>
      <c r="BQ16" s="370"/>
      <c r="BR16" s="131">
        <f>IFERROR(VLOOKUP($O16,'Table 3 PV wS UTN_2024'!$B$10:$K$43,10,FALSE),0)</f>
        <v>27.32</v>
      </c>
      <c r="BS16" s="131">
        <f>IFERROR(VLOOKUP($O16,'Table 3 PV wS JB_2024'!$B$10:$K$40,10,FALSE),0)</f>
        <v>27.32</v>
      </c>
      <c r="BT16" s="131">
        <f>IFERROR(VLOOKUP($O16,'Table 3 PV wS JB_2029'!$B$10:$K$40,10,FALSE),0)</f>
        <v>27.32</v>
      </c>
      <c r="BU16" s="370"/>
      <c r="BV16" s="131">
        <f>IFERROR(VLOOKUP($O16,'Table 3 PV wS UTS_2024'!$B$10:$K$38,10,FALSE),0)</f>
        <v>27.32</v>
      </c>
      <c r="BW16" s="131">
        <f>IFERROR(VLOOKUP($O16,'Table 3 PV wS UTS_2030'!$B$10:$K$38,10,FALSE),0)</f>
        <v>27.32</v>
      </c>
      <c r="BX16" s="369"/>
      <c r="BY16" s="131">
        <f>IFERROR(VLOOKUP($O16,'Table 3 185 MW (NTN) 2026)'!$B$13:$L$40,11,FALSE),0)</f>
        <v>8.6300000000000008</v>
      </c>
      <c r="CD16">
        <f>SUM(AL$13:AL16)*BH16/1000</f>
        <v>0</v>
      </c>
      <c r="CE16">
        <f>SUM(AM$13:AM16)*BI16/1000</f>
        <v>0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3">SUM(CD16:CX16)</f>
        <v>0</v>
      </c>
      <c r="DA16">
        <f t="shared" si="37"/>
        <v>2023</v>
      </c>
      <c r="DB16" s="89">
        <f>IFERROR(VLOOKUP($DA16,'Table 3 TransCost'!$B$10:$E$40,4,FALSE),0)</f>
        <v>0</v>
      </c>
      <c r="DC16" s="176">
        <f t="shared" si="41"/>
        <v>0</v>
      </c>
    </row>
    <row r="17" spans="2:107">
      <c r="B17" s="15">
        <f t="shared" si="38"/>
        <v>2024</v>
      </c>
      <c r="C17" s="9">
        <f t="shared" si="17"/>
        <v>0</v>
      </c>
      <c r="D17" s="45"/>
      <c r="E17" s="9">
        <f t="shared" ca="1" si="39"/>
        <v>12.078116441420407</v>
      </c>
      <c r="F17" s="37"/>
      <c r="G17" s="14">
        <f t="shared" ca="1" si="42"/>
        <v>12.078116441420407</v>
      </c>
      <c r="H17" s="36"/>
      <c r="I17" s="176"/>
      <c r="J17" s="176"/>
      <c r="M17" s="113"/>
      <c r="O17">
        <f t="shared" si="18"/>
        <v>2024</v>
      </c>
      <c r="P17">
        <v>0</v>
      </c>
      <c r="Q17">
        <v>0</v>
      </c>
      <c r="R17">
        <v>0</v>
      </c>
      <c r="S17" s="368">
        <v>0</v>
      </c>
      <c r="T17" s="368">
        <v>0</v>
      </c>
      <c r="U17" s="176">
        <v>0</v>
      </c>
      <c r="V17" s="368">
        <v>0</v>
      </c>
      <c r="W17" s="368">
        <v>0</v>
      </c>
      <c r="X17" s="368">
        <v>0</v>
      </c>
      <c r="Y17" s="368">
        <v>0</v>
      </c>
      <c r="Z17" s="368">
        <v>0</v>
      </c>
      <c r="AA17" s="368">
        <v>0</v>
      </c>
      <c r="AB17" s="368">
        <v>0</v>
      </c>
      <c r="AC17" s="368">
        <v>0</v>
      </c>
      <c r="AD17" s="368">
        <v>0</v>
      </c>
      <c r="AE17" s="368">
        <v>0</v>
      </c>
      <c r="AF17" s="368">
        <v>0</v>
      </c>
      <c r="AG17" s="368">
        <v>0</v>
      </c>
      <c r="AL17">
        <f t="shared" si="19"/>
        <v>0</v>
      </c>
      <c r="AM17">
        <f t="shared" si="19"/>
        <v>0</v>
      </c>
      <c r="AN17">
        <f t="shared" si="20"/>
        <v>0</v>
      </c>
      <c r="AO17">
        <f t="shared" si="21"/>
        <v>0</v>
      </c>
      <c r="AP17">
        <f t="shared" si="22"/>
        <v>0</v>
      </c>
      <c r="AQ17">
        <f t="shared" si="23"/>
        <v>0</v>
      </c>
      <c r="AR17">
        <f t="shared" si="24"/>
        <v>0</v>
      </c>
      <c r="AS17">
        <f t="shared" si="25"/>
        <v>0</v>
      </c>
      <c r="AT17">
        <f t="shared" si="26"/>
        <v>0</v>
      </c>
      <c r="AU17">
        <f t="shared" si="27"/>
        <v>0</v>
      </c>
      <c r="AV17">
        <f t="shared" si="28"/>
        <v>0</v>
      </c>
      <c r="AW17">
        <f t="shared" si="29"/>
        <v>0</v>
      </c>
      <c r="AX17">
        <f t="shared" si="30"/>
        <v>0</v>
      </c>
      <c r="AY17">
        <f t="shared" si="31"/>
        <v>0</v>
      </c>
      <c r="AZ17">
        <f t="shared" si="32"/>
        <v>0</v>
      </c>
      <c r="BA17">
        <f t="shared" si="33"/>
        <v>0</v>
      </c>
      <c r="BB17">
        <f t="shared" si="34"/>
        <v>0</v>
      </c>
      <c r="BC17">
        <f t="shared" si="35"/>
        <v>0</v>
      </c>
      <c r="BG17">
        <f t="shared" si="40"/>
        <v>2024</v>
      </c>
      <c r="BH17" s="131">
        <f>IFERROR(VLOOKUP($O17,'Table 3 ID Wind_2030'!$B$10:$K$37,10,FALSE),0)</f>
        <v>0</v>
      </c>
      <c r="BI17" s="131">
        <f>IFERROR(VLOOKUP($O17,'Table 3 UT CP Wind_2023'!$B$10:$K$37,10,FALSE),0)</f>
        <v>123.98246376811593</v>
      </c>
      <c r="BJ17" s="131">
        <f>IFERROR(VLOOKUP($O17,'Table 3 WYAE Wind_2024'!$B$10:$L$37,11,FALSE),0)</f>
        <v>167.27126747278072</v>
      </c>
      <c r="BK17" s="131">
        <f>IFERROR(VLOOKUP($O17,'Table 3 YK Wind wS_2029'!$B$10:$K$37,10,FALSE),0)</f>
        <v>0</v>
      </c>
      <c r="BL17" s="370"/>
      <c r="BM17" s="131">
        <f>IFERROR(VLOOKUP($O17,'Table 3 ID Wind wS_2032'!$B$10:$K$38,10,FALSE),0)</f>
        <v>0</v>
      </c>
      <c r="BN17" s="131">
        <f>IFERROR(VLOOKUP($O17,'Table 3 PV wS YK_2024'!$B$10:$K$40,10,FALSE),0)</f>
        <v>94.226445239115705</v>
      </c>
      <c r="BO17" s="370"/>
      <c r="BP17" s="131">
        <f>IFERROR(VLOOKUP($O17,'Table 3 PV wS SO_2024'!$B$10:$K$40,10,FALSE),0)</f>
        <v>93.909635345997287</v>
      </c>
      <c r="BQ17" s="370"/>
      <c r="BR17" s="131">
        <f>IFERROR(VLOOKUP($O17,'Table 3 PV wS UTN_2024'!$B$10:$K$43,10,FALSE),0)</f>
        <v>93.108350344380241</v>
      </c>
      <c r="BS17" s="131">
        <f>IFERROR(VLOOKUP($O17,'Table 3 PV wS JB_2024'!$B$10:$K$40,10,FALSE),0)</f>
        <v>90.42193262711865</v>
      </c>
      <c r="BT17" s="131">
        <f>IFERROR(VLOOKUP($O17,'Table 3 PV wS JB_2029'!$B$10:$K$40,10,FALSE),0)</f>
        <v>27.98</v>
      </c>
      <c r="BU17" s="370"/>
      <c r="BV17" s="131">
        <f>IFERROR(VLOOKUP($O17,'Table 3 PV wS UTS_2024'!$B$10:$K$38,10,FALSE),0)</f>
        <v>92.029860024280296</v>
      </c>
      <c r="BW17" s="131">
        <f>IFERROR(VLOOKUP($O17,'Table 3 PV wS UTS_2030'!$B$10:$K$38,10,FALSE),0)</f>
        <v>27.98</v>
      </c>
      <c r="BX17" s="369"/>
      <c r="BY17" s="131">
        <f>IFERROR(VLOOKUP($O17,'Table 3 185 MW (NTN) 2026)'!$B$13:$L$40,11,FALSE),0)</f>
        <v>8.84</v>
      </c>
      <c r="CD17">
        <f>SUM(AL$13:AL17)*BH17/1000</f>
        <v>0</v>
      </c>
      <c r="CE17">
        <f>SUM(AM$13:AM17)*BI17/1000</f>
        <v>0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3"/>
        <v>0</v>
      </c>
      <c r="DA17">
        <f t="shared" si="37"/>
        <v>2024</v>
      </c>
      <c r="DB17" s="89">
        <f>IFERROR(VLOOKUP($DA17,'Table 3 TransCost'!$B$10:$E$40,4,FALSE),0)</f>
        <v>47.870308055404145</v>
      </c>
      <c r="DC17" s="176">
        <f t="shared" si="41"/>
        <v>0</v>
      </c>
    </row>
    <row r="18" spans="2:107">
      <c r="B18" s="15">
        <f t="shared" si="38"/>
        <v>2025</v>
      </c>
      <c r="C18" s="9">
        <f t="shared" si="17"/>
        <v>0</v>
      </c>
      <c r="D18" s="45"/>
      <c r="E18" s="9">
        <f t="shared" ca="1" si="39"/>
        <v>12.708516875745856</v>
      </c>
      <c r="F18" s="37"/>
      <c r="G18" s="14">
        <f t="shared" ca="1" si="42"/>
        <v>12.708516875745856</v>
      </c>
      <c r="H18" s="36"/>
      <c r="I18" s="176"/>
      <c r="J18" s="176"/>
      <c r="M18" s="113"/>
      <c r="O18">
        <f t="shared" si="18"/>
        <v>2025</v>
      </c>
      <c r="P18">
        <v>0</v>
      </c>
      <c r="Q18">
        <v>0</v>
      </c>
      <c r="R18">
        <v>0</v>
      </c>
      <c r="S18" s="368">
        <v>0</v>
      </c>
      <c r="T18" s="368">
        <v>0</v>
      </c>
      <c r="U18" s="176">
        <v>0</v>
      </c>
      <c r="V18" s="368">
        <v>0</v>
      </c>
      <c r="W18" s="368">
        <v>0</v>
      </c>
      <c r="X18" s="368">
        <v>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0</v>
      </c>
      <c r="AF18" s="368">
        <v>0</v>
      </c>
      <c r="AG18" s="368">
        <v>0</v>
      </c>
      <c r="AL18">
        <f t="shared" si="19"/>
        <v>0</v>
      </c>
      <c r="AM18">
        <f t="shared" si="19"/>
        <v>0</v>
      </c>
      <c r="AN18">
        <f t="shared" si="20"/>
        <v>0</v>
      </c>
      <c r="AO18">
        <f t="shared" si="21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0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29"/>
        <v>0</v>
      </c>
      <c r="AX18">
        <f t="shared" si="30"/>
        <v>0</v>
      </c>
      <c r="AY18">
        <f t="shared" si="31"/>
        <v>0</v>
      </c>
      <c r="AZ18">
        <f t="shared" si="32"/>
        <v>0</v>
      </c>
      <c r="BA18">
        <f t="shared" si="33"/>
        <v>0</v>
      </c>
      <c r="BB18">
        <f t="shared" si="34"/>
        <v>0</v>
      </c>
      <c r="BC18">
        <f t="shared" si="35"/>
        <v>0</v>
      </c>
      <c r="BG18">
        <f t="shared" si="40"/>
        <v>2025</v>
      </c>
      <c r="BH18" s="131">
        <f>IFERROR(VLOOKUP($O18,'Table 3 ID Wind_2030'!$B$10:$K$37,10,FALSE),0)</f>
        <v>0</v>
      </c>
      <c r="BI18" s="131">
        <f>IFERROR(VLOOKUP($O18,'Table 3 UT CP Wind_2023'!$B$10:$K$37,10,FALSE),0)</f>
        <v>126.82608695652175</v>
      </c>
      <c r="BJ18" s="131">
        <f>IFERROR(VLOOKUP($O18,'Table 3 WYAE Wind_2024'!$B$10:$L$37,11,FALSE),0)</f>
        <v>171.12020833333332</v>
      </c>
      <c r="BK18" s="131">
        <f>IFERROR(VLOOKUP($O18,'Table 3 YK Wind wS_2029'!$B$10:$K$37,10,FALSE),0)</f>
        <v>0</v>
      </c>
      <c r="BL18" s="370"/>
      <c r="BM18" s="131">
        <f>IFERROR(VLOOKUP($O18,'Table 3 ID Wind wS_2032'!$B$10:$K$38,10,FALSE),0)</f>
        <v>0</v>
      </c>
      <c r="BN18" s="131">
        <f>IFERROR(VLOOKUP($O18,'Table 3 PV wS YK_2024'!$B$10:$K$40,10,FALSE),0)</f>
        <v>96.390000000000015</v>
      </c>
      <c r="BO18" s="370"/>
      <c r="BP18" s="131">
        <f>IFERROR(VLOOKUP($O18,'Table 3 PV wS SO_2024'!$B$10:$K$40,10,FALSE),0)</f>
        <v>96.070000000000007</v>
      </c>
      <c r="BQ18" s="370"/>
      <c r="BR18" s="131">
        <f>IFERROR(VLOOKUP($O18,'Table 3 PV wS UTN_2024'!$B$10:$K$43,10,FALSE),0)</f>
        <v>95.25</v>
      </c>
      <c r="BS18" s="131">
        <f>IFERROR(VLOOKUP($O18,'Table 3 PV wS JB_2024'!$B$10:$K$40,10,FALSE),0)</f>
        <v>92.5</v>
      </c>
      <c r="BT18" s="131">
        <f>IFERROR(VLOOKUP($O18,'Table 3 PV wS JB_2029'!$B$10:$K$40,10,FALSE),0)</f>
        <v>28.62</v>
      </c>
      <c r="BU18" s="370"/>
      <c r="BV18" s="131">
        <f>IFERROR(VLOOKUP($O18,'Table 3 PV wS UTS_2024'!$B$10:$K$38,10,FALSE),0)</f>
        <v>94.15</v>
      </c>
      <c r="BW18" s="131">
        <f>IFERROR(VLOOKUP($O18,'Table 3 PV wS UTS_2030'!$B$10:$K$38,10,FALSE),0)</f>
        <v>28.62</v>
      </c>
      <c r="BX18" s="369"/>
      <c r="BY18" s="131">
        <f>IFERROR(VLOOKUP($O18,'Table 3 185 MW (NTN) 2026)'!$B$13:$L$40,11,FALSE),0)</f>
        <v>9.0399999999999991</v>
      </c>
      <c r="CD18">
        <f>SUM(AL$13:AL18)*BH18/1000</f>
        <v>0</v>
      </c>
      <c r="CE18">
        <f>SUM(AM$13:AM18)*BI18/1000</f>
        <v>0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3"/>
        <v>0</v>
      </c>
      <c r="DA18">
        <f t="shared" si="37"/>
        <v>2025</v>
      </c>
      <c r="DB18" s="89">
        <f>IFERROR(VLOOKUP($DA18,'Table 3 TransCost'!$B$10:$E$40,4,FALSE),0)</f>
        <v>48.97</v>
      </c>
      <c r="DC18" s="176">
        <f t="shared" si="41"/>
        <v>0</v>
      </c>
    </row>
    <row r="19" spans="2:107">
      <c r="B19" s="15">
        <f t="shared" si="38"/>
        <v>2026</v>
      </c>
      <c r="C19" s="9">
        <f t="shared" si="17"/>
        <v>115.62647139435012</v>
      </c>
      <c r="D19" s="45"/>
      <c r="E19" s="9">
        <f t="shared" ca="1" si="39"/>
        <v>16.733337223857813</v>
      </c>
      <c r="F19" s="37"/>
      <c r="G19" s="14">
        <f t="shared" ca="1" si="42"/>
        <v>29.932706104491388</v>
      </c>
      <c r="H19" s="36"/>
      <c r="I19" s="176"/>
      <c r="J19" s="176"/>
      <c r="M19" s="113"/>
      <c r="O19">
        <f t="shared" si="18"/>
        <v>2026</v>
      </c>
      <c r="P19">
        <v>0</v>
      </c>
      <c r="Q19">
        <v>0</v>
      </c>
      <c r="R19">
        <v>0</v>
      </c>
      <c r="S19" s="368">
        <v>0</v>
      </c>
      <c r="T19" s="368">
        <v>0</v>
      </c>
      <c r="U19" s="176">
        <v>0</v>
      </c>
      <c r="V19" s="368">
        <v>0</v>
      </c>
      <c r="W19" s="368">
        <v>0</v>
      </c>
      <c r="X19" s="368">
        <v>0</v>
      </c>
      <c r="Y19" s="368">
        <v>0</v>
      </c>
      <c r="Z19" s="368">
        <v>0</v>
      </c>
      <c r="AA19" s="368">
        <v>0</v>
      </c>
      <c r="AB19" s="368">
        <v>0</v>
      </c>
      <c r="AC19" s="368">
        <v>0</v>
      </c>
      <c r="AD19" s="368">
        <v>0</v>
      </c>
      <c r="AE19" s="368">
        <v>0</v>
      </c>
      <c r="AF19" s="368">
        <v>0</v>
      </c>
      <c r="AG19" s="368">
        <v>100</v>
      </c>
      <c r="AL19">
        <f t="shared" si="19"/>
        <v>0</v>
      </c>
      <c r="AM19">
        <f t="shared" si="19"/>
        <v>0</v>
      </c>
      <c r="AN19">
        <f t="shared" si="20"/>
        <v>0</v>
      </c>
      <c r="AO19">
        <f t="shared" si="21"/>
        <v>0</v>
      </c>
      <c r="AP19">
        <f t="shared" si="22"/>
        <v>0</v>
      </c>
      <c r="AQ19">
        <f t="shared" si="23"/>
        <v>0</v>
      </c>
      <c r="AR19">
        <f t="shared" si="24"/>
        <v>0</v>
      </c>
      <c r="AS19">
        <f t="shared" si="25"/>
        <v>0</v>
      </c>
      <c r="AT19">
        <f t="shared" si="26"/>
        <v>0</v>
      </c>
      <c r="AU19">
        <f t="shared" si="27"/>
        <v>0</v>
      </c>
      <c r="AV19">
        <f t="shared" si="28"/>
        <v>0</v>
      </c>
      <c r="AW19">
        <f t="shared" si="29"/>
        <v>0</v>
      </c>
      <c r="AX19">
        <f t="shared" si="30"/>
        <v>0</v>
      </c>
      <c r="AY19">
        <f t="shared" si="31"/>
        <v>0</v>
      </c>
      <c r="AZ19">
        <f t="shared" si="32"/>
        <v>0</v>
      </c>
      <c r="BA19">
        <f t="shared" si="33"/>
        <v>0</v>
      </c>
      <c r="BB19">
        <f t="shared" si="34"/>
        <v>0</v>
      </c>
      <c r="BC19">
        <f t="shared" si="35"/>
        <v>103.1519824870434</v>
      </c>
      <c r="BG19">
        <f t="shared" si="40"/>
        <v>2026</v>
      </c>
      <c r="BH19" s="131">
        <f>IFERROR(VLOOKUP($O19,'Table 3 ID Wind_2030'!$B$10:$K$37,10,FALSE),0)</f>
        <v>0</v>
      </c>
      <c r="BI19" s="131">
        <f>IFERROR(VLOOKUP($O19,'Table 3 UT CP Wind_2023'!$B$10:$K$37,10,FALSE),0)</f>
        <v>129.73420289855071</v>
      </c>
      <c r="BJ19" s="131">
        <f>IFERROR(VLOOKUP($O19,'Table 3 WYAE Wind_2024'!$B$10:$L$37,11,FALSE),0)</f>
        <v>175.04010416666668</v>
      </c>
      <c r="BK19" s="131">
        <f>IFERROR(VLOOKUP($O19,'Table 3 YK Wind wS_2029'!$B$10:$K$37,10,FALSE),0)</f>
        <v>0</v>
      </c>
      <c r="BL19" s="370"/>
      <c r="BM19" s="131">
        <f>IFERROR(VLOOKUP($O19,'Table 3 ID Wind wS_2032'!$B$10:$K$38,10,FALSE),0)</f>
        <v>0</v>
      </c>
      <c r="BN19" s="131">
        <f>IFERROR(VLOOKUP($O19,'Table 3 PV wS YK_2024'!$B$10:$K$40,10,FALSE),0)</f>
        <v>98.61</v>
      </c>
      <c r="BO19" s="370"/>
      <c r="BP19" s="131">
        <f>IFERROR(VLOOKUP($O19,'Table 3 PV wS SO_2024'!$B$10:$K$40,10,FALSE),0)</f>
        <v>98.28</v>
      </c>
      <c r="BQ19" s="370"/>
      <c r="BR19" s="131">
        <f>IFERROR(VLOOKUP($O19,'Table 3 PV wS UTN_2024'!$B$10:$K$43,10,FALSE),0)</f>
        <v>97.44</v>
      </c>
      <c r="BS19" s="131">
        <f>IFERROR(VLOOKUP($O19,'Table 3 PV wS JB_2024'!$B$10:$K$40,10,FALSE),0)</f>
        <v>94.63</v>
      </c>
      <c r="BT19" s="131">
        <f>IFERROR(VLOOKUP($O19,'Table 3 PV wS JB_2029'!$B$10:$K$40,10,FALSE),0)</f>
        <v>29.28</v>
      </c>
      <c r="BU19" s="370"/>
      <c r="BV19" s="131">
        <f>IFERROR(VLOOKUP($O19,'Table 3 PV wS UTS_2024'!$B$10:$K$38,10,FALSE),0)</f>
        <v>96.32</v>
      </c>
      <c r="BW19" s="131">
        <f>IFERROR(VLOOKUP($O19,'Table 3 PV wS UTS_2030'!$B$10:$K$38,10,FALSE),0)</f>
        <v>29.28</v>
      </c>
      <c r="BX19" s="369"/>
      <c r="BY19" s="131">
        <f>IFERROR(VLOOKUP($O19,'Table 3 185 MW (NTN) 2026)'!$B$13:$L$40,11,FALSE),0)</f>
        <v>112.09330989724177</v>
      </c>
      <c r="CD19">
        <f>SUM(AL$13:AL19)*BH19/1000</f>
        <v>0</v>
      </c>
      <c r="CE19">
        <f>SUM(AM$13:AM19)*BI19/1000</f>
        <v>0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11.562647139435011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3"/>
        <v>11.562647139435011</v>
      </c>
      <c r="DA19">
        <f t="shared" si="37"/>
        <v>2026</v>
      </c>
      <c r="DB19" s="89">
        <f>IFERROR(VLOOKUP($DA19,'Table 3 TransCost'!$B$10:$E$40,4,FALSE),0)</f>
        <v>50.1</v>
      </c>
      <c r="DC19" s="176">
        <f t="shared" si="41"/>
        <v>0</v>
      </c>
    </row>
    <row r="20" spans="2:107">
      <c r="B20" s="15">
        <f t="shared" si="38"/>
        <v>2027</v>
      </c>
      <c r="C20" s="9">
        <f t="shared" si="17"/>
        <v>118.28437831789266</v>
      </c>
      <c r="D20" s="45"/>
      <c r="E20" s="9">
        <f t="shared" ca="1" si="39"/>
        <v>18.45717001214603</v>
      </c>
      <c r="F20" s="37"/>
      <c r="G20" s="14">
        <f t="shared" ca="1" si="42"/>
        <v>31.959952925147469</v>
      </c>
      <c r="H20" s="36"/>
      <c r="I20" s="176"/>
      <c r="J20" s="176"/>
      <c r="M20" s="113"/>
      <c r="O20">
        <f t="shared" si="18"/>
        <v>2027</v>
      </c>
      <c r="P20">
        <v>0</v>
      </c>
      <c r="Q20">
        <v>0</v>
      </c>
      <c r="R20">
        <v>0</v>
      </c>
      <c r="S20" s="368">
        <v>0</v>
      </c>
      <c r="T20" s="368">
        <v>0</v>
      </c>
      <c r="U20" s="176">
        <v>0</v>
      </c>
      <c r="V20" s="368">
        <v>0</v>
      </c>
      <c r="W20" s="368">
        <v>0</v>
      </c>
      <c r="X20" s="368">
        <v>0</v>
      </c>
      <c r="Y20" s="368">
        <v>0</v>
      </c>
      <c r="Z20" s="368">
        <v>0</v>
      </c>
      <c r="AA20" s="368">
        <v>0</v>
      </c>
      <c r="AB20" s="368">
        <v>0</v>
      </c>
      <c r="AC20" s="368">
        <v>0</v>
      </c>
      <c r="AD20" s="368">
        <v>0</v>
      </c>
      <c r="AE20" s="368">
        <v>0</v>
      </c>
      <c r="AF20" s="368">
        <v>0</v>
      </c>
      <c r="AG20" s="368">
        <v>0</v>
      </c>
      <c r="AL20">
        <f t="shared" si="19"/>
        <v>0</v>
      </c>
      <c r="AM20">
        <f t="shared" si="19"/>
        <v>0</v>
      </c>
      <c r="AN20">
        <f t="shared" si="20"/>
        <v>0</v>
      </c>
      <c r="AO20">
        <f t="shared" si="21"/>
        <v>0</v>
      </c>
      <c r="AP20">
        <f t="shared" si="22"/>
        <v>0</v>
      </c>
      <c r="AQ20">
        <f t="shared" si="23"/>
        <v>0</v>
      </c>
      <c r="AR20">
        <f t="shared" si="24"/>
        <v>0</v>
      </c>
      <c r="AS20">
        <f t="shared" si="25"/>
        <v>0</v>
      </c>
      <c r="AT20">
        <f t="shared" si="26"/>
        <v>0</v>
      </c>
      <c r="AU20">
        <f t="shared" si="27"/>
        <v>0</v>
      </c>
      <c r="AV20">
        <f t="shared" si="28"/>
        <v>0</v>
      </c>
      <c r="AW20">
        <f t="shared" si="29"/>
        <v>0</v>
      </c>
      <c r="AX20">
        <f t="shared" si="30"/>
        <v>0</v>
      </c>
      <c r="AY20">
        <f t="shared" si="31"/>
        <v>0</v>
      </c>
      <c r="AZ20">
        <f t="shared" si="32"/>
        <v>0</v>
      </c>
      <c r="BA20">
        <f t="shared" si="33"/>
        <v>0</v>
      </c>
      <c r="BB20">
        <f t="shared" si="34"/>
        <v>0</v>
      </c>
      <c r="BC20">
        <f t="shared" si="35"/>
        <v>0</v>
      </c>
      <c r="BG20">
        <f t="shared" si="40"/>
        <v>2027</v>
      </c>
      <c r="BH20" s="131">
        <f>IFERROR(VLOOKUP($O20,'Table 3 ID Wind_2030'!$B$10:$K$37,10,FALSE),0)</f>
        <v>0</v>
      </c>
      <c r="BI20" s="131">
        <f>IFERROR(VLOOKUP($O20,'Table 3 UT CP Wind_2023'!$B$10:$K$37,10,FALSE),0)</f>
        <v>132.70681159420292</v>
      </c>
      <c r="BJ20" s="131">
        <f>IFERROR(VLOOKUP($O20,'Table 3 WYAE Wind_2024'!$B$10:$L$37,11,FALSE),0)</f>
        <v>179.06020833333332</v>
      </c>
      <c r="BK20" s="131">
        <f>IFERROR(VLOOKUP($O20,'Table 3 YK Wind wS_2029'!$B$10:$K$37,10,FALSE),0)</f>
        <v>0</v>
      </c>
      <c r="BL20" s="370"/>
      <c r="BM20" s="131">
        <f>IFERROR(VLOOKUP($O20,'Table 3 ID Wind wS_2032'!$B$10:$K$38,10,FALSE),0)</f>
        <v>0</v>
      </c>
      <c r="BN20" s="131">
        <f>IFERROR(VLOOKUP($O20,'Table 3 PV wS YK_2024'!$B$10:$K$40,10,FALSE),0)</f>
        <v>100.88000000000001</v>
      </c>
      <c r="BO20" s="370"/>
      <c r="BP20" s="131">
        <f>IFERROR(VLOOKUP($O20,'Table 3 PV wS SO_2024'!$B$10:$K$40,10,FALSE),0)</f>
        <v>100.54</v>
      </c>
      <c r="BQ20" s="370"/>
      <c r="BR20" s="131">
        <f>IFERROR(VLOOKUP($O20,'Table 3 PV wS UTN_2024'!$B$10:$K$43,10,FALSE),0)</f>
        <v>99.68</v>
      </c>
      <c r="BS20" s="131">
        <f>IFERROR(VLOOKUP($O20,'Table 3 PV wS JB_2024'!$B$10:$K$40,10,FALSE),0)</f>
        <v>96.8</v>
      </c>
      <c r="BT20" s="131">
        <f>IFERROR(VLOOKUP($O20,'Table 3 PV wS JB_2029'!$B$10:$K$40,10,FALSE),0)</f>
        <v>29.95</v>
      </c>
      <c r="BU20" s="370"/>
      <c r="BV20" s="131">
        <f>IFERROR(VLOOKUP($O20,'Table 3 PV wS UTS_2024'!$B$10:$K$38,10,FALSE),0)</f>
        <v>98.54</v>
      </c>
      <c r="BW20" s="131">
        <f>IFERROR(VLOOKUP($O20,'Table 3 PV wS UTS_2030'!$B$10:$K$38,10,FALSE),0)</f>
        <v>29.95</v>
      </c>
      <c r="BX20" s="369"/>
      <c r="BY20" s="131">
        <f>IFERROR(VLOOKUP($O20,'Table 3 185 MW (NTN) 2026)'!$B$13:$L$40,11,FALSE),0)</f>
        <v>114.67</v>
      </c>
      <c r="CD20">
        <f>SUM(AL$13:AL20)*BH20/1000</f>
        <v>0</v>
      </c>
      <c r="CE20">
        <f>SUM(AM$13:AM20)*BI20/1000</f>
        <v>0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11.828437831789266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3"/>
        <v>11.828437831789266</v>
      </c>
      <c r="DA20">
        <f t="shared" si="37"/>
        <v>2027</v>
      </c>
      <c r="DB20" s="89">
        <f>IFERROR(VLOOKUP($DA20,'Table 3 TransCost'!$B$10:$E$40,4,FALSE),0)</f>
        <v>51.25</v>
      </c>
      <c r="DC20" s="176">
        <f t="shared" si="41"/>
        <v>0</v>
      </c>
    </row>
    <row r="21" spans="2:107">
      <c r="B21" s="15">
        <f t="shared" si="38"/>
        <v>2028</v>
      </c>
      <c r="C21" s="9">
        <f t="shared" si="17"/>
        <v>121.01790585379931</v>
      </c>
      <c r="D21" s="45"/>
      <c r="E21" s="9">
        <f t="shared" ca="1" si="39"/>
        <v>21.852212921216346</v>
      </c>
      <c r="F21" s="37"/>
      <c r="G21" s="14">
        <f t="shared" ca="1" si="42"/>
        <v>35.6292969209658</v>
      </c>
      <c r="H21" s="36"/>
      <c r="I21" s="176"/>
      <c r="J21" s="176"/>
      <c r="M21" s="113"/>
      <c r="O21">
        <f t="shared" si="18"/>
        <v>2028</v>
      </c>
      <c r="P21">
        <v>0</v>
      </c>
      <c r="Q21">
        <v>0</v>
      </c>
      <c r="R21">
        <v>0</v>
      </c>
      <c r="S21" s="368">
        <v>0</v>
      </c>
      <c r="T21" s="368">
        <v>0</v>
      </c>
      <c r="U21" s="176">
        <v>0</v>
      </c>
      <c r="V21" s="368">
        <v>0</v>
      </c>
      <c r="W21" s="368">
        <v>0</v>
      </c>
      <c r="X21" s="368">
        <v>0</v>
      </c>
      <c r="Y21" s="368">
        <v>0</v>
      </c>
      <c r="Z21" s="368">
        <v>0</v>
      </c>
      <c r="AA21" s="368">
        <v>0</v>
      </c>
      <c r="AB21" s="368">
        <v>0</v>
      </c>
      <c r="AC21" s="368">
        <v>0</v>
      </c>
      <c r="AD21" s="368">
        <v>0</v>
      </c>
      <c r="AE21" s="368">
        <v>0</v>
      </c>
      <c r="AF21" s="368">
        <v>0</v>
      </c>
      <c r="AG21" s="368">
        <v>0</v>
      </c>
      <c r="AL21">
        <f t="shared" si="19"/>
        <v>0</v>
      </c>
      <c r="AM21">
        <f t="shared" si="19"/>
        <v>0</v>
      </c>
      <c r="AN21">
        <f t="shared" si="20"/>
        <v>0</v>
      </c>
      <c r="AO21">
        <f t="shared" si="21"/>
        <v>0</v>
      </c>
      <c r="AP21">
        <f t="shared" si="22"/>
        <v>0</v>
      </c>
      <c r="AQ21">
        <f t="shared" si="23"/>
        <v>0</v>
      </c>
      <c r="AR21">
        <f t="shared" si="24"/>
        <v>0</v>
      </c>
      <c r="AS21">
        <f t="shared" si="25"/>
        <v>0</v>
      </c>
      <c r="AT21">
        <f t="shared" si="26"/>
        <v>0</v>
      </c>
      <c r="AU21">
        <f t="shared" si="27"/>
        <v>0</v>
      </c>
      <c r="AV21">
        <f t="shared" si="28"/>
        <v>0</v>
      </c>
      <c r="AW21">
        <f t="shared" si="29"/>
        <v>0</v>
      </c>
      <c r="AX21">
        <f t="shared" si="30"/>
        <v>0</v>
      </c>
      <c r="AY21">
        <f t="shared" si="31"/>
        <v>0</v>
      </c>
      <c r="AZ21">
        <f t="shared" si="32"/>
        <v>0</v>
      </c>
      <c r="BA21">
        <f t="shared" si="33"/>
        <v>0</v>
      </c>
      <c r="BB21">
        <f t="shared" si="34"/>
        <v>0</v>
      </c>
      <c r="BC21">
        <f t="shared" si="35"/>
        <v>0</v>
      </c>
      <c r="BG21">
        <f t="shared" si="40"/>
        <v>2028</v>
      </c>
      <c r="BH21" s="131">
        <f>IFERROR(VLOOKUP($O21,'Table 3 ID Wind_2030'!$B$10:$K$37,10,FALSE),0)</f>
        <v>0</v>
      </c>
      <c r="BI21" s="131">
        <f>IFERROR(VLOOKUP($O21,'Table 3 UT CP Wind_2023'!$B$10:$K$37,10,FALSE),0)</f>
        <v>135.75840579710146</v>
      </c>
      <c r="BJ21" s="131">
        <f>IFERROR(VLOOKUP($O21,'Table 3 WYAE Wind_2024'!$B$10:$L$37,11,FALSE),0)</f>
        <v>183.18010416666667</v>
      </c>
      <c r="BK21" s="131">
        <f>IFERROR(VLOOKUP($O21,'Table 3 YK Wind wS_2029'!$B$10:$K$37,10,FALSE),0)</f>
        <v>0</v>
      </c>
      <c r="BL21" s="370"/>
      <c r="BM21" s="131">
        <f>IFERROR(VLOOKUP($O21,'Table 3 ID Wind wS_2032'!$B$10:$K$38,10,FALSE),0)</f>
        <v>0</v>
      </c>
      <c r="BN21" s="131">
        <f>IFERROR(VLOOKUP($O21,'Table 3 PV wS YK_2024'!$B$10:$K$40,10,FALSE),0)</f>
        <v>103.2</v>
      </c>
      <c r="BO21" s="370"/>
      <c r="BP21" s="131">
        <f>IFERROR(VLOOKUP($O21,'Table 3 PV wS SO_2024'!$B$10:$K$40,10,FALSE),0)</f>
        <v>102.85</v>
      </c>
      <c r="BQ21" s="370"/>
      <c r="BR21" s="131">
        <f>IFERROR(VLOOKUP($O21,'Table 3 PV wS UTN_2024'!$B$10:$K$43,10,FALSE),0)</f>
        <v>101.97</v>
      </c>
      <c r="BS21" s="131">
        <f>IFERROR(VLOOKUP($O21,'Table 3 PV wS JB_2024'!$B$10:$K$40,10,FALSE),0)</f>
        <v>99.03</v>
      </c>
      <c r="BT21" s="131">
        <f>IFERROR(VLOOKUP($O21,'Table 3 PV wS JB_2029'!$B$10:$K$40,10,FALSE),0)</f>
        <v>30.64</v>
      </c>
      <c r="BU21" s="370"/>
      <c r="BV21" s="131">
        <f>IFERROR(VLOOKUP($O21,'Table 3 PV wS UTS_2024'!$B$10:$K$38,10,FALSE),0)</f>
        <v>100.81</v>
      </c>
      <c r="BW21" s="131">
        <f>IFERROR(VLOOKUP($O21,'Table 3 PV wS UTS_2030'!$B$10:$K$38,10,FALSE),0)</f>
        <v>30.64</v>
      </c>
      <c r="BX21" s="369"/>
      <c r="BY21" s="131">
        <f>IFERROR(VLOOKUP($O21,'Table 3 185 MW (NTN) 2026)'!$B$13:$L$40,11,FALSE),0)</f>
        <v>117.32</v>
      </c>
      <c r="CD21">
        <f>SUM(AL$13:AL21)*BH21/1000</f>
        <v>0</v>
      </c>
      <c r="CE21">
        <f>SUM(AM$13:AM21)*BI21/1000</f>
        <v>0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12.101790585379931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3"/>
        <v>12.101790585379931</v>
      </c>
      <c r="DA21">
        <f t="shared" si="37"/>
        <v>2028</v>
      </c>
      <c r="DB21" s="89">
        <f>IFERROR(VLOOKUP($DA21,'Table 3 TransCost'!$B$10:$E$40,4,FALSE),0)</f>
        <v>52.43</v>
      </c>
      <c r="DC21" s="176">
        <f t="shared" si="41"/>
        <v>0</v>
      </c>
    </row>
    <row r="22" spans="2:107">
      <c r="B22" s="15">
        <f t="shared" si="38"/>
        <v>2029</v>
      </c>
      <c r="C22" s="9">
        <f t="shared" si="17"/>
        <v>123.8030093809495</v>
      </c>
      <c r="D22" s="45"/>
      <c r="E22" s="9">
        <f t="shared" ca="1" si="39"/>
        <v>22.824583349545559</v>
      </c>
      <c r="F22" s="37"/>
      <c r="G22" s="14">
        <f t="shared" ca="1" si="42"/>
        <v>36.957346977507839</v>
      </c>
      <c r="H22" s="36"/>
      <c r="I22" s="176"/>
      <c r="J22" s="176"/>
      <c r="M22" s="113"/>
      <c r="O22">
        <f t="shared" si="18"/>
        <v>2029</v>
      </c>
      <c r="P22">
        <v>0</v>
      </c>
      <c r="Q22">
        <v>0</v>
      </c>
      <c r="R22">
        <v>0</v>
      </c>
      <c r="S22" s="368">
        <v>0</v>
      </c>
      <c r="T22" s="368">
        <v>0</v>
      </c>
      <c r="U22" s="176">
        <v>0</v>
      </c>
      <c r="V22" s="368">
        <v>0</v>
      </c>
      <c r="W22" s="368">
        <v>0</v>
      </c>
      <c r="X22" s="368">
        <v>0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0</v>
      </c>
      <c r="AF22" s="368">
        <v>0</v>
      </c>
      <c r="AG22" s="368">
        <v>0</v>
      </c>
      <c r="AL22">
        <f t="shared" si="19"/>
        <v>0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  <c r="AS22">
        <f t="shared" si="25"/>
        <v>0</v>
      </c>
      <c r="AT22">
        <f t="shared" si="26"/>
        <v>0</v>
      </c>
      <c r="AU22">
        <f t="shared" si="27"/>
        <v>0</v>
      </c>
      <c r="AV22">
        <f t="shared" si="28"/>
        <v>0</v>
      </c>
      <c r="AW22">
        <f t="shared" si="29"/>
        <v>0</v>
      </c>
      <c r="AX22">
        <f t="shared" si="30"/>
        <v>0</v>
      </c>
      <c r="AY22">
        <f t="shared" si="31"/>
        <v>0</v>
      </c>
      <c r="AZ22">
        <f t="shared" si="32"/>
        <v>0</v>
      </c>
      <c r="BA22">
        <f t="shared" si="33"/>
        <v>0</v>
      </c>
      <c r="BB22">
        <f t="shared" si="34"/>
        <v>0</v>
      </c>
      <c r="BC22">
        <f t="shared" si="35"/>
        <v>0</v>
      </c>
      <c r="BG22">
        <f t="shared" si="40"/>
        <v>2029</v>
      </c>
      <c r="BH22" s="131">
        <f>IFERROR(VLOOKUP($O22,'Table 3 ID Wind_2030'!$B$10:$K$37,10,FALSE),0)</f>
        <v>0</v>
      </c>
      <c r="BI22" s="131">
        <f>IFERROR(VLOOKUP($O22,'Table 3 UT CP Wind_2023'!$B$10:$K$37,10,FALSE),0)</f>
        <v>138.8744927536232</v>
      </c>
      <c r="BJ22" s="131">
        <f>IFERROR(VLOOKUP($O22,'Table 3 WYAE Wind_2024'!$B$10:$L$37,11,FALSE),0)</f>
        <v>187.38989583333336</v>
      </c>
      <c r="BK22" s="131">
        <f>IFERROR(VLOOKUP($O22,'Table 3 YK Wind wS_2029'!$B$10:$K$37,10,FALSE),0)</f>
        <v>143.38474081632654</v>
      </c>
      <c r="BL22" s="370"/>
      <c r="BM22" s="131">
        <f>IFERROR(VLOOKUP($O22,'Table 3 ID Wind wS_2032'!$B$10:$K$38,10,FALSE),0)</f>
        <v>0</v>
      </c>
      <c r="BN22" s="131">
        <f>IFERROR(VLOOKUP($O22,'Table 3 PV wS YK_2024'!$B$10:$K$40,10,FALSE),0)</f>
        <v>105.57000000000001</v>
      </c>
      <c r="BO22" s="370"/>
      <c r="BP22" s="131">
        <f>IFERROR(VLOOKUP($O22,'Table 3 PV wS SO_2024'!$B$10:$K$40,10,FALSE),0)</f>
        <v>105.21000000000001</v>
      </c>
      <c r="BQ22" s="370"/>
      <c r="BR22" s="131">
        <f>IFERROR(VLOOKUP($O22,'Table 3 PV wS UTN_2024'!$B$10:$K$43,10,FALSE),0)</f>
        <v>104.31</v>
      </c>
      <c r="BS22" s="131">
        <f>IFERROR(VLOOKUP($O22,'Table 3 PV wS JB_2024'!$B$10:$K$40,10,FALSE),0)</f>
        <v>101.3</v>
      </c>
      <c r="BT22" s="131">
        <f>IFERROR(VLOOKUP($O22,'Table 3 PV wS JB_2029'!$B$10:$K$40,10,FALSE),0)</f>
        <v>92.868924457429046</v>
      </c>
      <c r="BU22" s="370"/>
      <c r="BV22" s="131">
        <f>IFERROR(VLOOKUP($O22,'Table 3 PV wS UTS_2024'!$B$10:$K$38,10,FALSE),0)</f>
        <v>103.13000000000001</v>
      </c>
      <c r="BW22" s="131">
        <f>IFERROR(VLOOKUP($O22,'Table 3 PV wS UTS_2030'!$B$10:$K$38,10,FALSE),0)</f>
        <v>31.34</v>
      </c>
      <c r="BX22" s="369"/>
      <c r="BY22" s="131">
        <f>IFERROR(VLOOKUP($O22,'Table 3 185 MW (NTN) 2026)'!$B$13:$L$40,11,FALSE),0)</f>
        <v>120.02000000000001</v>
      </c>
      <c r="CD22">
        <f>SUM(AL$13:AL22)*BH22/1000</f>
        <v>0</v>
      </c>
      <c r="CE22">
        <f>SUM(AM$13:AM22)*BI22/1000</f>
        <v>0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12.380300938094949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3"/>
        <v>12.380300938094949</v>
      </c>
      <c r="DA22">
        <f t="shared" si="37"/>
        <v>2029</v>
      </c>
      <c r="DB22" s="89">
        <f>IFERROR(VLOOKUP($DA22,'Table 3 TransCost'!$B$10:$E$40,4,FALSE),0)</f>
        <v>53.640000000000008</v>
      </c>
      <c r="DC22" s="176">
        <f t="shared" si="41"/>
        <v>0</v>
      </c>
    </row>
    <row r="23" spans="2:107">
      <c r="B23" s="15">
        <f t="shared" si="38"/>
        <v>2030</v>
      </c>
      <c r="C23" s="9">
        <f t="shared" si="17"/>
        <v>126.53653691685614</v>
      </c>
      <c r="D23" s="45"/>
      <c r="E23" s="9">
        <f t="shared" ca="1" si="39"/>
        <v>21.772752592189619</v>
      </c>
      <c r="F23" s="37"/>
      <c r="G23" s="14">
        <f t="shared" ca="1" si="42"/>
        <v>36.217562742515675</v>
      </c>
      <c r="H23" s="36"/>
      <c r="I23" s="176"/>
      <c r="J23" s="176"/>
      <c r="M23" s="113"/>
      <c r="O23">
        <f t="shared" si="18"/>
        <v>2030</v>
      </c>
      <c r="P23">
        <v>0</v>
      </c>
      <c r="Q23">
        <v>0</v>
      </c>
      <c r="R23">
        <v>0</v>
      </c>
      <c r="S23" s="368">
        <v>0</v>
      </c>
      <c r="T23" s="368">
        <v>0</v>
      </c>
      <c r="U23" s="176">
        <v>0</v>
      </c>
      <c r="V23" s="368">
        <v>0</v>
      </c>
      <c r="W23" s="368">
        <v>0</v>
      </c>
      <c r="X23" s="368">
        <v>0</v>
      </c>
      <c r="Y23" s="368">
        <v>0</v>
      </c>
      <c r="Z23" s="368">
        <v>0</v>
      </c>
      <c r="AA23" s="368">
        <v>0</v>
      </c>
      <c r="AB23" s="368">
        <v>0</v>
      </c>
      <c r="AC23" s="368">
        <v>0</v>
      </c>
      <c r="AD23" s="368">
        <v>0</v>
      </c>
      <c r="AE23" s="368">
        <v>0</v>
      </c>
      <c r="AF23" s="368">
        <v>0</v>
      </c>
      <c r="AG23" s="368">
        <v>0</v>
      </c>
      <c r="AL23">
        <f t="shared" si="19"/>
        <v>0</v>
      </c>
      <c r="AM23">
        <f t="shared" si="19"/>
        <v>0</v>
      </c>
      <c r="AN23">
        <f t="shared" si="20"/>
        <v>0</v>
      </c>
      <c r="AO23">
        <f t="shared" si="21"/>
        <v>0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0</v>
      </c>
      <c r="AT23">
        <f t="shared" si="26"/>
        <v>0</v>
      </c>
      <c r="AU23">
        <f t="shared" si="27"/>
        <v>0</v>
      </c>
      <c r="AV23">
        <f t="shared" si="28"/>
        <v>0</v>
      </c>
      <c r="AW23">
        <f t="shared" si="29"/>
        <v>0</v>
      </c>
      <c r="AX23">
        <f t="shared" si="30"/>
        <v>0</v>
      </c>
      <c r="AY23">
        <f t="shared" si="31"/>
        <v>0</v>
      </c>
      <c r="AZ23">
        <f t="shared" si="32"/>
        <v>0</v>
      </c>
      <c r="BA23">
        <f t="shared" si="33"/>
        <v>0</v>
      </c>
      <c r="BB23">
        <f t="shared" si="34"/>
        <v>0</v>
      </c>
      <c r="BC23">
        <f t="shared" si="35"/>
        <v>0</v>
      </c>
      <c r="BG23">
        <f t="shared" si="40"/>
        <v>2030</v>
      </c>
      <c r="BH23" s="131">
        <f>IFERROR(VLOOKUP($O23,'Table 3 ID Wind_2030'!$B$10:$K$37,10,FALSE),0)</f>
        <v>136.2952817537722</v>
      </c>
      <c r="BI23" s="131">
        <f>IFERROR(VLOOKUP($O23,'Table 3 UT CP Wind_2023'!$B$10:$K$37,10,FALSE),0)</f>
        <v>141.95507246376812</v>
      </c>
      <c r="BJ23" s="131">
        <f>IFERROR(VLOOKUP($O23,'Table 3 WYAE Wind_2024'!$B$10:$L$37,11,FALSE),0)</f>
        <v>191.54</v>
      </c>
      <c r="BK23" s="131">
        <f>IFERROR(VLOOKUP($O23,'Table 3 YK Wind wS_2029'!$B$10:$K$37,10,FALSE),0)</f>
        <v>146.50020408163266</v>
      </c>
      <c r="BL23" s="370"/>
      <c r="BM23" s="131">
        <f>IFERROR(VLOOKUP($O23,'Table 3 ID Wind wS_2032'!$B$10:$K$38,10,FALSE),0)</f>
        <v>0</v>
      </c>
      <c r="BN23" s="131">
        <f>IFERROR(VLOOKUP($O23,'Table 3 PV wS YK_2024'!$B$10:$K$40,10,FALSE),0)</f>
        <v>107.89</v>
      </c>
      <c r="BO23" s="370"/>
      <c r="BP23" s="131">
        <f>IFERROR(VLOOKUP($O23,'Table 3 PV wS SO_2024'!$B$10:$K$40,10,FALSE),0)</f>
        <v>107.53</v>
      </c>
      <c r="BQ23" s="370"/>
      <c r="BR23" s="131">
        <f>IFERROR(VLOOKUP($O23,'Table 3 PV wS UTN_2024'!$B$10:$K$43,10,FALSE),0)</f>
        <v>106.6</v>
      </c>
      <c r="BS23" s="131">
        <f>IFERROR(VLOOKUP($O23,'Table 3 PV wS JB_2024'!$B$10:$K$40,10,FALSE),0)</f>
        <v>103.53</v>
      </c>
      <c r="BT23" s="131">
        <f>IFERROR(VLOOKUP($O23,'Table 3 PV wS JB_2029'!$B$10:$K$40,10,FALSE),0)</f>
        <v>94.91</v>
      </c>
      <c r="BU23" s="370"/>
      <c r="BV23" s="131">
        <f>IFERROR(VLOOKUP($O23,'Table 3 PV wS UTS_2024'!$B$10:$K$38,10,FALSE),0)</f>
        <v>105.39999999999999</v>
      </c>
      <c r="BW23" s="131">
        <f>IFERROR(VLOOKUP($O23,'Table 3 PV wS UTS_2030'!$B$10:$K$38,10,FALSE),0)</f>
        <v>135.20129714599963</v>
      </c>
      <c r="BX23" s="369"/>
      <c r="BY23" s="131">
        <f>IFERROR(VLOOKUP($O23,'Table 3 185 MW (NTN) 2026)'!$B$13:$L$40,11,FALSE),0)</f>
        <v>122.67</v>
      </c>
      <c r="CD23">
        <f>SUM(AL$13:AL23)*BH23/1000</f>
        <v>0</v>
      </c>
      <c r="CE23">
        <f>SUM(AM$13:AM23)*BI23/1000</f>
        <v>0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12.653653691685612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3"/>
        <v>12.653653691685612</v>
      </c>
      <c r="DA23">
        <f t="shared" si="37"/>
        <v>2030</v>
      </c>
      <c r="DB23" s="89">
        <f>IFERROR(VLOOKUP($DA23,'Table 3 TransCost'!$B$10:$E$40,4,FALSE),0)</f>
        <v>54.82</v>
      </c>
      <c r="DC23" s="176">
        <f t="shared" si="41"/>
        <v>0</v>
      </c>
    </row>
    <row r="24" spans="2:107">
      <c r="B24" s="15">
        <f t="shared" si="38"/>
        <v>2031</v>
      </c>
      <c r="C24" s="9">
        <f t="shared" si="17"/>
        <v>129.32164044400631</v>
      </c>
      <c r="D24" s="45"/>
      <c r="E24" s="9">
        <f t="shared" ca="1" si="39"/>
        <v>24.133162749949452</v>
      </c>
      <c r="F24" s="37"/>
      <c r="G24" s="14">
        <f t="shared" ca="1" si="42"/>
        <v>38.895907092872548</v>
      </c>
      <c r="H24" s="36"/>
      <c r="I24" s="176"/>
      <c r="J24" s="176"/>
      <c r="M24" s="113"/>
      <c r="O24">
        <f t="shared" si="18"/>
        <v>2031</v>
      </c>
      <c r="P24">
        <v>0</v>
      </c>
      <c r="Q24">
        <v>0</v>
      </c>
      <c r="R24">
        <v>0</v>
      </c>
      <c r="S24" s="368">
        <v>0</v>
      </c>
      <c r="T24" s="368">
        <v>0</v>
      </c>
      <c r="U24" s="176">
        <v>0</v>
      </c>
      <c r="V24" s="368">
        <v>0</v>
      </c>
      <c r="W24" s="368">
        <v>0</v>
      </c>
      <c r="X24" s="368">
        <v>0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0</v>
      </c>
      <c r="AF24" s="368">
        <v>0</v>
      </c>
      <c r="AG24" s="368">
        <v>0</v>
      </c>
      <c r="AL24">
        <f t="shared" si="19"/>
        <v>0</v>
      </c>
      <c r="AM24">
        <f t="shared" si="19"/>
        <v>0</v>
      </c>
      <c r="AN24">
        <f t="shared" si="20"/>
        <v>0</v>
      </c>
      <c r="AO24">
        <f t="shared" si="21"/>
        <v>0</v>
      </c>
      <c r="AP24">
        <f t="shared" si="22"/>
        <v>0</v>
      </c>
      <c r="AQ24">
        <f t="shared" si="23"/>
        <v>0</v>
      </c>
      <c r="AR24">
        <f t="shared" si="24"/>
        <v>0</v>
      </c>
      <c r="AS24">
        <f t="shared" si="25"/>
        <v>0</v>
      </c>
      <c r="AT24">
        <f t="shared" si="26"/>
        <v>0</v>
      </c>
      <c r="AU24">
        <f t="shared" si="27"/>
        <v>0</v>
      </c>
      <c r="AV24">
        <f t="shared" si="28"/>
        <v>0</v>
      </c>
      <c r="AW24">
        <f t="shared" si="29"/>
        <v>0</v>
      </c>
      <c r="AX24">
        <f t="shared" si="30"/>
        <v>0</v>
      </c>
      <c r="AY24">
        <f t="shared" si="31"/>
        <v>0</v>
      </c>
      <c r="AZ24">
        <f t="shared" si="32"/>
        <v>0</v>
      </c>
      <c r="BA24">
        <f t="shared" si="33"/>
        <v>0</v>
      </c>
      <c r="BB24">
        <f t="shared" si="34"/>
        <v>0</v>
      </c>
      <c r="BC24">
        <f t="shared" si="35"/>
        <v>0</v>
      </c>
      <c r="BG24">
        <f t="shared" si="40"/>
        <v>2031</v>
      </c>
      <c r="BH24" s="131">
        <f>IFERROR(VLOOKUP($O24,'Table 3 ID Wind_2030'!$B$10:$K$37,10,FALSE),0)</f>
        <v>139.32004232397077</v>
      </c>
      <c r="BI24" s="131">
        <f>IFERROR(VLOOKUP($O24,'Table 3 UT CP Wind_2023'!$B$10:$K$37,10,FALSE),0)</f>
        <v>145.11463768115945</v>
      </c>
      <c r="BJ24" s="131">
        <f>IFERROR(VLOOKUP($O24,'Table 3 WYAE Wind_2024'!$B$10:$L$37,11,FALSE),0)</f>
        <v>195.78989583333333</v>
      </c>
      <c r="BK24" s="131">
        <f>IFERROR(VLOOKUP($O24,'Table 3 YK Wind wS_2029'!$B$10:$K$37,10,FALSE),0)</f>
        <v>149.77244897959184</v>
      </c>
      <c r="BL24" s="370"/>
      <c r="BM24" s="131">
        <f>IFERROR(VLOOKUP($O24,'Table 3 ID Wind wS_2032'!$B$10:$K$38,10,FALSE),0)</f>
        <v>0</v>
      </c>
      <c r="BN24" s="131">
        <f>IFERROR(VLOOKUP($O24,'Table 3 PV wS YK_2024'!$B$10:$K$40,10,FALSE),0)</f>
        <v>110.25999999999998</v>
      </c>
      <c r="BO24" s="370"/>
      <c r="BP24" s="131">
        <f>IFERROR(VLOOKUP($O24,'Table 3 PV wS SO_2024'!$B$10:$K$40,10,FALSE),0)</f>
        <v>109.88999999999999</v>
      </c>
      <c r="BQ24" s="370"/>
      <c r="BR24" s="131">
        <f>IFERROR(VLOOKUP($O24,'Table 3 PV wS UTN_2024'!$B$10:$K$43,10,FALSE),0)</f>
        <v>108.94</v>
      </c>
      <c r="BS24" s="131">
        <f>IFERROR(VLOOKUP($O24,'Table 3 PV wS JB_2024'!$B$10:$K$40,10,FALSE),0)</f>
        <v>105.79999999999998</v>
      </c>
      <c r="BT24" s="131">
        <f>IFERROR(VLOOKUP($O24,'Table 3 PV wS JB_2029'!$B$10:$K$40,10,FALSE),0)</f>
        <v>96.990000000000009</v>
      </c>
      <c r="BU24" s="370"/>
      <c r="BV24" s="131">
        <f>IFERROR(VLOOKUP($O24,'Table 3 PV wS UTS_2024'!$B$10:$K$38,10,FALSE),0)</f>
        <v>107.72</v>
      </c>
      <c r="BW24" s="131">
        <f>IFERROR(VLOOKUP($O24,'Table 3 PV wS UTS_2030'!$B$10:$K$38,10,FALSE),0)</f>
        <v>138.17000000000002</v>
      </c>
      <c r="BX24" s="369"/>
      <c r="BY24" s="131">
        <f>IFERROR(VLOOKUP($O24,'Table 3 185 MW (NTN) 2026)'!$B$13:$L$40,11,FALSE),0)</f>
        <v>125.36999999999999</v>
      </c>
      <c r="CD24">
        <f>SUM(AL$13:AL24)*BH24/1000</f>
        <v>0</v>
      </c>
      <c r="CE24">
        <f>SUM(AM$13:AM24)*BI24/1000</f>
        <v>0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12.932164044400629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3"/>
        <v>12.932164044400629</v>
      </c>
      <c r="DA24">
        <f t="shared" si="37"/>
        <v>2031</v>
      </c>
      <c r="DB24" s="89">
        <f>IFERROR(VLOOKUP($DA24,'Table 3 TransCost'!$B$10:$E$40,4,FALSE),0)</f>
        <v>56.03</v>
      </c>
      <c r="DC24" s="176">
        <f t="shared" si="41"/>
        <v>0</v>
      </c>
    </row>
    <row r="25" spans="2:107">
      <c r="B25" s="15">
        <f t="shared" si="38"/>
        <v>2032</v>
      </c>
      <c r="C25" s="9">
        <f t="shared" si="17"/>
        <v>132.18926555714609</v>
      </c>
      <c r="D25" s="45"/>
      <c r="E25" s="9">
        <f t="shared" ca="1" si="39"/>
        <v>28.579671066567432</v>
      </c>
      <c r="F25" s="37"/>
      <c r="G25" s="14">
        <f t="shared" ca="1" si="42"/>
        <v>43.628540096297172</v>
      </c>
      <c r="H25" s="36"/>
      <c r="I25" s="176"/>
      <c r="J25" s="176"/>
      <c r="M25" s="113"/>
      <c r="O25">
        <f t="shared" si="18"/>
        <v>2032</v>
      </c>
      <c r="P25">
        <v>0</v>
      </c>
      <c r="Q25">
        <v>0</v>
      </c>
      <c r="R25">
        <v>0</v>
      </c>
      <c r="S25" s="368">
        <v>0</v>
      </c>
      <c r="T25" s="368">
        <v>0</v>
      </c>
      <c r="U25" s="176">
        <v>0</v>
      </c>
      <c r="V25" s="368">
        <v>0</v>
      </c>
      <c r="W25" s="368">
        <v>0</v>
      </c>
      <c r="X25" s="368">
        <v>0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0</v>
      </c>
      <c r="AF25" s="368">
        <v>0</v>
      </c>
      <c r="AG25" s="368">
        <v>0</v>
      </c>
      <c r="AL25">
        <f t="shared" si="19"/>
        <v>0</v>
      </c>
      <c r="AM25">
        <f t="shared" si="19"/>
        <v>0</v>
      </c>
      <c r="AN25">
        <f t="shared" si="20"/>
        <v>0</v>
      </c>
      <c r="AO25">
        <f t="shared" si="21"/>
        <v>0</v>
      </c>
      <c r="AP25">
        <f t="shared" si="22"/>
        <v>0</v>
      </c>
      <c r="AQ25">
        <f t="shared" si="23"/>
        <v>0</v>
      </c>
      <c r="AR25">
        <f t="shared" si="24"/>
        <v>0</v>
      </c>
      <c r="AS25">
        <f t="shared" si="25"/>
        <v>0</v>
      </c>
      <c r="AT25">
        <f t="shared" si="26"/>
        <v>0</v>
      </c>
      <c r="AU25">
        <f t="shared" si="27"/>
        <v>0</v>
      </c>
      <c r="AV25">
        <f t="shared" si="28"/>
        <v>0</v>
      </c>
      <c r="AW25">
        <f t="shared" si="29"/>
        <v>0</v>
      </c>
      <c r="AX25">
        <f t="shared" si="30"/>
        <v>0</v>
      </c>
      <c r="AY25">
        <f t="shared" si="31"/>
        <v>0</v>
      </c>
      <c r="AZ25">
        <f t="shared" si="32"/>
        <v>0</v>
      </c>
      <c r="BA25">
        <f t="shared" si="33"/>
        <v>0</v>
      </c>
      <c r="BB25">
        <f t="shared" si="34"/>
        <v>0</v>
      </c>
      <c r="BC25">
        <f t="shared" si="35"/>
        <v>0</v>
      </c>
      <c r="BG25">
        <f t="shared" si="40"/>
        <v>2032</v>
      </c>
      <c r="BH25" s="131">
        <f>IFERROR(VLOOKUP($O25,'Table 3 ID Wind_2030'!$B$10:$K$37,10,FALSE),0)</f>
        <v>142.41018853405157</v>
      </c>
      <c r="BI25" s="131">
        <f>IFERROR(VLOOKUP($O25,'Table 3 UT CP Wind_2023'!$B$10:$K$37,10,FALSE),0)</f>
        <v>148.33869565217393</v>
      </c>
      <c r="BJ25" s="131">
        <f>IFERROR(VLOOKUP($O25,'Table 3 WYAE Wind_2024'!$B$10:$L$37,11,FALSE),0)</f>
        <v>200.13010416666665</v>
      </c>
      <c r="BK25" s="131">
        <f>IFERROR(VLOOKUP($O25,'Table 3 YK Wind wS_2029'!$B$10:$K$37,10,FALSE),0)</f>
        <v>153.10469387755103</v>
      </c>
      <c r="BL25" s="370"/>
      <c r="BM25" s="131">
        <f>IFERROR(VLOOKUP($O25,'Table 3 ID Wind wS_2032'!$B$10:$K$38,10,FALSE),0)</f>
        <v>154.69594420529799</v>
      </c>
      <c r="BN25" s="131">
        <f>IFERROR(VLOOKUP($O25,'Table 3 PV wS YK_2024'!$B$10:$K$40,10,FALSE),0)</f>
        <v>112.69</v>
      </c>
      <c r="BO25" s="370"/>
      <c r="BP25" s="131">
        <f>IFERROR(VLOOKUP($O25,'Table 3 PV wS SO_2024'!$B$10:$K$40,10,FALSE),0)</f>
        <v>112.31</v>
      </c>
      <c r="BQ25" s="370"/>
      <c r="BR25" s="131">
        <f>IFERROR(VLOOKUP($O25,'Table 3 PV wS UTN_2024'!$B$10:$K$43,10,FALSE),0)</f>
        <v>111.33999999999999</v>
      </c>
      <c r="BS25" s="131">
        <f>IFERROR(VLOOKUP($O25,'Table 3 PV wS JB_2024'!$B$10:$K$40,10,FALSE),0)</f>
        <v>108.13000000000001</v>
      </c>
      <c r="BT25" s="131">
        <f>IFERROR(VLOOKUP($O25,'Table 3 PV wS JB_2029'!$B$10:$K$40,10,FALSE),0)</f>
        <v>99.12</v>
      </c>
      <c r="BU25" s="370"/>
      <c r="BV25" s="131">
        <f>IFERROR(VLOOKUP($O25,'Table 3 PV wS UTS_2024'!$B$10:$K$38,10,FALSE),0)</f>
        <v>110.08999999999999</v>
      </c>
      <c r="BW25" s="131">
        <f>IFERROR(VLOOKUP($O25,'Table 3 PV wS UTS_2030'!$B$10:$K$38,10,FALSE),0)</f>
        <v>141.21</v>
      </c>
      <c r="BX25" s="369"/>
      <c r="BY25" s="131">
        <f>IFERROR(VLOOKUP($O25,'Table 3 185 MW (NTN) 2026)'!$B$13:$L$40,11,FALSE),0)</f>
        <v>128.14999999999998</v>
      </c>
      <c r="CD25">
        <f>SUM(AL$13:AL25)*BH25/1000</f>
        <v>0</v>
      </c>
      <c r="CE25">
        <f>SUM(AM$13:AM25)*BI25/1000</f>
        <v>0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13.21892655571461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3"/>
        <v>13.21892655571461</v>
      </c>
      <c r="DA25">
        <f t="shared" si="37"/>
        <v>2032</v>
      </c>
      <c r="DB25" s="89">
        <f>IFERROR(VLOOKUP($DA25,'Table 3 TransCost'!$B$10:$E$40,4,FALSE),0)</f>
        <v>57.26</v>
      </c>
      <c r="DC25" s="176">
        <f t="shared" si="41"/>
        <v>0</v>
      </c>
    </row>
    <row r="26" spans="2:107">
      <c r="B26" s="15">
        <f t="shared" si="38"/>
        <v>2033</v>
      </c>
      <c r="C26" s="9">
        <f t="shared" si="17"/>
        <v>134.94342348955016</v>
      </c>
      <c r="D26" s="45"/>
      <c r="E26" s="9">
        <f t="shared" ca="1" si="39"/>
        <v>30.243587638061172</v>
      </c>
      <c r="F26" s="37"/>
      <c r="G26" s="14">
        <f t="shared" ca="1" si="42"/>
        <v>45.648088036411657</v>
      </c>
      <c r="H26" s="36"/>
      <c r="I26" s="176"/>
      <c r="J26" s="176"/>
      <c r="M26" s="113"/>
      <c r="O26">
        <f t="shared" si="18"/>
        <v>2033</v>
      </c>
      <c r="P26">
        <v>0</v>
      </c>
      <c r="Q26">
        <v>0</v>
      </c>
      <c r="R26">
        <v>0</v>
      </c>
      <c r="S26" s="368">
        <v>0</v>
      </c>
      <c r="T26" s="368">
        <v>0</v>
      </c>
      <c r="U26" s="176">
        <v>0</v>
      </c>
      <c r="V26" s="368">
        <v>0</v>
      </c>
      <c r="W26" s="368">
        <v>0</v>
      </c>
      <c r="X26" s="368">
        <v>0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0</v>
      </c>
      <c r="AF26" s="368">
        <v>0</v>
      </c>
      <c r="AG26" s="368">
        <v>0</v>
      </c>
      <c r="AL26">
        <f t="shared" si="19"/>
        <v>0</v>
      </c>
      <c r="AM26">
        <f t="shared" si="19"/>
        <v>0</v>
      </c>
      <c r="AN26">
        <f t="shared" si="20"/>
        <v>0</v>
      </c>
      <c r="AO26">
        <f t="shared" si="21"/>
        <v>0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0</v>
      </c>
      <c r="AT26">
        <f t="shared" si="26"/>
        <v>0</v>
      </c>
      <c r="AU26">
        <f t="shared" si="27"/>
        <v>0</v>
      </c>
      <c r="AV26">
        <f t="shared" si="28"/>
        <v>0</v>
      </c>
      <c r="AW26">
        <f t="shared" si="29"/>
        <v>0</v>
      </c>
      <c r="AX26">
        <f t="shared" si="30"/>
        <v>0</v>
      </c>
      <c r="AY26">
        <f t="shared" si="31"/>
        <v>0</v>
      </c>
      <c r="AZ26">
        <f t="shared" si="32"/>
        <v>0</v>
      </c>
      <c r="BA26">
        <f t="shared" si="33"/>
        <v>0</v>
      </c>
      <c r="BB26">
        <f t="shared" si="34"/>
        <v>0</v>
      </c>
      <c r="BC26">
        <f t="shared" si="35"/>
        <v>0</v>
      </c>
      <c r="BG26">
        <f t="shared" si="40"/>
        <v>2033</v>
      </c>
      <c r="BH26" s="131">
        <f>IFERROR(VLOOKUP($O26,'Table 3 ID Wind_2030'!$B$10:$K$37,10,FALSE),0)</f>
        <v>145.47957291265874</v>
      </c>
      <c r="BI26" s="131">
        <f>IFERROR(VLOOKUP($O26,'Table 3 UT CP Wind_2023'!$B$10:$K$37,10,FALSE),0)</f>
        <v>151.52724637681158</v>
      </c>
      <c r="BJ26" s="131">
        <f>IFERROR(VLOOKUP($O26,'Table 3 WYAE Wind_2024'!$B$10:$L$37,11,FALSE),0)</f>
        <v>204.40010416666667</v>
      </c>
      <c r="BK26" s="131">
        <f>IFERROR(VLOOKUP($O26,'Table 3 YK Wind wS_2029'!$B$10:$K$37,10,FALSE),0)</f>
        <v>156.36693877551019</v>
      </c>
      <c r="BL26" s="370"/>
      <c r="BM26" s="131">
        <f>IFERROR(VLOOKUP($O26,'Table 3 ID Wind wS_2032'!$B$10:$K$38,10,FALSE),0)</f>
        <v>157.99788079470198</v>
      </c>
      <c r="BN26" s="131">
        <f>IFERROR(VLOOKUP($O26,'Table 3 PV wS YK_2024'!$B$10:$K$40,10,FALSE),0)</f>
        <v>115.05</v>
      </c>
      <c r="BO26" s="370"/>
      <c r="BP26" s="131">
        <f>IFERROR(VLOOKUP($O26,'Table 3 PV wS SO_2024'!$B$10:$K$40,10,FALSE),0)</f>
        <v>114.66999999999999</v>
      </c>
      <c r="BQ26" s="370"/>
      <c r="BR26" s="131">
        <f>IFERROR(VLOOKUP($O26,'Table 3 PV wS UTN_2024'!$B$10:$K$43,10,FALSE),0)</f>
        <v>113.66999999999999</v>
      </c>
      <c r="BS26" s="131">
        <f>IFERROR(VLOOKUP($O26,'Table 3 PV wS JB_2024'!$B$10:$K$40,10,FALSE),0)</f>
        <v>110.4</v>
      </c>
      <c r="BT26" s="131">
        <f>IFERROR(VLOOKUP($O26,'Table 3 PV wS JB_2029'!$B$10:$K$40,10,FALSE),0)</f>
        <v>101.19999999999999</v>
      </c>
      <c r="BU26" s="370"/>
      <c r="BV26" s="131">
        <f>IFERROR(VLOOKUP($O26,'Table 3 PV wS UTS_2024'!$B$10:$K$38,10,FALSE),0)</f>
        <v>112.39999999999999</v>
      </c>
      <c r="BW26" s="131">
        <f>IFERROR(VLOOKUP($O26,'Table 3 PV wS UTS_2030'!$B$10:$K$38,10,FALSE),0)</f>
        <v>144.16999999999999</v>
      </c>
      <c r="BX26" s="369"/>
      <c r="BY26" s="131">
        <f>IFERROR(VLOOKUP($O26,'Table 3 185 MW (NTN) 2026)'!$B$13:$L$40,11,FALSE),0)</f>
        <v>130.82</v>
      </c>
      <c r="CD26">
        <f>SUM(AL$13:AL26)*BH26/1000</f>
        <v>0</v>
      </c>
      <c r="CE26">
        <f>SUM(AM$13:AM26)*BI26/1000</f>
        <v>0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13.494342348955017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3"/>
        <v>13.494342348955017</v>
      </c>
      <c r="DA26">
        <f t="shared" si="37"/>
        <v>2033</v>
      </c>
      <c r="DB26" s="89">
        <f>IFERROR(VLOOKUP($DA26,'Table 3 TransCost'!$B$10:$E$40,4,FALSE),0)</f>
        <v>58.46</v>
      </c>
      <c r="DC26" s="176">
        <f t="shared" si="41"/>
        <v>0</v>
      </c>
    </row>
    <row r="27" spans="2:107">
      <c r="B27" s="15">
        <f t="shared" si="38"/>
        <v>2034</v>
      </c>
      <c r="C27" s="9">
        <f t="shared" si="17"/>
        <v>137.79041820619256</v>
      </c>
      <c r="D27" s="45"/>
      <c r="E27" s="9">
        <f t="shared" ca="1" si="39"/>
        <v>31.486928934003682</v>
      </c>
      <c r="F27" s="37"/>
      <c r="G27" s="14">
        <f t="shared" ca="1" si="42"/>
        <v>47.21642872923114</v>
      </c>
      <c r="H27" s="36"/>
      <c r="I27" s="176"/>
      <c r="J27" s="176"/>
      <c r="M27" s="113"/>
      <c r="O27">
        <f t="shared" si="18"/>
        <v>2034</v>
      </c>
      <c r="P27">
        <v>0</v>
      </c>
      <c r="Q27">
        <v>0</v>
      </c>
      <c r="R27">
        <v>0</v>
      </c>
      <c r="S27" s="368">
        <v>0</v>
      </c>
      <c r="T27" s="368">
        <v>0</v>
      </c>
      <c r="U27" s="176">
        <v>0</v>
      </c>
      <c r="V27" s="368">
        <v>0</v>
      </c>
      <c r="W27" s="368">
        <v>0</v>
      </c>
      <c r="X27" s="368">
        <v>0</v>
      </c>
      <c r="Y27" s="368">
        <v>0</v>
      </c>
      <c r="Z27" s="368">
        <v>0</v>
      </c>
      <c r="AA27" s="368">
        <v>0</v>
      </c>
      <c r="AB27" s="368">
        <v>0</v>
      </c>
      <c r="AC27" s="368">
        <v>0</v>
      </c>
      <c r="AD27" s="368">
        <v>0</v>
      </c>
      <c r="AE27" s="368">
        <v>0</v>
      </c>
      <c r="AF27" s="368">
        <v>0</v>
      </c>
      <c r="AG27" s="368">
        <v>0</v>
      </c>
      <c r="AL27">
        <f t="shared" si="19"/>
        <v>0</v>
      </c>
      <c r="AM27">
        <f t="shared" si="19"/>
        <v>0</v>
      </c>
      <c r="AN27">
        <f t="shared" si="20"/>
        <v>0</v>
      </c>
      <c r="AO27">
        <f t="shared" si="21"/>
        <v>0</v>
      </c>
      <c r="AP27">
        <f t="shared" si="22"/>
        <v>0</v>
      </c>
      <c r="AQ27">
        <f t="shared" si="23"/>
        <v>0</v>
      </c>
      <c r="AR27">
        <f t="shared" si="24"/>
        <v>0</v>
      </c>
      <c r="AS27">
        <f t="shared" si="25"/>
        <v>0</v>
      </c>
      <c r="AT27">
        <f t="shared" si="26"/>
        <v>0</v>
      </c>
      <c r="AU27">
        <f t="shared" si="27"/>
        <v>0</v>
      </c>
      <c r="AV27">
        <f t="shared" si="28"/>
        <v>0</v>
      </c>
      <c r="AW27">
        <f t="shared" si="29"/>
        <v>0</v>
      </c>
      <c r="AX27">
        <f t="shared" si="30"/>
        <v>0</v>
      </c>
      <c r="AY27">
        <f t="shared" si="31"/>
        <v>0</v>
      </c>
      <c r="AZ27">
        <f t="shared" si="32"/>
        <v>0</v>
      </c>
      <c r="BA27">
        <f t="shared" si="33"/>
        <v>0</v>
      </c>
      <c r="BB27">
        <f t="shared" si="34"/>
        <v>0</v>
      </c>
      <c r="BC27">
        <f t="shared" si="35"/>
        <v>0</v>
      </c>
      <c r="BG27">
        <f t="shared" si="40"/>
        <v>2034</v>
      </c>
      <c r="BH27" s="131">
        <f>IFERROR(VLOOKUP($O27,'Table 3 ID Wind_2030'!$B$10:$K$37,10,FALSE),0)</f>
        <v>148.61011927664484</v>
      </c>
      <c r="BI27" s="131">
        <f>IFERROR(VLOOKUP($O27,'Table 3 UT CP Wind_2023'!$B$10:$K$37,10,FALSE),0)</f>
        <v>154.78478260869562</v>
      </c>
      <c r="BJ27" s="131">
        <f>IFERROR(VLOOKUP($O27,'Table 3 WYAE Wind_2024'!$B$10:$L$37,11,FALSE),0)</f>
        <v>208.76989583333332</v>
      </c>
      <c r="BK27" s="131">
        <f>IFERROR(VLOOKUP($O27,'Table 3 YK Wind wS_2029'!$B$10:$K$37,10,FALSE),0)</f>
        <v>159.68918367346942</v>
      </c>
      <c r="BL27" s="370"/>
      <c r="BM27" s="131">
        <f>IFERROR(VLOOKUP($O27,'Table 3 ID Wind wS_2032'!$B$10:$K$38,10,FALSE),0)</f>
        <v>161.36701986754966</v>
      </c>
      <c r="BN27" s="131">
        <f>IFERROR(VLOOKUP($O27,'Table 3 PV wS YK_2024'!$B$10:$K$40,10,FALSE),0)</f>
        <v>117.46999999999998</v>
      </c>
      <c r="BO27" s="370"/>
      <c r="BP27" s="131">
        <f>IFERROR(VLOOKUP($O27,'Table 3 PV wS SO_2024'!$B$10:$K$40,10,FALSE),0)</f>
        <v>117.07999999999998</v>
      </c>
      <c r="BQ27" s="370"/>
      <c r="BR27" s="131">
        <f>IFERROR(VLOOKUP($O27,'Table 3 PV wS UTN_2024'!$B$10:$K$43,10,FALSE),0)</f>
        <v>116.05999999999999</v>
      </c>
      <c r="BS27" s="131">
        <f>IFERROR(VLOOKUP($O27,'Table 3 PV wS JB_2024'!$B$10:$K$40,10,FALSE),0)</f>
        <v>112.72</v>
      </c>
      <c r="BT27" s="131">
        <f>IFERROR(VLOOKUP($O27,'Table 3 PV wS JB_2029'!$B$10:$K$40,10,FALSE),0)</f>
        <v>103.32999999999998</v>
      </c>
      <c r="BU27" s="370"/>
      <c r="BV27" s="131">
        <f>IFERROR(VLOOKUP($O27,'Table 3 PV wS UTS_2024'!$B$10:$K$38,10,FALSE),0)</f>
        <v>114.75999999999999</v>
      </c>
      <c r="BW27" s="131">
        <f>IFERROR(VLOOKUP($O27,'Table 3 PV wS UTS_2030'!$B$10:$K$38,10,FALSE),0)</f>
        <v>147.20000000000002</v>
      </c>
      <c r="BX27" s="369"/>
      <c r="BY27" s="131">
        <f>IFERROR(VLOOKUP($O27,'Table 3 185 MW (NTN) 2026)'!$B$13:$L$40,11,FALSE),0)</f>
        <v>133.57999999999998</v>
      </c>
      <c r="CD27">
        <f>SUM(AL$13:AL27)*BH27/1000</f>
        <v>0</v>
      </c>
      <c r="CE27">
        <f>SUM(AM$13:AM27)*BI27/1000</f>
        <v>0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13.779041820619256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3"/>
        <v>13.779041820619256</v>
      </c>
      <c r="DA27">
        <f t="shared" si="37"/>
        <v>2034</v>
      </c>
      <c r="DB27" s="89">
        <f>IFERROR(VLOOKUP($DA27,'Table 3 TransCost'!$B$10:$E$40,4,FALSE),0)</f>
        <v>59.69</v>
      </c>
      <c r="DC27" s="176">
        <f t="shared" si="41"/>
        <v>0</v>
      </c>
    </row>
    <row r="28" spans="2:107">
      <c r="B28" s="15">
        <f t="shared" si="38"/>
        <v>2035</v>
      </c>
      <c r="C28" s="9">
        <f t="shared" si="17"/>
        <v>140.66835851758108</v>
      </c>
      <c r="D28" s="45"/>
      <c r="E28" s="9">
        <f t="shared" ca="1" si="39"/>
        <v>33.253234574503296</v>
      </c>
      <c r="F28" s="37"/>
      <c r="G28" s="14">
        <f t="shared" ca="1" si="42"/>
        <v>49.311266368747702</v>
      </c>
      <c r="H28" s="36"/>
      <c r="I28" s="176"/>
      <c r="J28" s="176"/>
      <c r="M28" s="113"/>
      <c r="O28">
        <f t="shared" si="18"/>
        <v>2035</v>
      </c>
      <c r="P28">
        <v>0</v>
      </c>
      <c r="Q28">
        <v>0</v>
      </c>
      <c r="R28">
        <v>0</v>
      </c>
      <c r="S28" s="368">
        <v>0</v>
      </c>
      <c r="T28" s="368">
        <v>0</v>
      </c>
      <c r="U28" s="176">
        <v>0</v>
      </c>
      <c r="V28" s="368">
        <v>0</v>
      </c>
      <c r="W28" s="368">
        <v>0</v>
      </c>
      <c r="X28" s="368">
        <v>0</v>
      </c>
      <c r="Y28" s="368">
        <v>0</v>
      </c>
      <c r="Z28" s="368">
        <v>0</v>
      </c>
      <c r="AA28" s="368">
        <v>0</v>
      </c>
      <c r="AB28" s="368">
        <v>0</v>
      </c>
      <c r="AC28" s="368">
        <v>0</v>
      </c>
      <c r="AD28" s="368">
        <v>0</v>
      </c>
      <c r="AE28" s="368">
        <v>0</v>
      </c>
      <c r="AF28" s="368">
        <v>0</v>
      </c>
      <c r="AG28" s="368">
        <v>0</v>
      </c>
      <c r="AL28">
        <f t="shared" si="19"/>
        <v>0</v>
      </c>
      <c r="AM28">
        <f t="shared" si="19"/>
        <v>0</v>
      </c>
      <c r="AN28">
        <f t="shared" si="20"/>
        <v>0</v>
      </c>
      <c r="AO28">
        <f t="shared" si="21"/>
        <v>0</v>
      </c>
      <c r="AP28">
        <f t="shared" si="22"/>
        <v>0</v>
      </c>
      <c r="AQ28">
        <f t="shared" si="23"/>
        <v>0</v>
      </c>
      <c r="AR28">
        <f t="shared" si="24"/>
        <v>0</v>
      </c>
      <c r="AS28">
        <f t="shared" si="25"/>
        <v>0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29"/>
        <v>0</v>
      </c>
      <c r="AX28">
        <f t="shared" si="30"/>
        <v>0</v>
      </c>
      <c r="AY28">
        <f t="shared" si="31"/>
        <v>0</v>
      </c>
      <c r="AZ28">
        <f t="shared" si="32"/>
        <v>0</v>
      </c>
      <c r="BA28">
        <f t="shared" si="33"/>
        <v>0</v>
      </c>
      <c r="BB28">
        <f t="shared" si="34"/>
        <v>0</v>
      </c>
      <c r="BC28">
        <f t="shared" si="35"/>
        <v>0</v>
      </c>
      <c r="BG28">
        <f t="shared" si="40"/>
        <v>2035</v>
      </c>
      <c r="BH28" s="131">
        <f>IFERROR(VLOOKUP($O28,'Table 3 ID Wind_2030'!$B$10:$K$37,10,FALSE),0)</f>
        <v>151.80990380915736</v>
      </c>
      <c r="BI28" s="131">
        <f>IFERROR(VLOOKUP($O28,'Table 3 UT CP Wind_2023'!$B$10:$K$37,10,FALSE),0)</f>
        <v>158.1068115942029</v>
      </c>
      <c r="BJ28" s="131">
        <f>IFERROR(VLOOKUP($O28,'Table 3 WYAE Wind_2024'!$B$10:$L$37,11,FALSE),0)</f>
        <v>213.22</v>
      </c>
      <c r="BK28" s="131">
        <f>IFERROR(VLOOKUP($O28,'Table 3 YK Wind wS_2029'!$B$10:$K$37,10,FALSE),0)</f>
        <v>163.07142857142858</v>
      </c>
      <c r="BL28" s="370"/>
      <c r="BM28" s="131">
        <f>IFERROR(VLOOKUP($O28,'Table 3 ID Wind wS_2032'!$B$10:$K$38,10,FALSE),0)</f>
        <v>164.80615894039735</v>
      </c>
      <c r="BN28" s="131">
        <f>IFERROR(VLOOKUP($O28,'Table 3 PV wS YK_2024'!$B$10:$K$40,10,FALSE),0)</f>
        <v>119.93</v>
      </c>
      <c r="BO28" s="370"/>
      <c r="BP28" s="131">
        <f>IFERROR(VLOOKUP($O28,'Table 3 PV wS SO_2024'!$B$10:$K$40,10,FALSE),0)</f>
        <v>119.53999999999999</v>
      </c>
      <c r="BQ28" s="370"/>
      <c r="BR28" s="131">
        <f>IFERROR(VLOOKUP($O28,'Table 3 PV wS UTN_2024'!$B$10:$K$43,10,FALSE),0)</f>
        <v>118.49999999999999</v>
      </c>
      <c r="BS28" s="131">
        <f>IFERROR(VLOOKUP($O28,'Table 3 PV wS JB_2024'!$B$10:$K$40,10,FALSE),0)</f>
        <v>115.08000000000001</v>
      </c>
      <c r="BT28" s="131">
        <f>IFERROR(VLOOKUP($O28,'Table 3 PV wS JB_2029'!$B$10:$K$40,10,FALSE),0)</f>
        <v>105.5</v>
      </c>
      <c r="BU28" s="370"/>
      <c r="BV28" s="131">
        <f>IFERROR(VLOOKUP($O28,'Table 3 PV wS UTS_2024'!$B$10:$K$38,10,FALSE),0)</f>
        <v>117.16999999999999</v>
      </c>
      <c r="BW28" s="131">
        <f>IFERROR(VLOOKUP($O28,'Table 3 PV wS UTS_2030'!$B$10:$K$38,10,FALSE),0)</f>
        <v>150.29</v>
      </c>
      <c r="BX28" s="369"/>
      <c r="BY28" s="131">
        <f>IFERROR(VLOOKUP($O28,'Table 3 185 MW (NTN) 2026)'!$B$13:$L$40,11,FALSE),0)</f>
        <v>136.37</v>
      </c>
      <c r="CD28">
        <f>SUM(AL$13:AL28)*BH28/1000</f>
        <v>0</v>
      </c>
      <c r="CE28">
        <f>SUM(AM$13:AM28)*BI28/1000</f>
        <v>0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14.066835851758109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3"/>
        <v>14.066835851758109</v>
      </c>
      <c r="DA28">
        <f t="shared" si="37"/>
        <v>2035</v>
      </c>
      <c r="DB28" s="89">
        <f>IFERROR(VLOOKUP($DA28,'Table 3 TransCost'!$B$10:$E$40,4,FALSE),0)</f>
        <v>60.94</v>
      </c>
      <c r="DC28" s="176">
        <f t="shared" si="41"/>
        <v>0</v>
      </c>
    </row>
    <row r="29" spans="2:107">
      <c r="B29" s="15">
        <f t="shared" si="38"/>
        <v>2036</v>
      </c>
      <c r="C29" s="9">
        <f t="shared" si="17"/>
        <v>143.63913561320794</v>
      </c>
      <c r="D29" s="45"/>
      <c r="E29" s="9">
        <f t="shared" ca="1" si="39"/>
        <v>35.362545577659255</v>
      </c>
      <c r="F29" s="37"/>
      <c r="G29" s="14">
        <f t="shared" ca="1" si="42"/>
        <v>51.714906189363262</v>
      </c>
      <c r="H29" s="36"/>
      <c r="I29" s="176"/>
      <c r="J29" s="176"/>
      <c r="M29" s="113"/>
      <c r="O29">
        <f t="shared" si="18"/>
        <v>2036</v>
      </c>
      <c r="P29">
        <v>0</v>
      </c>
      <c r="Q29">
        <v>0</v>
      </c>
      <c r="R29">
        <v>0</v>
      </c>
      <c r="S29" s="368">
        <v>0</v>
      </c>
      <c r="T29" s="368">
        <v>0</v>
      </c>
      <c r="U29" s="176">
        <v>0</v>
      </c>
      <c r="V29" s="368">
        <v>0</v>
      </c>
      <c r="W29" s="368">
        <v>0</v>
      </c>
      <c r="X29" s="368">
        <v>0</v>
      </c>
      <c r="Y29" s="368">
        <v>0</v>
      </c>
      <c r="Z29" s="368">
        <v>0</v>
      </c>
      <c r="AA29" s="368">
        <v>0</v>
      </c>
      <c r="AB29" s="368">
        <v>0</v>
      </c>
      <c r="AC29" s="368">
        <v>0</v>
      </c>
      <c r="AD29" s="368">
        <v>0</v>
      </c>
      <c r="AE29" s="368">
        <v>0</v>
      </c>
      <c r="AF29" s="368">
        <v>0</v>
      </c>
      <c r="AG29" s="368">
        <v>0</v>
      </c>
      <c r="AL29">
        <f t="shared" si="19"/>
        <v>0</v>
      </c>
      <c r="AM29">
        <f t="shared" si="19"/>
        <v>0</v>
      </c>
      <c r="AN29">
        <f t="shared" si="20"/>
        <v>0</v>
      </c>
      <c r="AO29">
        <f t="shared" si="21"/>
        <v>0</v>
      </c>
      <c r="AP29">
        <f t="shared" si="22"/>
        <v>0</v>
      </c>
      <c r="AQ29">
        <f t="shared" si="23"/>
        <v>0</v>
      </c>
      <c r="AR29">
        <f t="shared" si="24"/>
        <v>0</v>
      </c>
      <c r="AS29">
        <f t="shared" si="25"/>
        <v>0</v>
      </c>
      <c r="AT29">
        <f t="shared" si="26"/>
        <v>0</v>
      </c>
      <c r="AU29">
        <f t="shared" si="27"/>
        <v>0</v>
      </c>
      <c r="AV29">
        <f t="shared" si="28"/>
        <v>0</v>
      </c>
      <c r="AW29">
        <f t="shared" si="29"/>
        <v>0</v>
      </c>
      <c r="AX29">
        <f t="shared" si="30"/>
        <v>0</v>
      </c>
      <c r="AY29">
        <f t="shared" si="31"/>
        <v>0</v>
      </c>
      <c r="AZ29">
        <f t="shared" si="32"/>
        <v>0</v>
      </c>
      <c r="BA29">
        <f t="shared" si="33"/>
        <v>0</v>
      </c>
      <c r="BB29">
        <f t="shared" si="34"/>
        <v>0</v>
      </c>
      <c r="BC29">
        <f t="shared" si="35"/>
        <v>0</v>
      </c>
      <c r="BG29">
        <f t="shared" si="40"/>
        <v>2036</v>
      </c>
      <c r="BH29" s="131">
        <f>IFERROR(VLOOKUP($O29,'Table 3 ID Wind_2030'!$B$10:$K$37,10,FALSE),0)</f>
        <v>155.07950750288572</v>
      </c>
      <c r="BI29" s="131">
        <f>IFERROR(VLOOKUP($O29,'Table 3 UT CP Wind_2023'!$B$10:$K$37,10,FALSE),0)</f>
        <v>161.50782608695653</v>
      </c>
      <c r="BJ29" s="131">
        <f>IFERROR(VLOOKUP($O29,'Table 3 WYAE Wind_2024'!$B$10:$L$37,11,FALSE),0)</f>
        <v>217.77979166666668</v>
      </c>
      <c r="BK29" s="131">
        <f>IFERROR(VLOOKUP($O29,'Table 3 YK Wind wS_2029'!$B$10:$K$37,10,FALSE),0)</f>
        <v>166.50367346938776</v>
      </c>
      <c r="BL29" s="370"/>
      <c r="BM29" s="131">
        <f>IFERROR(VLOOKUP($O29,'Table 3 ID Wind wS_2032'!$B$10:$K$38,10,FALSE),0)</f>
        <v>168.31185430463574</v>
      </c>
      <c r="BN29" s="131">
        <f>IFERROR(VLOOKUP($O29,'Table 3 PV wS YK_2024'!$B$10:$K$40,10,FALSE),0)</f>
        <v>122.45</v>
      </c>
      <c r="BO29" s="370"/>
      <c r="BP29" s="131">
        <f>IFERROR(VLOOKUP($O29,'Table 3 PV wS SO_2024'!$B$10:$K$40,10,FALSE),0)</f>
        <v>122.05000000000001</v>
      </c>
      <c r="BQ29" s="370"/>
      <c r="BR29" s="131">
        <f>IFERROR(VLOOKUP($O29,'Table 3 PV wS UTN_2024'!$B$10:$K$43,10,FALSE),0)</f>
        <v>120.99000000000001</v>
      </c>
      <c r="BS29" s="131">
        <f>IFERROR(VLOOKUP($O29,'Table 3 PV wS JB_2024'!$B$10:$K$40,10,FALSE),0)</f>
        <v>117.5</v>
      </c>
      <c r="BT29" s="131">
        <f>IFERROR(VLOOKUP($O29,'Table 3 PV wS JB_2029'!$B$10:$K$40,10,FALSE),0)</f>
        <v>107.72</v>
      </c>
      <c r="BU29" s="370"/>
      <c r="BV29" s="131">
        <f>IFERROR(VLOOKUP($O29,'Table 3 PV wS UTS_2024'!$B$10:$K$38,10,FALSE),0)</f>
        <v>119.63000000000001</v>
      </c>
      <c r="BW29" s="131">
        <f>IFERROR(VLOOKUP($O29,'Table 3 PV wS UTS_2030'!$B$10:$K$38,10,FALSE),0)</f>
        <v>153.44</v>
      </c>
      <c r="BX29" s="369"/>
      <c r="BY29" s="131">
        <f>IFERROR(VLOOKUP($O29,'Table 3 185 MW (NTN) 2026)'!$B$13:$L$40,11,FALSE),0)</f>
        <v>139.25</v>
      </c>
      <c r="CD29">
        <f>SUM(AL$13:AL29)*BH29/1000</f>
        <v>0</v>
      </c>
      <c r="CE29">
        <f>SUM(AM$13:AM29)*BI29/1000</f>
        <v>0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14.363913561320793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3"/>
        <v>14.363913561320793</v>
      </c>
      <c r="DA29">
        <f t="shared" si="37"/>
        <v>2036</v>
      </c>
      <c r="DB29" s="89">
        <f>IFERROR(VLOOKUP($DA29,'Table 3 TransCost'!$B$10:$E$40,4,FALSE),0)</f>
        <v>62.22</v>
      </c>
      <c r="DC29" s="176">
        <f t="shared" si="41"/>
        <v>0</v>
      </c>
    </row>
    <row r="30" spans="2:107">
      <c r="B30" s="15">
        <f t="shared" si="38"/>
        <v>2037</v>
      </c>
      <c r="C30" s="9">
        <f t="shared" si="17"/>
        <v>146.6408583035809</v>
      </c>
      <c r="D30" s="45"/>
      <c r="E30" s="9">
        <f t="shared" ca="1" si="39"/>
        <v>36.25039165877913</v>
      </c>
      <c r="F30" s="37"/>
      <c r="G30" s="14">
        <f t="shared" ca="1" si="42"/>
        <v>52.990215666037237</v>
      </c>
      <c r="H30" s="36"/>
      <c r="I30" s="176"/>
      <c r="J30" s="176"/>
      <c r="M30" s="113"/>
      <c r="O30">
        <f t="shared" si="18"/>
        <v>2037</v>
      </c>
      <c r="P30">
        <v>0</v>
      </c>
      <c r="Q30">
        <v>0</v>
      </c>
      <c r="R30">
        <v>0</v>
      </c>
      <c r="S30" s="368">
        <v>0</v>
      </c>
      <c r="T30" s="368">
        <v>0</v>
      </c>
      <c r="U30" s="176">
        <v>0</v>
      </c>
      <c r="V30" s="368">
        <v>0</v>
      </c>
      <c r="W30" s="368">
        <v>0</v>
      </c>
      <c r="X30" s="368">
        <v>0</v>
      </c>
      <c r="Y30" s="368">
        <v>0</v>
      </c>
      <c r="Z30" s="368">
        <v>0</v>
      </c>
      <c r="AA30" s="368">
        <v>0</v>
      </c>
      <c r="AB30" s="368">
        <v>0</v>
      </c>
      <c r="AC30" s="368">
        <v>0</v>
      </c>
      <c r="AD30" s="368">
        <v>0</v>
      </c>
      <c r="AE30" s="368">
        <v>0</v>
      </c>
      <c r="AF30" s="368">
        <v>0</v>
      </c>
      <c r="AG30" s="368">
        <v>0</v>
      </c>
      <c r="AL30">
        <f t="shared" si="19"/>
        <v>0</v>
      </c>
      <c r="AM30">
        <f t="shared" si="19"/>
        <v>0</v>
      </c>
      <c r="AN30">
        <f t="shared" si="20"/>
        <v>0</v>
      </c>
      <c r="AO30">
        <f t="shared" si="21"/>
        <v>0</v>
      </c>
      <c r="AP30">
        <f t="shared" si="22"/>
        <v>0</v>
      </c>
      <c r="AQ30">
        <f t="shared" si="23"/>
        <v>0</v>
      </c>
      <c r="AR30">
        <f t="shared" si="24"/>
        <v>0</v>
      </c>
      <c r="AS30">
        <f t="shared" si="25"/>
        <v>0</v>
      </c>
      <c r="AT30">
        <f t="shared" si="26"/>
        <v>0</v>
      </c>
      <c r="AU30">
        <f t="shared" si="27"/>
        <v>0</v>
      </c>
      <c r="AV30">
        <f t="shared" si="28"/>
        <v>0</v>
      </c>
      <c r="AW30">
        <f t="shared" si="29"/>
        <v>0</v>
      </c>
      <c r="AX30">
        <f t="shared" si="30"/>
        <v>0</v>
      </c>
      <c r="AY30">
        <f t="shared" si="31"/>
        <v>0</v>
      </c>
      <c r="AZ30">
        <f t="shared" si="32"/>
        <v>0</v>
      </c>
      <c r="BA30">
        <f t="shared" si="33"/>
        <v>0</v>
      </c>
      <c r="BB30">
        <f t="shared" si="34"/>
        <v>0</v>
      </c>
      <c r="BC30">
        <f t="shared" si="35"/>
        <v>0</v>
      </c>
      <c r="BG30">
        <f t="shared" si="40"/>
        <v>2037</v>
      </c>
      <c r="BH30" s="131">
        <f>IFERROR(VLOOKUP($O30,'Table 3 ID Wind_2030'!$B$10:$K$37,10,FALSE),0)</f>
        <v>158.4096921893036</v>
      </c>
      <c r="BI30" s="131">
        <f>IFERROR(VLOOKUP($O30,'Table 3 UT CP Wind_2023'!$B$10:$K$37,10,FALSE),0)</f>
        <v>164.97333333333333</v>
      </c>
      <c r="BJ30" s="131">
        <f>IFERROR(VLOOKUP($O30,'Table 3 WYAE Wind_2024'!$B$10:$L$37,11,FALSE),0)</f>
        <v>222.43</v>
      </c>
      <c r="BK30" s="131">
        <f>IFERROR(VLOOKUP($O30,'Table 3 YK Wind wS_2029'!$B$10:$K$37,10,FALSE),0)</f>
        <v>170.09795918367348</v>
      </c>
      <c r="BL30" s="370"/>
      <c r="BM30" s="131">
        <f>IFERROR(VLOOKUP($O30,'Table 3 ID Wind wS_2032'!$B$10:$K$38,10,FALSE),0)</f>
        <v>171.91066225165562</v>
      </c>
      <c r="BN30" s="131">
        <f>IFERROR(VLOOKUP($O30,'Table 3 PV wS YK_2024'!$B$10:$K$40,10,FALSE),0)</f>
        <v>125.02</v>
      </c>
      <c r="BO30" s="370"/>
      <c r="BP30" s="131">
        <f>IFERROR(VLOOKUP($O30,'Table 3 PV wS SO_2024'!$B$10:$K$40,10,FALSE),0)</f>
        <v>124.61</v>
      </c>
      <c r="BQ30" s="370"/>
      <c r="BR30" s="131">
        <f>IFERROR(VLOOKUP($O30,'Table 3 PV wS UTN_2024'!$B$10:$K$43,10,FALSE),0)</f>
        <v>123.53</v>
      </c>
      <c r="BS30" s="131">
        <f>IFERROR(VLOOKUP($O30,'Table 3 PV wS JB_2024'!$B$10:$K$40,10,FALSE),0)</f>
        <v>119.96</v>
      </c>
      <c r="BT30" s="131">
        <f>IFERROR(VLOOKUP($O30,'Table 3 PV wS JB_2029'!$B$10:$K$40,10,FALSE),0)</f>
        <v>109.98</v>
      </c>
      <c r="BU30" s="370"/>
      <c r="BV30" s="131">
        <f>IFERROR(VLOOKUP($O30,'Table 3 PV wS UTS_2024'!$B$10:$K$38,10,FALSE),0)</f>
        <v>122.14</v>
      </c>
      <c r="BW30" s="131">
        <f>IFERROR(VLOOKUP($O30,'Table 3 PV wS UTS_2030'!$B$10:$K$38,10,FALSE),0)</f>
        <v>156.65</v>
      </c>
      <c r="BX30" s="369"/>
      <c r="BY30" s="131">
        <f>IFERROR(VLOOKUP($O30,'Table 3 185 MW (NTN) 2026)'!$B$13:$L$40,11,FALSE),0)</f>
        <v>142.16</v>
      </c>
      <c r="CD30">
        <f>SUM(AL$13:AL30)*BH30/1000</f>
        <v>0</v>
      </c>
      <c r="CE30">
        <f>SUM(AM$13:AM30)*BI30/1000</f>
        <v>0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14.66408583035809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3"/>
        <v>14.66408583035809</v>
      </c>
      <c r="DA30">
        <f t="shared" si="37"/>
        <v>2037</v>
      </c>
      <c r="DB30" s="89">
        <f>IFERROR(VLOOKUP($DA30,'Table 3 TransCost'!$B$10:$E$40,4,FALSE),0)</f>
        <v>63.53</v>
      </c>
      <c r="DC30" s="176">
        <f t="shared" si="41"/>
        <v>0</v>
      </c>
    </row>
    <row r="31" spans="2:107">
      <c r="B31" s="15">
        <f t="shared" si="38"/>
        <v>2038</v>
      </c>
      <c r="C31" s="9">
        <f t="shared" si="17"/>
        <v>149.7251025799435</v>
      </c>
      <c r="D31" s="45"/>
      <c r="E31" s="9">
        <f t="shared" ca="1" si="39"/>
        <v>37.867977529483944</v>
      </c>
      <c r="F31" s="37"/>
      <c r="G31" s="14">
        <f t="shared" ca="1" si="42"/>
        <v>54.959884216692089</v>
      </c>
      <c r="H31" s="36"/>
      <c r="I31" s="176"/>
      <c r="J31" s="176"/>
      <c r="M31" s="113"/>
      <c r="O31">
        <f t="shared" si="18"/>
        <v>2038</v>
      </c>
      <c r="P31">
        <v>0</v>
      </c>
      <c r="Q31">
        <v>0</v>
      </c>
      <c r="R31">
        <v>0</v>
      </c>
      <c r="S31" s="368">
        <v>0</v>
      </c>
      <c r="T31" s="368">
        <v>0</v>
      </c>
      <c r="U31" s="176">
        <v>0</v>
      </c>
      <c r="V31" s="368">
        <v>0</v>
      </c>
      <c r="W31" s="368">
        <v>0</v>
      </c>
      <c r="X31" s="368">
        <v>0</v>
      </c>
      <c r="Y31" s="368">
        <v>0</v>
      </c>
      <c r="Z31" s="368">
        <v>0</v>
      </c>
      <c r="AA31" s="368">
        <v>0</v>
      </c>
      <c r="AB31" s="368">
        <v>0</v>
      </c>
      <c r="AC31" s="368">
        <v>0</v>
      </c>
      <c r="AD31" s="368">
        <v>0</v>
      </c>
      <c r="AE31" s="368">
        <v>0</v>
      </c>
      <c r="AF31" s="368">
        <v>0</v>
      </c>
      <c r="AG31" s="368">
        <v>0</v>
      </c>
      <c r="AL31">
        <f t="shared" ref="AL31:AL32" si="44">P31/P$5</f>
        <v>0</v>
      </c>
      <c r="AM31">
        <f t="shared" ref="AM31:AM38" si="45">Q31/Q$5</f>
        <v>0</v>
      </c>
      <c r="AN31">
        <f t="shared" ref="AN31:AN38" si="46">R31/R$5</f>
        <v>0</v>
      </c>
      <c r="AO31">
        <f t="shared" ref="AO31:AO38" si="47">S31/S$5</f>
        <v>0</v>
      </c>
      <c r="AP31">
        <f t="shared" ref="AP31:AP38" si="48">T31/T$5</f>
        <v>0</v>
      </c>
      <c r="AQ31">
        <f t="shared" ref="AQ31:AQ38" si="49">U31/U$5</f>
        <v>0</v>
      </c>
      <c r="AR31">
        <f t="shared" ref="AR31:AR38" si="50">V31/V$5</f>
        <v>0</v>
      </c>
      <c r="AS31">
        <f t="shared" ref="AS31:AS38" si="51">W31/W$5</f>
        <v>0</v>
      </c>
      <c r="AT31">
        <f t="shared" ref="AT31:AT38" si="52">X31/X$5</f>
        <v>0</v>
      </c>
      <c r="AU31">
        <f t="shared" ref="AU31:AU38" si="53">Y31/Y$5</f>
        <v>0</v>
      </c>
      <c r="AV31">
        <f t="shared" ref="AV31:AV38" si="54">Z31/Z$5</f>
        <v>0</v>
      </c>
      <c r="AW31">
        <f t="shared" ref="AW31:AW38" si="55">AA31/AA$5</f>
        <v>0</v>
      </c>
      <c r="AX31">
        <f t="shared" ref="AX31:AX38" si="56">AB31/AB$5</f>
        <v>0</v>
      </c>
      <c r="AY31">
        <f t="shared" ref="AY31:AY38" si="57">AC31/AC$5</f>
        <v>0</v>
      </c>
      <c r="AZ31">
        <f t="shared" ref="AZ31:AZ38" si="58">AD31/AD$5</f>
        <v>0</v>
      </c>
      <c r="BA31">
        <f t="shared" ref="BA31:BA38" si="59">AE31/AE$5</f>
        <v>0</v>
      </c>
      <c r="BB31">
        <f t="shared" ref="BB31:BB38" si="60">AF31/AF$5</f>
        <v>0</v>
      </c>
      <c r="BC31">
        <f t="shared" ref="BC31:BC38" si="61">AG31/AG$5</f>
        <v>0</v>
      </c>
      <c r="BG31">
        <f t="shared" ref="BG31:BG32" si="62">O31</f>
        <v>2038</v>
      </c>
      <c r="BH31" s="131">
        <f>IFERROR(VLOOKUP($O31,'Table 3 ID Wind_2030'!$B$10:$K$37,10,FALSE),0)</f>
        <v>161.81065794536363</v>
      </c>
      <c r="BI31" s="131">
        <f>IFERROR(VLOOKUP($O31,'Table 3 UT CP Wind_2023'!$B$10:$K$37,10,FALSE),0)</f>
        <v>168.51782608695655</v>
      </c>
      <c r="BJ31" s="131">
        <f>IFERROR(VLOOKUP($O31,'Table 3 WYAE Wind_2024'!$B$10:$L$37,11,FALSE),0)</f>
        <v>227.17989583333332</v>
      </c>
      <c r="BK31" s="131">
        <f>IFERROR(VLOOKUP($O31,'Table 3 YK Wind wS_2029'!$B$10:$K$37,10,FALSE),0)</f>
        <v>173.7522448979592</v>
      </c>
      <c r="BL31" s="370"/>
      <c r="BM31" s="131">
        <f>IFERROR(VLOOKUP($O31,'Table 3 ID Wind wS_2032'!$B$10:$K$38,10,FALSE),0)</f>
        <v>175.5694701986755</v>
      </c>
      <c r="BN31" s="131">
        <f>IFERROR(VLOOKUP($O31,'Table 3 PV wS YK_2024'!$B$10:$K$40,10,FALSE),0)</f>
        <v>127.65</v>
      </c>
      <c r="BO31" s="370"/>
      <c r="BP31" s="131">
        <f>IFERROR(VLOOKUP($O31,'Table 3 PV wS SO_2024'!$B$10:$K$40,10,FALSE),0)</f>
        <v>127.23</v>
      </c>
      <c r="BQ31" s="370"/>
      <c r="BR31" s="131">
        <f>IFERROR(VLOOKUP($O31,'Table 3 PV wS UTN_2024'!$B$10:$K$43,10,FALSE),0)</f>
        <v>126.12</v>
      </c>
      <c r="BS31" s="131">
        <f>IFERROR(VLOOKUP($O31,'Table 3 PV wS JB_2024'!$B$10:$K$40,10,FALSE),0)</f>
        <v>122.48</v>
      </c>
      <c r="BT31" s="131">
        <f>IFERROR(VLOOKUP($O31,'Table 3 PV wS JB_2029'!$B$10:$K$40,10,FALSE),0)</f>
        <v>112.29</v>
      </c>
      <c r="BU31" s="370"/>
      <c r="BV31" s="131">
        <f>IFERROR(VLOOKUP($O31,'Table 3 PV wS UTS_2024'!$B$10:$K$38,10,FALSE),0)</f>
        <v>124.7</v>
      </c>
      <c r="BW31" s="131">
        <f>IFERROR(VLOOKUP($O31,'Table 3 PV wS UTS_2030'!$B$10:$K$38,10,FALSE),0)</f>
        <v>159.94</v>
      </c>
      <c r="BX31" s="369"/>
      <c r="BY31" s="131">
        <f>IFERROR(VLOOKUP($O31,'Table 3 185 MW (NTN) 2026)'!$B$13:$L$40,11,FALSE),0)</f>
        <v>145.15</v>
      </c>
      <c r="CD31">
        <f>SUM(AL$13:AL31)*BH31/1000</f>
        <v>0</v>
      </c>
      <c r="CE31">
        <f>SUM(AM$13:AM31)*BI31/1000</f>
        <v>0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14.972510257994351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3">SUM(CD31:CX31)</f>
        <v>14.972510257994351</v>
      </c>
      <c r="DA31">
        <f t="shared" ref="DA31:DA32" si="64">O31</f>
        <v>2038</v>
      </c>
      <c r="DB31" s="89">
        <f>IFERROR(VLOOKUP($DA31,'Table 3 TransCost'!$B$10:$E$40,4,FALSE),0)</f>
        <v>64.86</v>
      </c>
      <c r="DC31" s="176">
        <f t="shared" ref="DC31:DC32" si="65">$DB$5*DB31/1000</f>
        <v>0</v>
      </c>
    </row>
    <row r="32" spans="2:107">
      <c r="B32" s="15">
        <f t="shared" si="38"/>
        <v>2039</v>
      </c>
      <c r="C32" s="9">
        <f t="shared" si="17"/>
        <v>152.85060764930091</v>
      </c>
      <c r="D32" s="45"/>
      <c r="E32" s="9">
        <f t="shared" ca="1" si="39"/>
        <v>38.663205057603108</v>
      </c>
      <c r="F32" s="37"/>
      <c r="G32" s="14">
        <f t="shared" ca="1" si="42"/>
        <v>56.111904560947956</v>
      </c>
      <c r="H32" s="36"/>
      <c r="I32" s="176"/>
      <c r="J32" s="176"/>
      <c r="M32" s="113"/>
      <c r="O32">
        <f t="shared" si="18"/>
        <v>2039</v>
      </c>
      <c r="P32" s="382">
        <v>0</v>
      </c>
      <c r="Q32" s="382">
        <v>0</v>
      </c>
      <c r="R32" s="382">
        <v>0</v>
      </c>
      <c r="S32" s="382">
        <v>0</v>
      </c>
      <c r="T32" s="382">
        <v>0</v>
      </c>
      <c r="U32" s="382">
        <v>0</v>
      </c>
      <c r="V32" s="382">
        <v>0</v>
      </c>
      <c r="W32" s="382">
        <v>0</v>
      </c>
      <c r="X32" s="382">
        <v>0</v>
      </c>
      <c r="Y32" s="382">
        <v>0</v>
      </c>
      <c r="Z32" s="382">
        <v>0</v>
      </c>
      <c r="AA32" s="382">
        <v>0</v>
      </c>
      <c r="AB32" s="382">
        <v>0</v>
      </c>
      <c r="AC32" s="382">
        <v>0</v>
      </c>
      <c r="AD32" s="382">
        <v>0</v>
      </c>
      <c r="AE32" s="382">
        <v>0</v>
      </c>
      <c r="AF32" s="382">
        <v>0</v>
      </c>
      <c r="AG32" s="382">
        <v>0</v>
      </c>
      <c r="AL32">
        <f t="shared" si="44"/>
        <v>0</v>
      </c>
      <c r="AM32">
        <f t="shared" si="45"/>
        <v>0</v>
      </c>
      <c r="AN32">
        <f t="shared" si="46"/>
        <v>0</v>
      </c>
      <c r="AO32">
        <f t="shared" si="47"/>
        <v>0</v>
      </c>
      <c r="AP32">
        <f t="shared" si="48"/>
        <v>0</v>
      </c>
      <c r="AQ32">
        <f t="shared" si="49"/>
        <v>0</v>
      </c>
      <c r="AR32">
        <f t="shared" si="50"/>
        <v>0</v>
      </c>
      <c r="AS32">
        <f t="shared" si="51"/>
        <v>0</v>
      </c>
      <c r="AT32">
        <f t="shared" si="52"/>
        <v>0</v>
      </c>
      <c r="AU32">
        <f t="shared" si="53"/>
        <v>0</v>
      </c>
      <c r="AV32">
        <f t="shared" si="54"/>
        <v>0</v>
      </c>
      <c r="AW32">
        <f t="shared" si="55"/>
        <v>0</v>
      </c>
      <c r="AX32">
        <f t="shared" si="56"/>
        <v>0</v>
      </c>
      <c r="AY32">
        <f t="shared" si="57"/>
        <v>0</v>
      </c>
      <c r="AZ32">
        <f t="shared" si="58"/>
        <v>0</v>
      </c>
      <c r="BA32">
        <f t="shared" si="59"/>
        <v>0</v>
      </c>
      <c r="BB32">
        <f t="shared" si="60"/>
        <v>0</v>
      </c>
      <c r="BC32">
        <f t="shared" si="61"/>
        <v>0</v>
      </c>
      <c r="BG32">
        <f t="shared" si="62"/>
        <v>2039</v>
      </c>
      <c r="BH32" s="131">
        <f>IFERROR(VLOOKUP($O32,'Table 3 ID Wind_2030'!$B$10:$K$37,10,FALSE),0)</f>
        <v>165.20999999999998</v>
      </c>
      <c r="BI32" s="131">
        <f>IFERROR(VLOOKUP($O32,'Table 3 UT CP Wind_2023'!$B$10:$K$37,10,FALSE),0)</f>
        <v>172.04999999999998</v>
      </c>
      <c r="BJ32" s="131">
        <f>IFERROR(VLOOKUP($O32,'Table 3 WYAE Wind_2024'!$B$10:$L$37,11,FALSE),0)</f>
        <v>231.95</v>
      </c>
      <c r="BK32" s="131">
        <f>IFERROR(VLOOKUP($O32,'Table 3 YK Wind wS_2029'!$B$10:$K$37,10,FALSE),0)</f>
        <v>177.39999999999998</v>
      </c>
      <c r="BL32" s="370"/>
      <c r="BM32" s="131">
        <f>IFERROR(VLOOKUP($O32,'Table 3 ID Wind wS_2032'!$B$10:$K$38,10,FALSE),0)</f>
        <v>179.25</v>
      </c>
      <c r="BN32" s="131">
        <f>IFERROR(VLOOKUP($O32,'Table 3 PV wS YK_2024'!$B$10:$K$40,10,FALSE),0)</f>
        <v>130.32999999999998</v>
      </c>
      <c r="BO32" s="370"/>
      <c r="BP32" s="131">
        <f>IFERROR(VLOOKUP($O32,'Table 3 PV wS SO_2024'!$B$10:$K$40,10,FALSE),0)</f>
        <v>129.91</v>
      </c>
      <c r="BQ32" s="370"/>
      <c r="BR32" s="131">
        <f>IFERROR(VLOOKUP($O32,'Table 3 PV wS UTN_2024'!$B$10:$K$43,10,FALSE),0)</f>
        <v>128.77000000000001</v>
      </c>
      <c r="BS32" s="131">
        <f>IFERROR(VLOOKUP($O32,'Table 3 PV wS JB_2024'!$B$10:$K$40,10,FALSE),0)</f>
        <v>125.06</v>
      </c>
      <c r="BT32" s="131">
        <f>IFERROR(VLOOKUP($O32,'Table 3 PV wS JB_2029'!$B$10:$K$40,10,FALSE),0)</f>
        <v>114.64999999999999</v>
      </c>
      <c r="BU32" s="370"/>
      <c r="BV32" s="131">
        <f>IFERROR(VLOOKUP($O32,'Table 3 PV wS UTS_2024'!$B$10:$K$38,10,FALSE),0)</f>
        <v>127.32</v>
      </c>
      <c r="BW32" s="131">
        <f>IFERROR(VLOOKUP($O32,'Table 3 PV wS UTS_2030'!$B$10:$K$38,10,FALSE),0)</f>
        <v>163.31</v>
      </c>
      <c r="BX32" s="369"/>
      <c r="BY32" s="131">
        <f>IFERROR(VLOOKUP($O32,'Table 3 185 MW (NTN) 2026)'!$B$13:$L$40,11,FALSE),0)</f>
        <v>148.18</v>
      </c>
      <c r="CD32">
        <f>SUM(AL$13:AL32)*BH32/1000</f>
        <v>0</v>
      </c>
      <c r="CE32">
        <f>SUM(AM$13:AM32)*BI32/1000</f>
        <v>0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15.28506076493009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3"/>
        <v>15.28506076493009</v>
      </c>
      <c r="DA32">
        <f t="shared" si="64"/>
        <v>2039</v>
      </c>
      <c r="DB32" s="89">
        <f>IFERROR(VLOOKUP($DA32,'Table 3 TransCost'!$B$10:$E$40,4,FALSE),0)</f>
        <v>66.22</v>
      </c>
      <c r="DC32" s="176">
        <f t="shared" si="65"/>
        <v>0</v>
      </c>
    </row>
    <row r="33" spans="1:107">
      <c r="B33" s="15">
        <f t="shared" si="38"/>
        <v>2040</v>
      </c>
      <c r="C33" s="9">
        <f t="shared" si="17"/>
        <v>156.08957989939407</v>
      </c>
      <c r="D33" s="45"/>
      <c r="E33" s="9">
        <f ca="1">SUMIF(INDIRECT("'Table 5'!$J$"&amp;$K$3&amp;":$J$"&amp;$K$4),B33,INDIRECT("'Table 5'!$c$"&amp;$K$3&amp;":$c$"&amp;$K$4))/SUMIF(INDIRECT("'Table 5'!$J$"&amp;$K$3&amp;":$J$"&amp;$K$4),B33,INDIRECT("'Table 5'!$f$"&amp;$K$3&amp;":$f$"&amp;$K$4))</f>
        <v>39.475132363812769</v>
      </c>
      <c r="F33" s="37"/>
      <c r="G33" s="14">
        <f t="shared" ca="1" si="42"/>
        <v>57.293577557807524</v>
      </c>
      <c r="H33" s="36"/>
      <c r="I33" s="176"/>
      <c r="J33" s="176"/>
      <c r="M33" s="113"/>
      <c r="O33">
        <f t="shared" ref="O33" si="66">B33</f>
        <v>2040</v>
      </c>
      <c r="P33" s="382">
        <v>0</v>
      </c>
      <c r="Q33" s="382">
        <v>0</v>
      </c>
      <c r="R33" s="382">
        <v>0</v>
      </c>
      <c r="S33" s="382">
        <v>0</v>
      </c>
      <c r="T33" s="382">
        <v>0</v>
      </c>
      <c r="U33" s="382">
        <v>0</v>
      </c>
      <c r="V33" s="382">
        <v>0</v>
      </c>
      <c r="W33" s="382">
        <v>0</v>
      </c>
      <c r="X33" s="382">
        <v>0</v>
      </c>
      <c r="Y33" s="382">
        <v>0</v>
      </c>
      <c r="Z33" s="382">
        <v>0</v>
      </c>
      <c r="AA33" s="382">
        <v>0</v>
      </c>
      <c r="AB33" s="382">
        <v>0</v>
      </c>
      <c r="AC33" s="382">
        <v>0</v>
      </c>
      <c r="AD33" s="382">
        <v>0</v>
      </c>
      <c r="AE33" s="382">
        <v>0</v>
      </c>
      <c r="AF33" s="382">
        <v>0</v>
      </c>
      <c r="AG33" s="382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5"/>
        <v>0</v>
      </c>
      <c r="AN33">
        <f t="shared" si="46"/>
        <v>0</v>
      </c>
      <c r="AO33">
        <f t="shared" si="47"/>
        <v>0</v>
      </c>
      <c r="AP33">
        <f t="shared" si="48"/>
        <v>0</v>
      </c>
      <c r="AQ33">
        <f t="shared" si="49"/>
        <v>0</v>
      </c>
      <c r="AR33">
        <f t="shared" si="50"/>
        <v>0</v>
      </c>
      <c r="AS33">
        <f t="shared" si="51"/>
        <v>0</v>
      </c>
      <c r="AT33">
        <f t="shared" si="52"/>
        <v>0</v>
      </c>
      <c r="AU33">
        <f t="shared" si="53"/>
        <v>0</v>
      </c>
      <c r="AV33">
        <f t="shared" si="54"/>
        <v>0</v>
      </c>
      <c r="AW33">
        <f t="shared" si="55"/>
        <v>0</v>
      </c>
      <c r="AX33">
        <f t="shared" si="56"/>
        <v>0</v>
      </c>
      <c r="AY33">
        <f t="shared" si="57"/>
        <v>0</v>
      </c>
      <c r="AZ33">
        <f t="shared" si="58"/>
        <v>0</v>
      </c>
      <c r="BA33">
        <f t="shared" si="59"/>
        <v>0</v>
      </c>
      <c r="BB33">
        <f t="shared" si="60"/>
        <v>0</v>
      </c>
      <c r="BC33">
        <f t="shared" si="61"/>
        <v>0</v>
      </c>
      <c r="BG33">
        <f t="shared" ref="BG33:BG38" si="67">O33</f>
        <v>2040</v>
      </c>
      <c r="BH33" s="131">
        <f>IFERROR(VLOOKUP($O33,'Table 3 ID Wind_2030'!$B$10:$K$37,10,FALSE),0)</f>
        <v>168.67999999999998</v>
      </c>
      <c r="BI33" s="131">
        <f>IFERROR(VLOOKUP($O33,'Table 3 UT CP Wind_2023'!$B$10:$K$37,10,FALSE),0)</f>
        <v>175.66</v>
      </c>
      <c r="BJ33" s="131">
        <f>IFERROR(VLOOKUP($O33,'Table 3 WYAE Wind_2024'!$B$10:$L$37,11,FALSE),0)</f>
        <v>236.82</v>
      </c>
      <c r="BK33" s="131">
        <f>IFERROR(VLOOKUP($O33,'Table 3 YK Wind wS_2029'!$B$10:$K$37,10,FALSE),0)</f>
        <v>181.13</v>
      </c>
      <c r="BL33" s="370"/>
      <c r="BM33" s="131">
        <f>IFERROR(VLOOKUP($O33,'Table 3 ID Wind wS_2032'!$B$10:$K$38,10,FALSE),0)</f>
        <v>183.01999999999998</v>
      </c>
      <c r="BN33" s="131">
        <f>IFERROR(VLOOKUP($O33,'Table 3 PV wS YK_2024'!$B$10:$K$40,10,FALSE),0)</f>
        <v>133.06</v>
      </c>
      <c r="BO33" s="370"/>
      <c r="BP33" s="131">
        <f>IFERROR(VLOOKUP($O33,'Table 3 PV wS SO_2024'!$B$10:$K$40,10,FALSE),0)</f>
        <v>132.63999999999999</v>
      </c>
      <c r="BQ33" s="370"/>
      <c r="BR33" s="131">
        <f>IFERROR(VLOOKUP($O33,'Table 3 PV wS UTN_2024'!$B$10:$K$43,10,FALSE),0)</f>
        <v>131.47</v>
      </c>
      <c r="BS33" s="131">
        <f>IFERROR(VLOOKUP($O33,'Table 3 PV wS JB_2024'!$B$10:$K$40,10,FALSE),0)</f>
        <v>127.68</v>
      </c>
      <c r="BT33" s="131">
        <f>IFERROR(VLOOKUP($O33,'Table 3 PV wS JB_2029'!$B$10:$K$40,10,FALSE),0)</f>
        <v>117.06</v>
      </c>
      <c r="BU33" s="370"/>
      <c r="BV33" s="131">
        <f>IFERROR(VLOOKUP($O33,'Table 3 PV wS UTS_2024'!$B$10:$K$38,10,FALSE),0)</f>
        <v>129.98999999999998</v>
      </c>
      <c r="BW33" s="131">
        <f>IFERROR(VLOOKUP($O33,'Table 3 PV wS UTS_2030'!$B$10:$K$38,10,FALSE),0)</f>
        <v>166.73999999999998</v>
      </c>
      <c r="BX33" s="369"/>
      <c r="BY33" s="131">
        <f>IFERROR(VLOOKUP($O33,'Table 3 185 MW (NTN) 2026)'!$B$13:$L$40,11,FALSE),0)</f>
        <v>151.32</v>
      </c>
      <c r="CD33">
        <f>SUM(AL$13:AL33)*BH33/1000</f>
        <v>0</v>
      </c>
      <c r="CE33">
        <f>SUM(AM$13:AM33)*BI33/1000</f>
        <v>0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15.608957989939407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8" si="68">SUM(CD33:CX33)</f>
        <v>15.608957989939407</v>
      </c>
      <c r="DA33">
        <f t="shared" ref="DA33:DA38" si="69">O33</f>
        <v>2040</v>
      </c>
      <c r="DB33" s="89">
        <f>IFERROR(VLOOKUP($DA33,'Table 3 TransCost'!$B$10:$E$40,4,FALSE),0)</f>
        <v>67.61</v>
      </c>
      <c r="DC33" s="176">
        <f t="shared" ref="DC33:DC38" si="70">$DB$5*DB33/1000</f>
        <v>0</v>
      </c>
    </row>
    <row r="34" spans="1:107">
      <c r="B34" s="15">
        <f t="shared" si="38"/>
        <v>2041</v>
      </c>
      <c r="C34" s="9">
        <f t="shared" si="17"/>
        <v>159.35949774423335</v>
      </c>
      <c r="D34" s="45"/>
      <c r="E34" s="9">
        <f t="shared" ref="E34" ca="1" si="71">SUMIF(INDIRECT("'Table 5'!$J$"&amp;$K$3&amp;":$J$"&amp;$K$4),B34,INDIRECT("'Table 5'!$c$"&amp;$K$3&amp;":$c$"&amp;$K$4))/SUMIF(INDIRECT("'Table 5'!$J$"&amp;$K$3&amp;":$J$"&amp;$K$4),B34,INDIRECT("'Table 5'!$f$"&amp;$K$3&amp;":$f$"&amp;$K$4))</f>
        <v>40.308153657083984</v>
      </c>
      <c r="F34" s="37"/>
      <c r="G34" s="14">
        <f t="shared" ca="1" si="42"/>
        <v>58.548126481524193</v>
      </c>
      <c r="H34" s="36"/>
      <c r="I34" s="176"/>
      <c r="J34" s="176"/>
      <c r="M34" s="113"/>
      <c r="O34">
        <f t="shared" ref="O34" si="72">B34</f>
        <v>2041</v>
      </c>
      <c r="P34" s="382">
        <v>0</v>
      </c>
      <c r="Q34" s="382">
        <v>0</v>
      </c>
      <c r="R34" s="382">
        <v>0</v>
      </c>
      <c r="S34" s="382">
        <v>0</v>
      </c>
      <c r="T34" s="382">
        <v>0</v>
      </c>
      <c r="U34" s="382">
        <v>0</v>
      </c>
      <c r="V34" s="382">
        <v>0</v>
      </c>
      <c r="W34" s="382">
        <v>0</v>
      </c>
      <c r="X34" s="382">
        <v>0</v>
      </c>
      <c r="Y34" s="382">
        <v>0</v>
      </c>
      <c r="Z34" s="382">
        <v>0</v>
      </c>
      <c r="AA34" s="382">
        <v>0</v>
      </c>
      <c r="AB34" s="382">
        <v>0</v>
      </c>
      <c r="AC34" s="382">
        <v>0</v>
      </c>
      <c r="AD34" s="382">
        <v>0</v>
      </c>
      <c r="AE34" s="382">
        <v>0</v>
      </c>
      <c r="AF34" s="382">
        <v>0</v>
      </c>
      <c r="AG34" s="382">
        <v>0</v>
      </c>
      <c r="AL34">
        <f t="shared" ref="AL34:AL38" si="73">P34/P$5</f>
        <v>0</v>
      </c>
      <c r="AM34">
        <f t="shared" si="45"/>
        <v>0</v>
      </c>
      <c r="AN34">
        <f t="shared" si="46"/>
        <v>0</v>
      </c>
      <c r="AO34">
        <f t="shared" si="47"/>
        <v>0</v>
      </c>
      <c r="AP34">
        <f t="shared" si="48"/>
        <v>0</v>
      </c>
      <c r="AQ34">
        <f t="shared" si="49"/>
        <v>0</v>
      </c>
      <c r="AR34">
        <f t="shared" si="50"/>
        <v>0</v>
      </c>
      <c r="AS34">
        <f t="shared" si="51"/>
        <v>0</v>
      </c>
      <c r="AT34">
        <f t="shared" si="52"/>
        <v>0</v>
      </c>
      <c r="AU34">
        <f t="shared" si="53"/>
        <v>0</v>
      </c>
      <c r="AV34">
        <f t="shared" si="54"/>
        <v>0</v>
      </c>
      <c r="AW34">
        <f t="shared" si="55"/>
        <v>0</v>
      </c>
      <c r="AX34">
        <f t="shared" si="56"/>
        <v>0</v>
      </c>
      <c r="AY34">
        <f t="shared" si="57"/>
        <v>0</v>
      </c>
      <c r="AZ34">
        <f t="shared" si="58"/>
        <v>0</v>
      </c>
      <c r="BA34">
        <f t="shared" si="59"/>
        <v>0</v>
      </c>
      <c r="BB34">
        <f t="shared" si="60"/>
        <v>0</v>
      </c>
      <c r="BC34">
        <f t="shared" si="61"/>
        <v>0</v>
      </c>
      <c r="BG34">
        <f t="shared" si="67"/>
        <v>2041</v>
      </c>
      <c r="BH34" s="131">
        <f>IFERROR(VLOOKUP($O34,'Table 3 ID Wind_2030'!$B$10:$K$37,10,FALSE),0)</f>
        <v>172.22</v>
      </c>
      <c r="BI34" s="131">
        <f>IFERROR(VLOOKUP($O34,'Table 3 UT CP Wind_2023'!$B$10:$K$37,10,FALSE),0)</f>
        <v>179.33999999999997</v>
      </c>
      <c r="BJ34" s="131">
        <f>IFERROR(VLOOKUP($O34,'Table 3 WYAE Wind_2024'!$B$10:$L$37,11,FALSE),0)</f>
        <v>241.79</v>
      </c>
      <c r="BK34" s="131">
        <f>IFERROR(VLOOKUP($O34,'Table 3 YK Wind wS_2029'!$B$10:$K$37,10,FALSE),0)</f>
        <v>184.93</v>
      </c>
      <c r="BL34" s="370"/>
      <c r="BM34" s="131">
        <f>IFERROR(VLOOKUP($O34,'Table 3 ID Wind wS_2032'!$B$10:$K$38,10,FALSE),0)</f>
        <v>186.85999999999999</v>
      </c>
      <c r="BN34" s="131">
        <f>IFERROR(VLOOKUP($O34,'Table 3 PV wS YK_2024'!$B$10:$K$40,10,FALSE),0)</f>
        <v>135.85</v>
      </c>
      <c r="BO34" s="370"/>
      <c r="BP34" s="131">
        <f>IFERROR(VLOOKUP($O34,'Table 3 PV wS SO_2024'!$B$10:$K$40,10,FALSE),0)</f>
        <v>135.43</v>
      </c>
      <c r="BQ34" s="370"/>
      <c r="BR34" s="131">
        <f>IFERROR(VLOOKUP($O34,'Table 3 PV wS UTN_2024'!$B$10:$K$43,10,FALSE),0)</f>
        <v>134.23999999999998</v>
      </c>
      <c r="BS34" s="131">
        <f>IFERROR(VLOOKUP($O34,'Table 3 PV wS JB_2024'!$B$10:$K$40,10,FALSE),0)</f>
        <v>130.36000000000001</v>
      </c>
      <c r="BT34" s="131">
        <f>IFERROR(VLOOKUP($O34,'Table 3 PV wS JB_2029'!$B$10:$K$40,10,FALSE),0)</f>
        <v>119.52</v>
      </c>
      <c r="BU34" s="370"/>
      <c r="BV34" s="131">
        <f>IFERROR(VLOOKUP($O34,'Table 3 PV wS UTS_2024'!$B$10:$K$38,10,FALSE),0)</f>
        <v>132.72</v>
      </c>
      <c r="BW34" s="131">
        <f>IFERROR(VLOOKUP($O34,'Table 3 PV wS UTS_2030'!$B$10:$K$38,10,FALSE),0)</f>
        <v>170.23999999999998</v>
      </c>
      <c r="BX34" s="369"/>
      <c r="BY34" s="131">
        <f>IFERROR(VLOOKUP($O34,'Table 3 185 MW (NTN) 2026)'!$B$13:$L$40,11,FALSE),0)</f>
        <v>154.49</v>
      </c>
      <c r="CD34">
        <f>SUM(AL$13:AL34)*BH34/1000</f>
        <v>0</v>
      </c>
      <c r="CE34">
        <f>SUM(AM$13:AM34)*BI34/1000</f>
        <v>0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15.935949774423335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68"/>
        <v>15.935949774423335</v>
      </c>
      <c r="DA34">
        <f t="shared" si="69"/>
        <v>2041</v>
      </c>
      <c r="DB34" s="89">
        <f>IFERROR(VLOOKUP($DA34,'Table 3 TransCost'!$B$10:$E$40,4,FALSE),0)</f>
        <v>69.03</v>
      </c>
      <c r="DC34" s="176">
        <f t="shared" si="70"/>
        <v>0</v>
      </c>
    </row>
    <row r="35" spans="1:107">
      <c r="B35" s="15">
        <f t="shared" si="38"/>
        <v>2042</v>
      </c>
      <c r="C35" s="9">
        <f t="shared" si="17"/>
        <v>162.71193717506225</v>
      </c>
      <c r="D35" s="45"/>
      <c r="E35" s="9">
        <f t="shared" ref="E35:E38" ca="1" si="74">SUMIF(INDIRECT("'Table 5'!$J$"&amp;$K$3&amp;":$J$"&amp;$K$4),B35,INDIRECT("'Table 5'!$c$"&amp;$K$3&amp;":$c$"&amp;$K$4))/SUMIF(INDIRECT("'Table 5'!$J$"&amp;$K$3&amp;":$J$"&amp;$K$4),B35,INDIRECT("'Table 5'!$f$"&amp;$K$3&amp;":$f$"&amp;$K$4))</f>
        <v>41.154624883882747</v>
      </c>
      <c r="F35" s="37"/>
      <c r="G35" s="14">
        <f t="shared" ca="1" si="42"/>
        <v>59.778311292887842</v>
      </c>
      <c r="H35" s="36"/>
      <c r="I35" s="176"/>
      <c r="J35" s="176"/>
      <c r="M35" s="113"/>
      <c r="O35">
        <f t="shared" ref="O35:O38" si="75">B35</f>
        <v>2042</v>
      </c>
      <c r="P35" s="382">
        <v>0</v>
      </c>
      <c r="Q35" s="382">
        <v>0</v>
      </c>
      <c r="R35" s="382">
        <v>0</v>
      </c>
      <c r="S35" s="382">
        <v>0</v>
      </c>
      <c r="T35" s="382">
        <v>0</v>
      </c>
      <c r="U35" s="382">
        <v>0</v>
      </c>
      <c r="V35" s="382">
        <v>0</v>
      </c>
      <c r="W35" s="382">
        <v>0</v>
      </c>
      <c r="X35" s="382">
        <v>0</v>
      </c>
      <c r="Y35" s="382">
        <v>0</v>
      </c>
      <c r="Z35" s="382">
        <v>0</v>
      </c>
      <c r="AA35" s="382">
        <v>0</v>
      </c>
      <c r="AB35" s="382">
        <v>0</v>
      </c>
      <c r="AC35" s="382">
        <v>0</v>
      </c>
      <c r="AD35" s="382">
        <v>0</v>
      </c>
      <c r="AE35" s="382">
        <v>0</v>
      </c>
      <c r="AF35" s="382">
        <v>0</v>
      </c>
      <c r="AG35" s="382">
        <v>0</v>
      </c>
      <c r="AL35">
        <f t="shared" si="73"/>
        <v>0</v>
      </c>
      <c r="AM35">
        <f t="shared" si="45"/>
        <v>0</v>
      </c>
      <c r="AN35">
        <f t="shared" si="46"/>
        <v>0</v>
      </c>
      <c r="AO35">
        <f t="shared" si="47"/>
        <v>0</v>
      </c>
      <c r="AP35">
        <f t="shared" si="48"/>
        <v>0</v>
      </c>
      <c r="AQ35">
        <f t="shared" si="49"/>
        <v>0</v>
      </c>
      <c r="AR35">
        <f t="shared" si="50"/>
        <v>0</v>
      </c>
      <c r="AS35">
        <f t="shared" si="51"/>
        <v>0</v>
      </c>
      <c r="AT35">
        <f t="shared" si="52"/>
        <v>0</v>
      </c>
      <c r="AU35">
        <f t="shared" si="53"/>
        <v>0</v>
      </c>
      <c r="AV35">
        <f t="shared" si="54"/>
        <v>0</v>
      </c>
      <c r="AW35">
        <f t="shared" si="55"/>
        <v>0</v>
      </c>
      <c r="AX35">
        <f t="shared" si="56"/>
        <v>0</v>
      </c>
      <c r="AY35">
        <f t="shared" si="57"/>
        <v>0</v>
      </c>
      <c r="AZ35">
        <f t="shared" si="58"/>
        <v>0</v>
      </c>
      <c r="BA35">
        <f t="shared" si="59"/>
        <v>0</v>
      </c>
      <c r="BB35">
        <f t="shared" si="60"/>
        <v>0</v>
      </c>
      <c r="BC35">
        <f t="shared" si="61"/>
        <v>0</v>
      </c>
      <c r="BG35">
        <f t="shared" si="67"/>
        <v>2042</v>
      </c>
      <c r="BH35" s="131">
        <f>IFERROR(VLOOKUP($O35,'Table 3 ID Wind_2030'!$B$10:$K$37,10,FALSE),0)</f>
        <v>175.84</v>
      </c>
      <c r="BI35" s="131">
        <f>IFERROR(VLOOKUP($O35,'Table 3 UT CP Wind_2023'!$B$10:$K$37,10,FALSE),0)</f>
        <v>183.11</v>
      </c>
      <c r="BJ35" s="131">
        <f>IFERROR(VLOOKUP($O35,'Table 3 WYAE Wind_2024'!$B$10:$L$37,11,FALSE),0)</f>
        <v>246.87</v>
      </c>
      <c r="BK35" s="131">
        <f>IFERROR(VLOOKUP($O35,'Table 3 YK Wind wS_2029'!$B$10:$K$37,10,FALSE),0)</f>
        <v>188.81</v>
      </c>
      <c r="BL35" s="370"/>
      <c r="BM35" s="131">
        <f>IFERROR(VLOOKUP($O35,'Table 3 ID Wind wS_2032'!$B$10:$K$38,10,FALSE),0)</f>
        <v>190.78</v>
      </c>
      <c r="BN35" s="131">
        <f>IFERROR(VLOOKUP($O35,'Table 3 PV wS YK_2024'!$B$10:$K$40,10,FALSE),0)</f>
        <v>138.69999999999999</v>
      </c>
      <c r="BO35" s="370"/>
      <c r="BP35" s="131">
        <f>IFERROR(VLOOKUP($O35,'Table 3 PV wS SO_2024'!$B$10:$K$40,10,FALSE),0)</f>
        <v>138.28</v>
      </c>
      <c r="BQ35" s="370"/>
      <c r="BR35" s="131">
        <f>IFERROR(VLOOKUP($O35,'Table 3 PV wS UTN_2024'!$B$10:$K$43,10,FALSE),0)</f>
        <v>137.06</v>
      </c>
      <c r="BS35" s="131">
        <f>IFERROR(VLOOKUP($O35,'Table 3 PV wS JB_2024'!$B$10:$K$40,10,FALSE),0)</f>
        <v>133.1</v>
      </c>
      <c r="BT35" s="131">
        <f>IFERROR(VLOOKUP($O35,'Table 3 PV wS JB_2029'!$B$10:$K$40,10,FALSE),0)</f>
        <v>122.03</v>
      </c>
      <c r="BU35" s="370"/>
      <c r="BV35" s="131">
        <f>IFERROR(VLOOKUP($O35,'Table 3 PV wS UTS_2024'!$B$10:$K$38,10,FALSE),0)</f>
        <v>135.51</v>
      </c>
      <c r="BW35" s="131">
        <f>IFERROR(VLOOKUP($O35,'Table 3 PV wS UTS_2030'!$B$10:$K$38,10,FALSE),0)</f>
        <v>173.82</v>
      </c>
      <c r="BX35" s="369"/>
      <c r="BY35" s="131">
        <f>IFERROR(VLOOKUP($O35,'Table 3 185 MW (NTN) 2026)'!$B$13:$L$40,11,FALSE),0)</f>
        <v>157.74</v>
      </c>
      <c r="CD35">
        <f>SUM(AL$13:AL35)*BH35/1000</f>
        <v>0</v>
      </c>
      <c r="CE35">
        <f>SUM(AM$13:AM35)*BI35/1000</f>
        <v>0</v>
      </c>
      <c r="CF35">
        <f>SUM(AN$13:AN35)*BJ35/1000</f>
        <v>0</v>
      </c>
      <c r="CG35">
        <f>SUM(AO$13:AO35)*BK35/1000</f>
        <v>0</v>
      </c>
      <c r="CH35">
        <f>SUM(AP$13:AP35)*BL35/1000</f>
        <v>0</v>
      </c>
      <c r="CI35">
        <f>SUM(AQ$13:AQ35)*BM35/1000</f>
        <v>0</v>
      </c>
      <c r="CJ35">
        <f>SUM(AR$13:AR35)*BN35/1000</f>
        <v>0</v>
      </c>
      <c r="CK35">
        <f>SUM(AS$13:AS35)*BO35/1000</f>
        <v>0</v>
      </c>
      <c r="CL35">
        <f>SUM(AT$13:AT35)*BP35/1000</f>
        <v>0</v>
      </c>
      <c r="CM35">
        <f>SUM(AU$13:AU35)*BQ35/1000</f>
        <v>0</v>
      </c>
      <c r="CN35">
        <f>SUM(AV$13:AV35)*BR35/1000</f>
        <v>0</v>
      </c>
      <c r="CO35">
        <f>SUM(AW$13:AW35)*BS35/1000</f>
        <v>0</v>
      </c>
      <c r="CP35">
        <f>SUM(AX$13:AX35)*BT35/1000</f>
        <v>0</v>
      </c>
      <c r="CQ35">
        <f>SUM(AY$13:AY35)*BU35/1000</f>
        <v>0</v>
      </c>
      <c r="CR35">
        <f>SUM(AZ$13:AZ35)*BV35/1000</f>
        <v>0</v>
      </c>
      <c r="CS35">
        <f>SUM(BA$13:BA35)*BW35/1000</f>
        <v>0</v>
      </c>
      <c r="CT35">
        <f>SUM(BB$13:BB35)*BX35/1000</f>
        <v>0</v>
      </c>
      <c r="CU35">
        <f>SUM(BC$13:BC35)*BY35/1000</f>
        <v>16.271193717506225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>
        <f t="shared" si="68"/>
        <v>16.271193717506225</v>
      </c>
      <c r="DA35">
        <f t="shared" si="69"/>
        <v>2042</v>
      </c>
      <c r="DB35" s="89">
        <f>IFERROR(VLOOKUP($DA35,'Table 3 TransCost'!$B$10:$E$40,4,FALSE),0)</f>
        <v>70.48</v>
      </c>
      <c r="DC35" s="176">
        <f t="shared" si="70"/>
        <v>0</v>
      </c>
    </row>
    <row r="36" spans="1:107" hidden="1">
      <c r="B36" s="15">
        <f t="shared" si="38"/>
        <v>2043</v>
      </c>
      <c r="C36" s="9">
        <f t="shared" si="17"/>
        <v>0</v>
      </c>
      <c r="D36" s="45"/>
      <c r="E36" s="9">
        <f t="shared" ca="1" si="74"/>
        <v>42.018872006444276</v>
      </c>
      <c r="F36" s="37"/>
      <c r="G36" s="14">
        <f t="shared" ca="1" si="42"/>
        <v>42.018872006444276</v>
      </c>
      <c r="H36" s="36"/>
      <c r="I36" s="176"/>
      <c r="J36" s="176"/>
      <c r="M36" s="113"/>
      <c r="O36">
        <f t="shared" si="75"/>
        <v>2043</v>
      </c>
      <c r="P36" s="382">
        <v>0</v>
      </c>
      <c r="Q36" s="382">
        <v>0</v>
      </c>
      <c r="R36" s="382">
        <v>0</v>
      </c>
      <c r="S36" s="382">
        <v>0</v>
      </c>
      <c r="T36" s="382">
        <v>0</v>
      </c>
      <c r="U36" s="382">
        <v>0</v>
      </c>
      <c r="V36" s="382">
        <v>0</v>
      </c>
      <c r="W36" s="382">
        <v>0</v>
      </c>
      <c r="X36" s="382">
        <v>0</v>
      </c>
      <c r="Y36" s="382">
        <v>0</v>
      </c>
      <c r="Z36" s="382">
        <v>0</v>
      </c>
      <c r="AA36" s="382">
        <v>0</v>
      </c>
      <c r="AB36" s="382">
        <v>0</v>
      </c>
      <c r="AC36" s="382">
        <v>0</v>
      </c>
      <c r="AD36" s="382">
        <v>0</v>
      </c>
      <c r="AE36" s="382">
        <v>0</v>
      </c>
      <c r="AF36" s="382">
        <v>0</v>
      </c>
      <c r="AG36" s="382">
        <v>0</v>
      </c>
      <c r="AL36">
        <f t="shared" si="73"/>
        <v>0</v>
      </c>
      <c r="AM36">
        <f t="shared" si="45"/>
        <v>0</v>
      </c>
      <c r="AN36">
        <f t="shared" si="46"/>
        <v>0</v>
      </c>
      <c r="AO36">
        <f t="shared" si="47"/>
        <v>0</v>
      </c>
      <c r="AP36">
        <f t="shared" si="48"/>
        <v>0</v>
      </c>
      <c r="AQ36">
        <f t="shared" si="49"/>
        <v>0</v>
      </c>
      <c r="AR36">
        <f t="shared" si="50"/>
        <v>0</v>
      </c>
      <c r="AS36">
        <f t="shared" si="51"/>
        <v>0</v>
      </c>
      <c r="AT36">
        <f t="shared" si="52"/>
        <v>0</v>
      </c>
      <c r="AU36">
        <f t="shared" si="53"/>
        <v>0</v>
      </c>
      <c r="AV36">
        <f t="shared" si="54"/>
        <v>0</v>
      </c>
      <c r="AW36">
        <f t="shared" si="55"/>
        <v>0</v>
      </c>
      <c r="AX36">
        <f t="shared" si="56"/>
        <v>0</v>
      </c>
      <c r="AY36">
        <f t="shared" si="57"/>
        <v>0</v>
      </c>
      <c r="AZ36">
        <f t="shared" si="58"/>
        <v>0</v>
      </c>
      <c r="BA36">
        <f t="shared" si="59"/>
        <v>0</v>
      </c>
      <c r="BB36">
        <f t="shared" si="60"/>
        <v>0</v>
      </c>
      <c r="BC36">
        <f t="shared" si="61"/>
        <v>0</v>
      </c>
      <c r="BG36">
        <f t="shared" si="67"/>
        <v>2043</v>
      </c>
      <c r="BH36" s="131">
        <f>IFERROR(VLOOKUP($O36,'Table 3 ID Wind_2030'!$B$10:$K$37,10,FALSE),0)</f>
        <v>179.52999999999997</v>
      </c>
      <c r="BI36" s="131">
        <f>IFERROR(VLOOKUP($O36,'Table 3 UT CP Wind_2023'!$B$10:$K$37,10,FALSE),0)</f>
        <v>186.95000000000002</v>
      </c>
      <c r="BJ36" s="131">
        <f>IFERROR(VLOOKUP($O36,'Table 3 WYAE Wind_2024'!$B$10:$L$37,11,FALSE),0)</f>
        <v>252.05</v>
      </c>
      <c r="BK36" s="131">
        <f>IFERROR(VLOOKUP($O36,'Table 3 YK Wind wS_2029'!$B$10:$K$37,10,FALSE),0)</f>
        <v>192.77</v>
      </c>
      <c r="BL36" s="370"/>
      <c r="BM36" s="131">
        <f>IFERROR(VLOOKUP($O36,'Table 3 ID Wind wS_2032'!$B$10:$K$38,10,FALSE),0)</f>
        <v>194.79</v>
      </c>
      <c r="BN36" s="131">
        <f>IFERROR(VLOOKUP($O36,'Table 3 PV wS YK_2024'!$B$10:$K$40,10,FALSE),0)</f>
        <v>141.61000000000001</v>
      </c>
      <c r="BO36" s="370"/>
      <c r="BP36" s="131">
        <f>IFERROR(VLOOKUP($O36,'Table 3 PV wS SO_2024'!$B$10:$K$40,10,FALSE),0)</f>
        <v>141.18</v>
      </c>
      <c r="BQ36" s="370"/>
      <c r="BR36" s="131">
        <f>IFERROR(VLOOKUP($O36,'Table 3 PV wS UTN_2024'!$B$10:$K$43,10,FALSE),0)</f>
        <v>139.93</v>
      </c>
      <c r="BS36" s="131">
        <f>IFERROR(VLOOKUP($O36,'Table 3 PV wS JB_2024'!$B$10:$K$40,10,FALSE),0)</f>
        <v>135.88999999999999</v>
      </c>
      <c r="BT36" s="131">
        <f>IFERROR(VLOOKUP($O36,'Table 3 PV wS JB_2029'!$B$10:$K$40,10,FALSE),0)</f>
        <v>124.59</v>
      </c>
      <c r="BU36" s="370"/>
      <c r="BV36" s="131">
        <f>IFERROR(VLOOKUP($O36,'Table 3 PV wS UTS_2024'!$B$10:$K$38,10,FALSE),0)</f>
        <v>138.35</v>
      </c>
      <c r="BW36" s="131">
        <f>IFERROR(VLOOKUP($O36,'Table 3 PV wS UTS_2030'!$B$10:$K$38,10,FALSE),0)</f>
        <v>177.46</v>
      </c>
      <c r="BX36" s="369"/>
      <c r="BY36" s="131">
        <f>IFERROR(VLOOKUP($O36,'Table 3 185 MW (NTN) 2026)'!$B$13:$L$40,11,FALSE),0)</f>
        <v>0</v>
      </c>
      <c r="CD36">
        <f>SUM(AL$13:AL36)*BH36/1000</f>
        <v>0</v>
      </c>
      <c r="CE36">
        <f>SUM(AM$13:AM36)*BI36/1000</f>
        <v>0</v>
      </c>
      <c r="CF36">
        <f>SUM(AN$13:AN36)*BJ36/1000</f>
        <v>0</v>
      </c>
      <c r="CG36">
        <f>SUM(AO$13:AO36)*BK36/1000</f>
        <v>0</v>
      </c>
      <c r="CH36">
        <f>SUM(AP$13:AP36)*BL36/1000</f>
        <v>0</v>
      </c>
      <c r="CI36">
        <f>SUM(AQ$13:AQ36)*BM36/1000</f>
        <v>0</v>
      </c>
      <c r="CJ36">
        <f>SUM(AR$13:AR36)*BN36/1000</f>
        <v>0</v>
      </c>
      <c r="CK36">
        <f>SUM(AS$13:AS36)*BO36/1000</f>
        <v>0</v>
      </c>
      <c r="CL36">
        <f>SUM(AT$13:AT36)*BP36/1000</f>
        <v>0</v>
      </c>
      <c r="CM36">
        <f>SUM(AU$13:AU36)*BQ36/1000</f>
        <v>0</v>
      </c>
      <c r="CN36">
        <f>SUM(AV$13:AV36)*BR36/1000</f>
        <v>0</v>
      </c>
      <c r="CO36">
        <f>SUM(AW$13:AW36)*BS36/1000</f>
        <v>0</v>
      </c>
      <c r="CP36">
        <f>SUM(AX$13:AX36)*BT36/1000</f>
        <v>0</v>
      </c>
      <c r="CQ36">
        <f>SUM(AY$13:AY36)*BU36/1000</f>
        <v>0</v>
      </c>
      <c r="CR36">
        <f>SUM(AZ$13:AZ36)*BV36/1000</f>
        <v>0</v>
      </c>
      <c r="CS36">
        <f>SUM(BA$13:BA36)*BW36/1000</f>
        <v>0</v>
      </c>
      <c r="CT36">
        <f>SUM(BB$13:BB36)*BX36/1000</f>
        <v>0</v>
      </c>
      <c r="CU36">
        <f>SUM(BC$13:BC36)*BY36/1000</f>
        <v>0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>
        <f t="shared" si="68"/>
        <v>0</v>
      </c>
      <c r="DA36">
        <f t="shared" si="69"/>
        <v>2043</v>
      </c>
      <c r="DB36" s="89">
        <f>IFERROR(VLOOKUP($DA36,'Table 3 TransCost'!$B$10:$E$40,4,FALSE),0)</f>
        <v>71.959999999999994</v>
      </c>
      <c r="DC36" s="176">
        <f t="shared" si="70"/>
        <v>0</v>
      </c>
    </row>
    <row r="37" spans="1:107" hidden="1">
      <c r="B37" s="15">
        <f t="shared" si="38"/>
        <v>2044</v>
      </c>
      <c r="C37" s="9">
        <f t="shared" si="17"/>
        <v>0</v>
      </c>
      <c r="D37" s="45"/>
      <c r="E37" s="9">
        <f t="shared" ca="1" si="74"/>
        <v>42.943287190586055</v>
      </c>
      <c r="F37" s="37"/>
      <c r="G37" s="14">
        <f t="shared" ca="1" si="42"/>
        <v>42.943287190586055</v>
      </c>
      <c r="H37" s="36"/>
      <c r="I37" s="176"/>
      <c r="J37" s="176"/>
      <c r="M37" s="113"/>
      <c r="O37">
        <f t="shared" si="75"/>
        <v>2044</v>
      </c>
      <c r="P37" s="382">
        <v>0</v>
      </c>
      <c r="Q37" s="382">
        <v>0</v>
      </c>
      <c r="R37" s="382">
        <v>0</v>
      </c>
      <c r="S37" s="382">
        <v>0</v>
      </c>
      <c r="T37" s="382">
        <v>0</v>
      </c>
      <c r="U37" s="382">
        <v>0</v>
      </c>
      <c r="V37" s="382">
        <v>0</v>
      </c>
      <c r="W37" s="382">
        <v>0</v>
      </c>
      <c r="X37" s="382">
        <v>0</v>
      </c>
      <c r="Y37" s="382">
        <v>0</v>
      </c>
      <c r="Z37" s="382">
        <v>0</v>
      </c>
      <c r="AA37" s="382">
        <v>0</v>
      </c>
      <c r="AB37" s="382">
        <v>0</v>
      </c>
      <c r="AC37" s="382">
        <v>0</v>
      </c>
      <c r="AD37" s="382">
        <v>0</v>
      </c>
      <c r="AE37" s="382">
        <v>0</v>
      </c>
      <c r="AF37" s="382">
        <v>0</v>
      </c>
      <c r="AG37" s="382">
        <v>0</v>
      </c>
      <c r="AL37">
        <f t="shared" si="73"/>
        <v>0</v>
      </c>
      <c r="AM37">
        <f t="shared" si="45"/>
        <v>0</v>
      </c>
      <c r="AN37">
        <f t="shared" si="46"/>
        <v>0</v>
      </c>
      <c r="AO37">
        <f t="shared" si="47"/>
        <v>0</v>
      </c>
      <c r="AP37">
        <f t="shared" si="48"/>
        <v>0</v>
      </c>
      <c r="AQ37">
        <f t="shared" si="49"/>
        <v>0</v>
      </c>
      <c r="AR37">
        <f t="shared" si="50"/>
        <v>0</v>
      </c>
      <c r="AS37">
        <f t="shared" si="51"/>
        <v>0</v>
      </c>
      <c r="AT37">
        <f t="shared" si="52"/>
        <v>0</v>
      </c>
      <c r="AU37">
        <f t="shared" si="53"/>
        <v>0</v>
      </c>
      <c r="AV37">
        <f t="shared" si="54"/>
        <v>0</v>
      </c>
      <c r="AW37">
        <f t="shared" si="55"/>
        <v>0</v>
      </c>
      <c r="AX37">
        <f t="shared" si="56"/>
        <v>0</v>
      </c>
      <c r="AY37">
        <f t="shared" si="57"/>
        <v>0</v>
      </c>
      <c r="AZ37">
        <f t="shared" si="58"/>
        <v>0</v>
      </c>
      <c r="BA37">
        <f t="shared" si="59"/>
        <v>0</v>
      </c>
      <c r="BB37">
        <f t="shared" si="60"/>
        <v>0</v>
      </c>
      <c r="BC37">
        <f t="shared" si="61"/>
        <v>0</v>
      </c>
      <c r="BG37">
        <f t="shared" si="67"/>
        <v>2044</v>
      </c>
      <c r="BH37" s="131">
        <f>IFERROR(VLOOKUP($O37,'Table 3 ID Wind_2030'!$B$10:$K$37,10,FALSE),0)</f>
        <v>0</v>
      </c>
      <c r="BI37" s="131">
        <f>IFERROR(VLOOKUP($O37,'Table 3 UT CP Wind_2023'!$B$10:$K$37,10,FALSE),0)</f>
        <v>0</v>
      </c>
      <c r="BJ37" s="131">
        <f>IFERROR(VLOOKUP($O37,'Table 3 WYAE Wind_2024'!$B$10:$L$37,11,FALSE),0)</f>
        <v>0</v>
      </c>
      <c r="BK37" s="131">
        <f>IFERROR(VLOOKUP($O37,'Table 3 YK Wind wS_2029'!$B$10:$K$37,10,FALSE),0)</f>
        <v>0</v>
      </c>
      <c r="BL37" s="370"/>
      <c r="BM37" s="131">
        <f>IFERROR(VLOOKUP($O37,'Table 3 ID Wind wS_2032'!$B$10:$K$38,10,FALSE),0)</f>
        <v>0</v>
      </c>
      <c r="BN37" s="131">
        <f>IFERROR(VLOOKUP($O37,'Table 3 PV wS YK_2024'!$B$10:$K$40,10,FALSE),0)</f>
        <v>0</v>
      </c>
      <c r="BO37" s="370"/>
      <c r="BP37" s="131">
        <f>IFERROR(VLOOKUP($O37,'Table 3 PV wS SO_2024'!$B$10:$K$40,10,FALSE),0)</f>
        <v>0</v>
      </c>
      <c r="BQ37" s="370"/>
      <c r="BR37" s="131">
        <f>IFERROR(VLOOKUP($O37,'Table 3 PV wS UTN_2024'!$B$10:$K$43,10,FALSE),0)</f>
        <v>139.93</v>
      </c>
      <c r="BS37" s="131">
        <f>IFERROR(VLOOKUP($O37,'Table 3 PV wS JB_2024'!$B$10:$K$40,10,FALSE),0)</f>
        <v>0</v>
      </c>
      <c r="BT37" s="131">
        <f>IFERROR(VLOOKUP($O37,'Table 3 PV wS JB_2029'!$B$10:$K$40,10,FALSE),0)</f>
        <v>0</v>
      </c>
      <c r="BU37" s="370"/>
      <c r="BV37" s="131">
        <f>IFERROR(VLOOKUP($O37,'Table 3 PV wS UTS_2024'!$B$10:$K$38,10,FALSE),0)</f>
        <v>0</v>
      </c>
      <c r="BW37" s="131">
        <f>IFERROR(VLOOKUP($O37,'Table 3 PV wS UTS_2030'!$B$10:$K$38,10,FALSE),0)</f>
        <v>0</v>
      </c>
      <c r="BX37" s="369"/>
      <c r="BY37" s="131">
        <f>IFERROR(VLOOKUP($O37,'Table 3 185 MW (NTN) 2026)'!$B$13:$L$40,11,FALSE),0)</f>
        <v>0</v>
      </c>
      <c r="CD37">
        <f>SUM(AL$13:AL37)*BH37/1000</f>
        <v>0</v>
      </c>
      <c r="CE37">
        <f>SUM(AM$13:AM37)*BI37/1000</f>
        <v>0</v>
      </c>
      <c r="CF37">
        <f>SUM(AN$13:AN37)*BJ37/1000</f>
        <v>0</v>
      </c>
      <c r="CG37">
        <f>SUM(AO$13:AO37)*BK37/1000</f>
        <v>0</v>
      </c>
      <c r="CH37">
        <f>SUM(AP$13:AP37)*BL37/1000</f>
        <v>0</v>
      </c>
      <c r="CI37">
        <f>SUM(AQ$13:AQ37)*BM37/1000</f>
        <v>0</v>
      </c>
      <c r="CJ37">
        <f>SUM(AR$13:AR37)*BN37/1000</f>
        <v>0</v>
      </c>
      <c r="CK37">
        <f>SUM(AS$13:AS37)*BO37/1000</f>
        <v>0</v>
      </c>
      <c r="CL37">
        <f>SUM(AT$13:AT37)*BP37/1000</f>
        <v>0</v>
      </c>
      <c r="CM37">
        <f>SUM(AU$13:AU37)*BQ37/1000</f>
        <v>0</v>
      </c>
      <c r="CN37">
        <f>SUM(AV$13:AV37)*BR37/1000</f>
        <v>0</v>
      </c>
      <c r="CO37">
        <f>SUM(AW$13:AW37)*BS37/1000</f>
        <v>0</v>
      </c>
      <c r="CP37">
        <f>SUM(AX$13:AX37)*BT37/1000</f>
        <v>0</v>
      </c>
      <c r="CQ37">
        <f>SUM(AY$13:AY37)*BU37/1000</f>
        <v>0</v>
      </c>
      <c r="CR37">
        <f>SUM(AZ$13:AZ37)*BV37/1000</f>
        <v>0</v>
      </c>
      <c r="CS37">
        <f>SUM(BA$13:BA37)*BW37/1000</f>
        <v>0</v>
      </c>
      <c r="CT37">
        <f>SUM(BB$13:BB37)*BX37/1000</f>
        <v>0</v>
      </c>
      <c r="CU37">
        <f>SUM(BC$13:BC37)*BY37/1000</f>
        <v>0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>
        <f t="shared" si="68"/>
        <v>0</v>
      </c>
      <c r="DA37">
        <f t="shared" si="69"/>
        <v>2044</v>
      </c>
      <c r="DB37" s="89">
        <f>IFERROR(VLOOKUP($DA37,'Table 3 TransCost'!$B$10:$E$40,4,FALSE),0)</f>
        <v>73.540000000000006</v>
      </c>
      <c r="DC37" s="176">
        <f t="shared" si="70"/>
        <v>0</v>
      </c>
    </row>
    <row r="38" spans="1:107" hidden="1">
      <c r="B38" s="15">
        <f t="shared" si="38"/>
        <v>2045</v>
      </c>
      <c r="C38" s="9">
        <f t="shared" si="17"/>
        <v>0</v>
      </c>
      <c r="D38" s="45"/>
      <c r="E38" s="9">
        <f t="shared" ca="1" si="74"/>
        <v>42.840224111085604</v>
      </c>
      <c r="F38" s="37"/>
      <c r="G38" s="14">
        <f t="shared" ca="1" si="42"/>
        <v>42.840224111085604</v>
      </c>
      <c r="H38" s="36"/>
      <c r="I38" s="176"/>
      <c r="J38" s="176"/>
      <c r="M38" s="113"/>
      <c r="O38">
        <f t="shared" si="75"/>
        <v>2045</v>
      </c>
      <c r="P38" s="382">
        <v>0</v>
      </c>
      <c r="Q38" s="382">
        <v>0</v>
      </c>
      <c r="R38" s="382">
        <v>0</v>
      </c>
      <c r="S38" s="382">
        <v>0</v>
      </c>
      <c r="T38" s="382">
        <v>0</v>
      </c>
      <c r="U38" s="382">
        <v>0</v>
      </c>
      <c r="V38" s="382">
        <v>0</v>
      </c>
      <c r="W38" s="382">
        <v>0</v>
      </c>
      <c r="X38" s="382">
        <v>0</v>
      </c>
      <c r="Y38" s="382">
        <v>0</v>
      </c>
      <c r="Z38" s="382">
        <v>0</v>
      </c>
      <c r="AA38" s="382">
        <v>0</v>
      </c>
      <c r="AB38" s="382">
        <v>0</v>
      </c>
      <c r="AC38" s="382">
        <v>0</v>
      </c>
      <c r="AD38" s="382">
        <v>0</v>
      </c>
      <c r="AE38" s="382">
        <v>0</v>
      </c>
      <c r="AF38" s="382">
        <v>0</v>
      </c>
      <c r="AG38" s="382">
        <v>0</v>
      </c>
      <c r="AL38">
        <f t="shared" si="73"/>
        <v>0</v>
      </c>
      <c r="AM38">
        <f t="shared" si="45"/>
        <v>0</v>
      </c>
      <c r="AN38">
        <f t="shared" si="46"/>
        <v>0</v>
      </c>
      <c r="AO38">
        <f t="shared" si="47"/>
        <v>0</v>
      </c>
      <c r="AP38">
        <f t="shared" si="48"/>
        <v>0</v>
      </c>
      <c r="AQ38">
        <f t="shared" si="49"/>
        <v>0</v>
      </c>
      <c r="AR38">
        <f t="shared" si="50"/>
        <v>0</v>
      </c>
      <c r="AS38">
        <f t="shared" si="51"/>
        <v>0</v>
      </c>
      <c r="AT38">
        <f t="shared" si="52"/>
        <v>0</v>
      </c>
      <c r="AU38">
        <f t="shared" si="53"/>
        <v>0</v>
      </c>
      <c r="AV38">
        <f t="shared" si="54"/>
        <v>0</v>
      </c>
      <c r="AW38">
        <f t="shared" si="55"/>
        <v>0</v>
      </c>
      <c r="AX38">
        <f t="shared" si="56"/>
        <v>0</v>
      </c>
      <c r="AY38">
        <f t="shared" si="57"/>
        <v>0</v>
      </c>
      <c r="AZ38">
        <f t="shared" si="58"/>
        <v>0</v>
      </c>
      <c r="BA38">
        <f t="shared" si="59"/>
        <v>0</v>
      </c>
      <c r="BB38">
        <f t="shared" si="60"/>
        <v>0</v>
      </c>
      <c r="BC38">
        <f t="shared" si="61"/>
        <v>0</v>
      </c>
      <c r="BG38">
        <f t="shared" si="67"/>
        <v>2045</v>
      </c>
      <c r="BH38" s="131">
        <f>IFERROR(VLOOKUP($O38,'Table 3 ID Wind_2030'!$B$10:$K$37,10,FALSE),0)</f>
        <v>0</v>
      </c>
      <c r="BI38" s="131">
        <f>IFERROR(VLOOKUP($O38,'Table 3 UT CP Wind_2023'!$B$10:$K$37,10,FALSE),0)</f>
        <v>0</v>
      </c>
      <c r="BJ38" s="131">
        <f>IFERROR(VLOOKUP($O38,'Table 3 WYAE Wind_2024'!$B$10:$L$37,11,FALSE),0)</f>
        <v>0</v>
      </c>
      <c r="BK38" s="131">
        <f>IFERROR(VLOOKUP($O38,'Table 3 YK Wind wS_2029'!$B$10:$K$37,10,FALSE),0)</f>
        <v>0</v>
      </c>
      <c r="BL38" s="370"/>
      <c r="BM38" s="131">
        <f>IFERROR(VLOOKUP($O38,'Table 3 ID Wind wS_2032'!$B$10:$K$38,10,FALSE),0)</f>
        <v>0</v>
      </c>
      <c r="BN38" s="131">
        <f>IFERROR(VLOOKUP($O38,'Table 3 PV wS YK_2024'!$B$10:$K$40,10,FALSE),0)</f>
        <v>0</v>
      </c>
      <c r="BO38" s="370"/>
      <c r="BP38" s="131">
        <f>IFERROR(VLOOKUP($O38,'Table 3 PV wS SO_2024'!$B$10:$K$40,10,FALSE),0)</f>
        <v>0</v>
      </c>
      <c r="BQ38" s="370"/>
      <c r="BR38" s="131">
        <f>IFERROR(VLOOKUP($O38,'Table 3 PV wS UTN_2024'!$B$10:$K$43,10,FALSE),0)</f>
        <v>139.93</v>
      </c>
      <c r="BS38" s="131">
        <f>IFERROR(VLOOKUP($O38,'Table 3 PV wS JB_2024'!$B$10:$K$40,10,FALSE),0)</f>
        <v>0</v>
      </c>
      <c r="BT38" s="131">
        <f>IFERROR(VLOOKUP($O38,'Table 3 PV wS JB_2029'!$B$10:$K$40,10,FALSE),0)</f>
        <v>0</v>
      </c>
      <c r="BU38" s="370"/>
      <c r="BV38" s="131">
        <f>IFERROR(VLOOKUP($O38,'Table 3 PV wS UTS_2024'!$B$10:$K$38,10,FALSE),0)</f>
        <v>0</v>
      </c>
      <c r="BW38" s="131">
        <f>IFERROR(VLOOKUP($O38,'Table 3 PV wS UTS_2030'!$B$10:$K$38,10,FALSE),0)</f>
        <v>0</v>
      </c>
      <c r="BX38" s="369"/>
      <c r="BY38" s="131">
        <f>IFERROR(VLOOKUP($O38,'Table 3 185 MW (NTN) 2026)'!$B$13:$L$40,11,FALSE),0)</f>
        <v>0</v>
      </c>
      <c r="CD38">
        <f>SUM(AL$13:AL38)*BH38/1000</f>
        <v>0</v>
      </c>
      <c r="CE38">
        <f>SUM(AM$13:AM38)*BI38/1000</f>
        <v>0</v>
      </c>
      <c r="CF38">
        <f>SUM(AN$13:AN38)*BJ38/1000</f>
        <v>0</v>
      </c>
      <c r="CG38">
        <f>SUM(AO$13:AO38)*BK38/1000</f>
        <v>0</v>
      </c>
      <c r="CH38">
        <f>SUM(AP$13:AP38)*BL38/1000</f>
        <v>0</v>
      </c>
      <c r="CI38">
        <f>SUM(AQ$13:AQ38)*BM38/1000</f>
        <v>0</v>
      </c>
      <c r="CJ38">
        <f>SUM(AR$13:AR38)*BN38/1000</f>
        <v>0</v>
      </c>
      <c r="CK38">
        <f>SUM(AS$13:AS38)*BO38/1000</f>
        <v>0</v>
      </c>
      <c r="CL38">
        <f>SUM(AT$13:AT38)*BP38/1000</f>
        <v>0</v>
      </c>
      <c r="CM38">
        <f>SUM(AU$13:AU38)*BQ38/1000</f>
        <v>0</v>
      </c>
      <c r="CN38">
        <f>SUM(AV$13:AV38)*BR38/1000</f>
        <v>0</v>
      </c>
      <c r="CO38">
        <f>SUM(AW$13:AW38)*BS38/1000</f>
        <v>0</v>
      </c>
      <c r="CP38">
        <f>SUM(AX$13:AX38)*BT38/1000</f>
        <v>0</v>
      </c>
      <c r="CQ38">
        <f>SUM(AY$13:AY38)*BU38/1000</f>
        <v>0</v>
      </c>
      <c r="CR38">
        <f>SUM(AZ$13:AZ38)*BV38/1000</f>
        <v>0</v>
      </c>
      <c r="CS38">
        <f>SUM(BA$13:BA38)*BW38/1000</f>
        <v>0</v>
      </c>
      <c r="CT38">
        <f>SUM(BB$13:BB38)*BX38/1000</f>
        <v>0</v>
      </c>
      <c r="CU38">
        <f>SUM(BC$13:BC38)*BY38/1000</f>
        <v>0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>
        <f t="shared" si="68"/>
        <v>0</v>
      </c>
      <c r="DA38">
        <f t="shared" si="69"/>
        <v>2045</v>
      </c>
      <c r="DB38" s="89">
        <f>IFERROR(VLOOKUP($DA38,'Table 3 TransCost'!$B$10:$E$40,4,FALSE),0)</f>
        <v>75.16</v>
      </c>
      <c r="DC38" s="176">
        <f t="shared" si="70"/>
        <v>0</v>
      </c>
    </row>
    <row r="39" spans="1:107">
      <c r="B39" s="168"/>
      <c r="C39" s="9"/>
      <c r="D39" s="45"/>
      <c r="E39" s="9"/>
      <c r="F39" s="37"/>
      <c r="G39" s="9"/>
      <c r="H39" s="36"/>
      <c r="I39" s="49"/>
      <c r="M39" s="113"/>
      <c r="BL39" t="s">
        <v>225</v>
      </c>
      <c r="BO39" t="s">
        <v>225</v>
      </c>
      <c r="BU39" t="s">
        <v>225</v>
      </c>
      <c r="BX39" t="s">
        <v>225</v>
      </c>
      <c r="DB39" s="89"/>
      <c r="DC39" s="176"/>
    </row>
    <row r="40" spans="1:107" ht="12" customHeight="1">
      <c r="B40" s="168"/>
      <c r="C40" s="9"/>
      <c r="D40" s="45"/>
      <c r="E40" s="9"/>
      <c r="F40" s="37"/>
      <c r="G40" s="9"/>
      <c r="H40" s="36"/>
      <c r="I40" s="49"/>
      <c r="M40" s="113"/>
      <c r="N40" t="s">
        <v>93</v>
      </c>
      <c r="P40">
        <v>2030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425"/>
      <c r="B41" s="425"/>
      <c r="D41" s="9"/>
      <c r="F41" s="37"/>
      <c r="H41" s="36"/>
      <c r="I41"/>
      <c r="N41" t="s">
        <v>226</v>
      </c>
      <c r="P41" s="212">
        <v>0</v>
      </c>
      <c r="Q41" s="212"/>
      <c r="R41" s="212">
        <v>0</v>
      </c>
      <c r="S41" s="212">
        <v>0</v>
      </c>
      <c r="T41" s="212">
        <v>0</v>
      </c>
      <c r="U41" s="212">
        <v>0</v>
      </c>
      <c r="V41" s="212">
        <v>0</v>
      </c>
      <c r="W41" s="212">
        <v>0</v>
      </c>
      <c r="X41" s="212">
        <v>0</v>
      </c>
      <c r="Y41" s="212">
        <v>0</v>
      </c>
      <c r="Z41" s="212">
        <v>0</v>
      </c>
      <c r="AA41" s="212">
        <v>0</v>
      </c>
      <c r="AB41" s="212">
        <v>0</v>
      </c>
      <c r="AC41" s="212">
        <v>0</v>
      </c>
      <c r="AD41" s="212">
        <v>0</v>
      </c>
      <c r="AE41" s="212">
        <v>0</v>
      </c>
      <c r="AF41" s="212">
        <v>0</v>
      </c>
      <c r="AG41" s="212">
        <v>1</v>
      </c>
      <c r="AH41" s="212"/>
      <c r="AI41" s="212"/>
      <c r="AJ41" s="212"/>
    </row>
    <row r="42" spans="1:107">
      <c r="A42" s="194"/>
      <c r="B42" s="55"/>
      <c r="E42" s="5"/>
      <c r="I42" s="49" t="s">
        <v>160</v>
      </c>
      <c r="P42" s="170"/>
      <c r="Q42" s="170"/>
      <c r="R42" s="170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</row>
    <row r="43" spans="1:107">
      <c r="B43" s="47"/>
      <c r="C43" s="9"/>
      <c r="D43" s="9"/>
      <c r="H43" s="36"/>
      <c r="I43" s="109">
        <v>6.9199999999999998E-2</v>
      </c>
    </row>
    <row r="44" spans="1:107">
      <c r="B44" s="48"/>
      <c r="E44" s="9"/>
      <c r="G44" s="196"/>
      <c r="H44" s="36"/>
    </row>
    <row r="45" spans="1:107">
      <c r="A45" s="426" t="str">
        <f>'Table 5'!A10</f>
        <v>15 Year Starting 2020</v>
      </c>
      <c r="B45" s="426"/>
      <c r="E45" s="9"/>
      <c r="G45" s="196"/>
      <c r="H45" s="36"/>
      <c r="P45" t="s">
        <v>112</v>
      </c>
    </row>
    <row r="46" spans="1:107" ht="13.5" customHeight="1">
      <c r="A46" s="55"/>
      <c r="B46" s="55" t="str">
        <f>" Levelized Prices (Nominal) @ "&amp;TEXT($I$43,"0.00%")&amp;" Discount Rate (1) (3) "</f>
        <v xml:space="preserve"> Levelized Prices (Nominal) @ 6.92% Discount Rate (1) (3) </v>
      </c>
      <c r="E46" s="5"/>
      <c r="H46" s="36"/>
      <c r="P46" t="s">
        <v>111</v>
      </c>
      <c r="R46" s="283">
        <v>2.2799999999999997E-2</v>
      </c>
    </row>
    <row r="47" spans="1:107">
      <c r="A47" s="47"/>
      <c r="B47" s="47" t="s">
        <v>8</v>
      </c>
      <c r="C47" s="9">
        <f ca="1">'Table 5'!$D$10*(Study_CF*8.76)/'Table 5'!$F$10</f>
        <v>59.895238260613461</v>
      </c>
      <c r="D47" s="9"/>
      <c r="H47" s="36"/>
    </row>
    <row r="48" spans="1:107">
      <c r="A48" s="48"/>
      <c r="B48" s="48" t="s">
        <v>31</v>
      </c>
      <c r="E48" s="9">
        <f ca="1">'Table 5'!$C$10/'Table 5'!$F$10</f>
        <v>18.9857533506244</v>
      </c>
      <c r="G48" s="196">
        <f ca="1">'Table 5'!$G$10</f>
        <v>25.823109316447855</v>
      </c>
      <c r="H48" s="36"/>
    </row>
    <row r="49" spans="1:19" ht="6" customHeight="1">
      <c r="B49" s="48"/>
      <c r="E49" s="9"/>
      <c r="G49" s="196"/>
      <c r="H49" s="36"/>
      <c r="I49" s="218"/>
    </row>
    <row r="50" spans="1:19" ht="21" customHeight="1">
      <c r="A50" s="426" t="str">
        <f>'Table 5'!A9</f>
        <v>15 Year Starting 2022</v>
      </c>
      <c r="B50" s="426"/>
      <c r="E50" s="9"/>
      <c r="G50" s="108"/>
      <c r="H50" s="36"/>
    </row>
    <row r="51" spans="1:19">
      <c r="B51" s="55" t="str">
        <f>" Levelized Prices (Nominal) @ "&amp;TEXT($I$43,"0.00%")&amp;" Discount Rate (1) (3) "</f>
        <v xml:space="preserve"> Levelized Prices (Nominal) @ 6.92% Discount Rate (1) (3) </v>
      </c>
      <c r="E51" s="5"/>
      <c r="H51" s="36"/>
      <c r="I51"/>
      <c r="M51" s="113"/>
    </row>
    <row r="52" spans="1:19">
      <c r="B52" s="47" t="s">
        <v>8</v>
      </c>
      <c r="C52" s="9">
        <f ca="1">'Table 5'!$D$9*(Study_CF*8.76)/'Table 5'!$F$9</f>
        <v>80.245461692799424</v>
      </c>
      <c r="D52" s="9"/>
      <c r="H52" s="36"/>
      <c r="I52"/>
    </row>
    <row r="53" spans="1:19">
      <c r="B53" s="48" t="s">
        <v>31</v>
      </c>
      <c r="E53" s="9">
        <f ca="1">'Table 5'!$C$9/'Table 5'!$F$9</f>
        <v>21.056036564002476</v>
      </c>
      <c r="G53" s="196">
        <f ca="1">'Table 5'!$G$9</f>
        <v>30.216477396513827</v>
      </c>
      <c r="H53" s="36"/>
      <c r="I53" s="218"/>
      <c r="S53" s="176"/>
    </row>
    <row r="54" spans="1:19" ht="8.25" customHeight="1">
      <c r="A54" s="426"/>
      <c r="B54" s="426"/>
      <c r="E54" s="9"/>
      <c r="G54" s="108"/>
      <c r="H54" s="36"/>
    </row>
    <row r="55" spans="1:19">
      <c r="A55" s="426" t="str">
        <f>'Table 5'!A7</f>
        <v>15 Year Starting 2023</v>
      </c>
      <c r="B55" s="426"/>
      <c r="E55" s="9"/>
      <c r="G55" s="108"/>
      <c r="H55" s="36"/>
      <c r="I55"/>
      <c r="M55" s="113"/>
    </row>
    <row r="56" spans="1:19">
      <c r="B56" s="55" t="str">
        <f>" Levelized Prices (Nominal) @ "&amp;TEXT($I$43,"0.00%")&amp;" Discount Rate (1) (3) "</f>
        <v xml:space="preserve"> Levelized Prices (Nominal) @ 6.92% Discount Rate (1) (3) </v>
      </c>
      <c r="E56" s="5"/>
      <c r="H56" s="36"/>
      <c r="I56"/>
    </row>
    <row r="57" spans="1:19">
      <c r="B57" s="47" t="s">
        <v>8</v>
      </c>
      <c r="C57" s="9">
        <f ca="1">'Table 5'!$D$7*(Study_CF*8.76)/'Table 5'!$F$7</f>
        <v>91.662296936712593</v>
      </c>
      <c r="D57" s="9"/>
      <c r="H57" s="36"/>
      <c r="I57"/>
      <c r="S57" s="176"/>
    </row>
    <row r="58" spans="1:19">
      <c r="B58" s="48" t="s">
        <v>31</v>
      </c>
      <c r="E58" s="9">
        <f ca="1">'Table 5'!$C$7/'Table 5'!$F$9</f>
        <v>22.026107988056644</v>
      </c>
      <c r="G58" s="196">
        <f ca="1">'Table 5'!$G$7</f>
        <v>32.488770308650146</v>
      </c>
      <c r="H58" s="36"/>
    </row>
    <row r="59" spans="1:19">
      <c r="B59" s="47"/>
      <c r="C59" s="9"/>
      <c r="D59" s="9"/>
      <c r="H59" s="36"/>
    </row>
    <row r="60" spans="1:19">
      <c r="B60" s="48"/>
      <c r="E60" s="9"/>
      <c r="G60" s="108"/>
      <c r="H60" s="36"/>
    </row>
    <row r="61" spans="1:19">
      <c r="B61" s="47"/>
      <c r="C61" s="9"/>
      <c r="D61" s="9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A64" s="426"/>
      <c r="B64" s="426"/>
      <c r="E64" s="9"/>
      <c r="G64" s="108"/>
      <c r="H64" s="36"/>
    </row>
    <row r="65" spans="1:13">
      <c r="B65" s="55"/>
      <c r="E65" s="5"/>
      <c r="H65" s="36"/>
    </row>
    <row r="66" spans="1:13">
      <c r="B66" s="47"/>
      <c r="C66" s="9"/>
      <c r="D66" s="9"/>
      <c r="H66" s="36"/>
    </row>
    <row r="67" spans="1:13">
      <c r="B67" s="48"/>
      <c r="E67" s="9"/>
      <c r="G67" s="196"/>
      <c r="H67" s="36"/>
    </row>
    <row r="68" spans="1:13">
      <c r="E68" s="38"/>
      <c r="G68" s="38"/>
      <c r="H68" s="36"/>
      <c r="I68" s="108"/>
    </row>
    <row r="69" spans="1:13">
      <c r="B69" s="50"/>
      <c r="E69" s="36"/>
      <c r="F69" s="38"/>
      <c r="G69" s="36"/>
      <c r="H69" s="36"/>
      <c r="I69" s="108"/>
    </row>
    <row r="70" spans="1:13">
      <c r="F70" s="38"/>
      <c r="H70" s="36"/>
      <c r="I70" s="108"/>
    </row>
    <row r="71" spans="1:13">
      <c r="G71" s="5"/>
    </row>
    <row r="73" spans="1:13">
      <c r="B73" s="94"/>
    </row>
    <row r="74" spans="1:13" ht="12.75" customHeight="1">
      <c r="B74" s="94"/>
    </row>
    <row r="75" spans="1:13" ht="12.75" customHeight="1">
      <c r="A75" s="3" t="b">
        <f>SUM(P13:AJ28)&gt;0</f>
        <v>1</v>
      </c>
      <c r="B75" s="94"/>
    </row>
    <row r="76" spans="1:13">
      <c r="A76" s="3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17</v>
      </c>
      <c r="B76" s="10"/>
      <c r="C76" s="7"/>
      <c r="D76" s="7"/>
      <c r="E76" s="7"/>
      <c r="G76" s="7"/>
    </row>
    <row r="77" spans="1:13">
      <c r="A77" t="e">
        <f>INDEX($O$13:$AJ$33,IF(SUM($P$13:$AJ$33)&gt;0,SUM($P$13:$AJ$33),FALSE)-1,1)</f>
        <v>#REF!</v>
      </c>
      <c r="I77" t="s">
        <v>57</v>
      </c>
    </row>
    <row r="78" spans="1:13" s="53" customFormat="1">
      <c r="A78" s="54"/>
      <c r="B78" s="10"/>
      <c r="C78" s="54"/>
      <c r="D78" s="54"/>
      <c r="E78" s="54"/>
      <c r="F78" s="54"/>
      <c r="G78" s="54"/>
      <c r="I78" t="str">
        <f ca="1">"       Avoided Costs calculated annually are  "&amp;TEXT(PMT(Discount_Rate,COUNT($G$13:$G$27),-NPV(Discount_Rate,$G$13:$G$27)),"$0.00")&amp;"/MWH"</f>
        <v xml:space="preserve">       Avoided Costs calculated annually are  $25.85/MWH</v>
      </c>
      <c r="J78"/>
      <c r="K78"/>
      <c r="L78"/>
      <c r="M78"/>
    </row>
    <row r="79" spans="1:13" s="53" customFormat="1">
      <c r="A79" s="54"/>
      <c r="B79" s="10"/>
      <c r="C79" s="54"/>
      <c r="D79" s="54"/>
      <c r="E79" s="54"/>
      <c r="F79" s="54"/>
      <c r="G79" s="54"/>
      <c r="I79" s="10" t="str">
        <f>"       Avoided Costs calculated monthly are  "&amp;TEXT($G$44,"$0.00")&amp;"/MWH"</f>
        <v xml:space="preserve">       Avoided Costs calculated monthly are  $0.00/MWH</v>
      </c>
      <c r="J79"/>
      <c r="K79"/>
    </row>
    <row r="80" spans="1:13">
      <c r="A80"/>
      <c r="B80" s="51"/>
      <c r="I80" s="53"/>
      <c r="L80" s="53"/>
      <c r="M80" s="53"/>
    </row>
    <row r="81" spans="1:11">
      <c r="A81"/>
      <c r="F81" s="7"/>
    </row>
    <row r="84" spans="1:11">
      <c r="A84"/>
      <c r="J84" s="53"/>
      <c r="K84" s="53"/>
    </row>
    <row r="85" spans="1:11">
      <c r="A85"/>
      <c r="J85" s="53"/>
      <c r="K85" s="53"/>
    </row>
  </sheetData>
  <mergeCells count="6">
    <mergeCell ref="A41:B41"/>
    <mergeCell ref="A54:B54"/>
    <mergeCell ref="A64:B64"/>
    <mergeCell ref="A50:B50"/>
    <mergeCell ref="A45:B45"/>
    <mergeCell ref="A55:B55"/>
  </mergeCells>
  <phoneticPr fontId="8" type="noConversion"/>
  <printOptions horizontalCentered="1"/>
  <pageMargins left="0.25" right="0.25" top="0.75" bottom="0.75" header="0.3" footer="0.3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5" style="118" customWidth="1"/>
    <col min="2" max="2" width="10.83203125" style="118" customWidth="1"/>
    <col min="3" max="3" width="14.1640625" style="118" customWidth="1"/>
    <col min="4" max="4" width="12.33203125" style="118" customWidth="1"/>
    <col min="5" max="5" width="16.83203125" style="118" customWidth="1"/>
    <col min="6" max="6" width="7.83203125" style="118" customWidth="1"/>
    <col min="7" max="7" width="9.83203125" style="118" customWidth="1"/>
    <col min="8" max="8" width="13.83203125" style="118" customWidth="1"/>
    <col min="9" max="10" width="12.5" style="118" customWidth="1"/>
    <col min="11" max="11" width="4.83203125" style="118" customWidth="1"/>
    <col min="12" max="12" width="9.83203125" style="118" customWidth="1"/>
    <col min="13" max="13" width="13.83203125" style="118" customWidth="1"/>
    <col min="14" max="14" width="12.5" style="118" customWidth="1"/>
    <col min="15" max="15" width="18" style="118" customWidth="1"/>
    <col min="16" max="16" width="7" style="118" customWidth="1"/>
    <col min="17" max="17" width="9.83203125" style="118" customWidth="1"/>
    <col min="18" max="18" width="13.83203125" style="118" customWidth="1"/>
    <col min="19" max="20" width="12.5" style="118" customWidth="1"/>
    <col min="21" max="21" width="5.1640625" style="118" customWidth="1"/>
    <col min="22" max="22" width="9.83203125" style="118" customWidth="1"/>
    <col min="23" max="23" width="13.83203125" style="118" customWidth="1"/>
    <col min="24" max="25" width="12.5" style="118" customWidth="1"/>
    <col min="26" max="26" width="5.6640625" style="118" customWidth="1"/>
    <col min="27" max="27" width="9.83203125" style="118" customWidth="1"/>
    <col min="28" max="28" width="13.83203125" style="118" customWidth="1"/>
    <col min="29" max="30" width="12.5" style="118" customWidth="1"/>
    <col min="31" max="31" width="6.33203125" style="118" customWidth="1"/>
    <col min="32" max="32" width="9.83203125" style="118" customWidth="1"/>
    <col min="33" max="33" width="13.83203125" style="118" customWidth="1"/>
    <col min="34" max="35" width="12.5" style="118" customWidth="1"/>
    <col min="36" max="36" width="5.6640625" style="118" customWidth="1"/>
    <col min="37" max="37" width="9.83203125" style="118" customWidth="1"/>
    <col min="38" max="38" width="13.83203125" style="118" customWidth="1"/>
    <col min="39" max="40" width="12.5" style="118" customWidth="1"/>
    <col min="41" max="41" width="5.6640625" style="118" customWidth="1"/>
    <col min="42" max="42" width="9.83203125" style="118" customWidth="1"/>
    <col min="43" max="43" width="13.83203125" style="118" customWidth="1"/>
    <col min="44" max="45" width="12.5" style="118" customWidth="1"/>
    <col min="46" max="46" width="5.6640625" style="118" customWidth="1"/>
    <col min="47" max="47" width="9.83203125" style="118" customWidth="1"/>
    <col min="48" max="48" width="13.83203125" style="118" customWidth="1"/>
    <col min="49" max="50" width="12.5" style="118" customWidth="1"/>
    <col min="51" max="51" width="6.33203125" style="118" customWidth="1"/>
    <col min="52" max="52" width="9.83203125" style="118" customWidth="1"/>
    <col min="53" max="53" width="13.83203125" style="118" customWidth="1"/>
    <col min="54" max="54" width="12.5" style="118" customWidth="1"/>
    <col min="55" max="55" width="15.1640625" style="118" customWidth="1"/>
    <col min="56" max="56" width="11.6640625" style="118" customWidth="1"/>
    <col min="57" max="57" width="9.83203125" style="118" customWidth="1"/>
    <col min="58" max="58" width="13.83203125" style="118" customWidth="1"/>
    <col min="59" max="59" width="12.5" style="162" customWidth="1"/>
    <col min="60" max="60" width="12.5" style="118" customWidth="1"/>
    <col min="61" max="16384" width="9.33203125" style="118"/>
  </cols>
  <sheetData>
    <row r="1" spans="2:60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</row>
    <row r="2" spans="2:60" ht="15.75">
      <c r="B2" s="116" t="s">
        <v>180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</row>
    <row r="3" spans="2:60" ht="15.75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</row>
    <row r="4" spans="2:60" s="348" customFormat="1" ht="18.75" customHeight="1">
      <c r="B4" s="429" t="s">
        <v>179</v>
      </c>
      <c r="C4" s="430"/>
      <c r="D4" s="430"/>
      <c r="E4" s="431"/>
      <c r="F4" s="119"/>
      <c r="G4" s="429" t="s">
        <v>184</v>
      </c>
      <c r="H4" s="430"/>
      <c r="I4" s="430"/>
      <c r="J4" s="431"/>
      <c r="K4" s="119"/>
      <c r="L4" s="432" t="s">
        <v>191</v>
      </c>
      <c r="M4" s="433"/>
      <c r="N4" s="433"/>
      <c r="O4" s="434"/>
      <c r="Q4" s="432" t="s">
        <v>182</v>
      </c>
      <c r="R4" s="433"/>
      <c r="S4" s="433"/>
      <c r="T4" s="434"/>
      <c r="U4" s="119"/>
      <c r="V4" s="429" t="s">
        <v>183</v>
      </c>
      <c r="W4" s="430"/>
      <c r="X4" s="430"/>
      <c r="Y4" s="431"/>
      <c r="Z4" s="119"/>
      <c r="AA4" s="429" t="s">
        <v>221</v>
      </c>
      <c r="AB4" s="430"/>
      <c r="AC4" s="430"/>
      <c r="AD4" s="431"/>
      <c r="AE4" s="119"/>
      <c r="AF4" s="429" t="s">
        <v>222</v>
      </c>
      <c r="AG4" s="430"/>
      <c r="AH4" s="430"/>
      <c r="AI4" s="431"/>
      <c r="AJ4" s="119"/>
      <c r="AK4" s="432" t="s">
        <v>187</v>
      </c>
      <c r="AL4" s="433"/>
      <c r="AM4" s="433"/>
      <c r="AN4" s="434"/>
      <c r="AO4" s="119"/>
      <c r="AP4" s="432" t="s">
        <v>193</v>
      </c>
      <c r="AQ4" s="433"/>
      <c r="AR4" s="433"/>
      <c r="AS4" s="434"/>
      <c r="AT4" s="119"/>
      <c r="AU4" s="432" t="s">
        <v>195</v>
      </c>
      <c r="AV4" s="433"/>
      <c r="AW4" s="433"/>
      <c r="AX4" s="434"/>
      <c r="AY4" s="119"/>
      <c r="AZ4" s="432" t="s">
        <v>219</v>
      </c>
      <c r="BA4" s="433"/>
      <c r="BB4" s="433"/>
      <c r="BC4" s="434"/>
      <c r="BD4" s="367"/>
      <c r="BE4" s="432" t="s">
        <v>220</v>
      </c>
      <c r="BF4" s="433"/>
      <c r="BG4" s="433"/>
      <c r="BH4" s="434"/>
    </row>
    <row r="5" spans="2:60" ht="51.75" customHeight="1">
      <c r="B5" s="121" t="s">
        <v>0</v>
      </c>
      <c r="C5" s="122" t="s">
        <v>87</v>
      </c>
      <c r="D5" s="122" t="s">
        <v>82</v>
      </c>
      <c r="E5" s="17" t="s">
        <v>52</v>
      </c>
      <c r="G5" s="121" t="s">
        <v>0</v>
      </c>
      <c r="H5" s="122" t="s">
        <v>87</v>
      </c>
      <c r="I5" s="122" t="s">
        <v>82</v>
      </c>
      <c r="J5" s="17" t="s">
        <v>52</v>
      </c>
      <c r="L5" s="121" t="s">
        <v>0</v>
      </c>
      <c r="M5" s="122" t="s">
        <v>87</v>
      </c>
      <c r="N5" s="122" t="s">
        <v>82</v>
      </c>
      <c r="O5" s="17" t="s">
        <v>52</v>
      </c>
      <c r="Q5" s="121" t="s">
        <v>0</v>
      </c>
      <c r="R5" s="122" t="s">
        <v>87</v>
      </c>
      <c r="S5" s="122" t="s">
        <v>82</v>
      </c>
      <c r="T5" s="17" t="s">
        <v>52</v>
      </c>
      <c r="V5" s="121" t="s">
        <v>0</v>
      </c>
      <c r="W5" s="122" t="s">
        <v>87</v>
      </c>
      <c r="X5" s="122" t="s">
        <v>82</v>
      </c>
      <c r="Y5" s="17" t="s">
        <v>52</v>
      </c>
      <c r="AA5" s="121" t="s">
        <v>0</v>
      </c>
      <c r="AB5" s="122" t="s">
        <v>87</v>
      </c>
      <c r="AC5" s="122" t="s">
        <v>82</v>
      </c>
      <c r="AD5" s="17" t="s">
        <v>52</v>
      </c>
      <c r="AF5" s="121" t="s">
        <v>0</v>
      </c>
      <c r="AG5" s="122" t="s">
        <v>87</v>
      </c>
      <c r="AH5" s="122" t="s">
        <v>82</v>
      </c>
      <c r="AI5" s="17" t="s">
        <v>52</v>
      </c>
      <c r="AK5" s="121" t="s">
        <v>0</v>
      </c>
      <c r="AL5" s="122" t="s">
        <v>87</v>
      </c>
      <c r="AM5" s="122" t="s">
        <v>82</v>
      </c>
      <c r="AN5" s="17" t="s">
        <v>52</v>
      </c>
      <c r="AP5" s="121" t="s">
        <v>0</v>
      </c>
      <c r="AQ5" s="122" t="s">
        <v>87</v>
      </c>
      <c r="AR5" s="122" t="s">
        <v>82</v>
      </c>
      <c r="AS5" s="17" t="s">
        <v>52</v>
      </c>
      <c r="AU5" s="121" t="s">
        <v>0</v>
      </c>
      <c r="AV5" s="122" t="s">
        <v>87</v>
      </c>
      <c r="AW5" s="122" t="s">
        <v>82</v>
      </c>
      <c r="AX5" s="17" t="s">
        <v>52</v>
      </c>
      <c r="AZ5" s="121" t="s">
        <v>0</v>
      </c>
      <c r="BA5" s="122" t="s">
        <v>87</v>
      </c>
      <c r="BB5" s="122" t="s">
        <v>82</v>
      </c>
      <c r="BC5" s="17" t="s">
        <v>52</v>
      </c>
      <c r="BE5" s="121" t="s">
        <v>0</v>
      </c>
      <c r="BF5" s="122" t="s">
        <v>87</v>
      </c>
      <c r="BG5" s="122" t="s">
        <v>82</v>
      </c>
      <c r="BH5" s="17" t="s">
        <v>52</v>
      </c>
    </row>
    <row r="6" spans="2:60" ht="24" customHeight="1">
      <c r="B6" s="123"/>
      <c r="C6" s="125" t="s">
        <v>9</v>
      </c>
      <c r="D6" s="124" t="s">
        <v>83</v>
      </c>
      <c r="E6" s="19" t="s">
        <v>9</v>
      </c>
      <c r="G6" s="123"/>
      <c r="H6" s="125" t="s">
        <v>9</v>
      </c>
      <c r="I6" s="124" t="s">
        <v>83</v>
      </c>
      <c r="J6" s="19" t="s">
        <v>9</v>
      </c>
      <c r="L6" s="123"/>
      <c r="M6" s="125" t="s">
        <v>9</v>
      </c>
      <c r="N6" s="124" t="s">
        <v>83</v>
      </c>
      <c r="O6" s="19" t="s">
        <v>9</v>
      </c>
      <c r="Q6" s="123"/>
      <c r="R6" s="125" t="s">
        <v>9</v>
      </c>
      <c r="S6" s="124" t="s">
        <v>83</v>
      </c>
      <c r="T6" s="19" t="s">
        <v>9</v>
      </c>
      <c r="V6" s="123"/>
      <c r="W6" s="125" t="s">
        <v>9</v>
      </c>
      <c r="X6" s="124" t="s">
        <v>83</v>
      </c>
      <c r="Y6" s="19" t="s">
        <v>9</v>
      </c>
      <c r="AA6" s="123"/>
      <c r="AB6" s="125" t="s">
        <v>9</v>
      </c>
      <c r="AC6" s="124" t="s">
        <v>83</v>
      </c>
      <c r="AD6" s="19" t="s">
        <v>9</v>
      </c>
      <c r="AF6" s="123"/>
      <c r="AG6" s="125" t="s">
        <v>9</v>
      </c>
      <c r="AH6" s="124" t="s">
        <v>83</v>
      </c>
      <c r="AI6" s="19" t="s">
        <v>9</v>
      </c>
      <c r="AK6" s="123"/>
      <c r="AL6" s="125" t="s">
        <v>9</v>
      </c>
      <c r="AM6" s="124" t="s">
        <v>83</v>
      </c>
      <c r="AN6" s="19" t="s">
        <v>9</v>
      </c>
      <c r="AP6" s="123"/>
      <c r="AQ6" s="125" t="s">
        <v>9</v>
      </c>
      <c r="AR6" s="124" t="s">
        <v>83</v>
      </c>
      <c r="AS6" s="19" t="s">
        <v>9</v>
      </c>
      <c r="AU6" s="123"/>
      <c r="AV6" s="125" t="s">
        <v>9</v>
      </c>
      <c r="AW6" s="124" t="s">
        <v>83</v>
      </c>
      <c r="AX6" s="19" t="s">
        <v>9</v>
      </c>
      <c r="AZ6" s="123"/>
      <c r="BA6" s="125" t="s">
        <v>9</v>
      </c>
      <c r="BB6" s="124" t="s">
        <v>83</v>
      </c>
      <c r="BC6" s="19" t="s">
        <v>9</v>
      </c>
      <c r="BE6" s="123"/>
      <c r="BF6" s="125" t="s">
        <v>9</v>
      </c>
      <c r="BG6" s="124" t="s">
        <v>83</v>
      </c>
      <c r="BH6" s="19" t="s">
        <v>9</v>
      </c>
    </row>
    <row r="7" spans="2:60">
      <c r="C7" s="126" t="s">
        <v>2</v>
      </c>
      <c r="D7" s="126" t="s">
        <v>4</v>
      </c>
      <c r="E7" s="126" t="s">
        <v>23</v>
      </c>
      <c r="H7" s="126" t="s">
        <v>2</v>
      </c>
      <c r="I7" s="126" t="s">
        <v>4</v>
      </c>
      <c r="J7" s="126" t="s">
        <v>23</v>
      </c>
      <c r="M7" s="126" t="s">
        <v>2</v>
      </c>
      <c r="N7" s="126" t="s">
        <v>4</v>
      </c>
      <c r="O7" s="126" t="s">
        <v>23</v>
      </c>
      <c r="R7" s="126" t="s">
        <v>2</v>
      </c>
      <c r="S7" s="126" t="s">
        <v>4</v>
      </c>
      <c r="T7" s="126" t="s">
        <v>23</v>
      </c>
      <c r="W7" s="126" t="s">
        <v>2</v>
      </c>
      <c r="X7" s="126" t="s">
        <v>4</v>
      </c>
      <c r="Y7" s="126" t="s">
        <v>23</v>
      </c>
      <c r="AB7" s="126" t="s">
        <v>2</v>
      </c>
      <c r="AC7" s="126" t="s">
        <v>4</v>
      </c>
      <c r="AD7" s="126" t="s">
        <v>23</v>
      </c>
      <c r="AG7" s="126" t="s">
        <v>2</v>
      </c>
      <c r="AH7" s="126" t="s">
        <v>4</v>
      </c>
      <c r="AI7" s="126" t="s">
        <v>23</v>
      </c>
      <c r="AL7" s="126" t="s">
        <v>2</v>
      </c>
      <c r="AM7" s="126" t="s">
        <v>4</v>
      </c>
      <c r="AN7" s="126" t="s">
        <v>23</v>
      </c>
      <c r="AQ7" s="126" t="s">
        <v>2</v>
      </c>
      <c r="AR7" s="126" t="s">
        <v>4</v>
      </c>
      <c r="AS7" s="126" t="s">
        <v>23</v>
      </c>
      <c r="AV7" s="126" t="s">
        <v>2</v>
      </c>
      <c r="AW7" s="126" t="s">
        <v>4</v>
      </c>
      <c r="AX7" s="126" t="s">
        <v>23</v>
      </c>
      <c r="BA7" s="126" t="s">
        <v>2</v>
      </c>
      <c r="BB7" s="126" t="s">
        <v>4</v>
      </c>
      <c r="BC7" s="126" t="s">
        <v>23</v>
      </c>
      <c r="BF7" s="126" t="s">
        <v>2</v>
      </c>
      <c r="BG7" s="126" t="s">
        <v>4</v>
      </c>
      <c r="BH7" s="126" t="s">
        <v>23</v>
      </c>
    </row>
    <row r="8" spans="2:60" ht="6" customHeight="1">
      <c r="BG8" s="118"/>
    </row>
    <row r="9" spans="2:60">
      <c r="B9" s="364" t="str">
        <f>B4</f>
        <v>Aeolus_Wyoming - to - Utah S, Expansion</v>
      </c>
      <c r="D9" s="120"/>
      <c r="E9" s="120"/>
      <c r="G9" s="364" t="str">
        <f>G4</f>
        <v>Goshen - to - Utah N, Expansion</v>
      </c>
      <c r="I9" s="120"/>
      <c r="J9" s="120"/>
      <c r="L9" s="364" t="str">
        <f>L4</f>
        <v>Yakima- to - Southern Oregon/California, Expansion</v>
      </c>
      <c r="N9" s="120"/>
      <c r="O9" s="120"/>
      <c r="Q9" s="364" t="str">
        <f>Q4</f>
        <v>Utah N, Transmission Integration</v>
      </c>
      <c r="S9" s="120"/>
      <c r="T9" s="120"/>
      <c r="V9" s="364" t="str">
        <f>V4</f>
        <v>Yakima, Transmission Integration</v>
      </c>
      <c r="X9" s="120"/>
      <c r="Y9" s="120"/>
      <c r="AA9" s="364" t="s">
        <v>185</v>
      </c>
      <c r="AC9" s="120"/>
      <c r="AD9" s="120"/>
      <c r="AF9" s="364" t="s">
        <v>186</v>
      </c>
      <c r="AH9" s="120"/>
      <c r="AI9" s="120"/>
      <c r="AK9" s="364" t="str">
        <f>AK4</f>
        <v>Southern Oregon/California, Transmission Integration</v>
      </c>
      <c r="AM9" s="120"/>
      <c r="AN9" s="120"/>
      <c r="AP9" s="364" t="str">
        <f>AP4</f>
        <v>Willamette Valley, Transmission Integration</v>
      </c>
      <c r="AR9" s="120"/>
      <c r="AS9" s="120"/>
      <c r="AU9" s="364" t="str">
        <f>AU4</f>
        <v>Wyoming SW, Transmission Integration</v>
      </c>
      <c r="AW9" s="120"/>
      <c r="AX9" s="120"/>
      <c r="AZ9" s="364" t="str">
        <f>AZ4</f>
        <v>Bridger - to - Bridger West, Recovered Transmission 2029</v>
      </c>
      <c r="BB9" s="120"/>
      <c r="BC9" s="120"/>
      <c r="BE9" s="364" t="str">
        <f>BE4</f>
        <v>Bridger - to - Bridger West, Recovered Transmission 2024</v>
      </c>
      <c r="BG9" s="120"/>
      <c r="BH9" s="120"/>
    </row>
    <row r="10" spans="2:60">
      <c r="B10" s="136">
        <v>2023</v>
      </c>
      <c r="C10" s="129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6">
        <v>12</v>
      </c>
      <c r="E10" s="131">
        <f t="shared" ref="E10:E32" si="0">SUM(C10:C10)*D10/12</f>
        <v>0</v>
      </c>
      <c r="F10" s="120"/>
      <c r="G10" s="136">
        <v>2023</v>
      </c>
      <c r="H10" s="129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6">
        <v>12</v>
      </c>
      <c r="J10" s="131">
        <f t="shared" ref="J10:J32" si="1">SUM(H10:H10)*I10/12</f>
        <v>0</v>
      </c>
      <c r="K10" s="120"/>
      <c r="L10" s="136">
        <v>2023</v>
      </c>
      <c r="M10" s="129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6">
        <v>12</v>
      </c>
      <c r="O10" s="131">
        <f t="shared" ref="O10:O32" si="2">SUM(M10:M10)*N10/12</f>
        <v>0</v>
      </c>
      <c r="P10" s="135"/>
      <c r="Q10" s="136">
        <f>$B10</f>
        <v>2023</v>
      </c>
      <c r="R10" s="129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6">
        <v>12</v>
      </c>
      <c r="T10" s="131">
        <f t="shared" ref="T10:T32" si="3">SUM(R10:R10)*S10/12</f>
        <v>0</v>
      </c>
      <c r="U10" s="120"/>
      <c r="V10" s="136">
        <f>$B10</f>
        <v>2023</v>
      </c>
      <c r="W10" s="129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6">
        <v>12</v>
      </c>
      <c r="Y10" s="131">
        <f t="shared" ref="Y10:Y32" si="4">SUM(W10:W10)*X10/12</f>
        <v>0</v>
      </c>
      <c r="Z10" s="120"/>
      <c r="AA10" s="355">
        <f>$B10</f>
        <v>2023</v>
      </c>
      <c r="AB10" s="129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6">
        <v>12</v>
      </c>
      <c r="AD10" s="131">
        <f t="shared" ref="AD10:AD32" si="5">SUM(AB10:AB10)*AC10/12</f>
        <v>1.4680258019147514</v>
      </c>
      <c r="AE10" s="120"/>
      <c r="AF10" s="136">
        <f>$B10</f>
        <v>2023</v>
      </c>
      <c r="AG10" s="129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6">
        <v>12</v>
      </c>
      <c r="AI10" s="131">
        <f t="shared" ref="AI10:AI32" si="6">SUM(AG10:AG10)*AH10/12</f>
        <v>0</v>
      </c>
      <c r="AJ10" s="120"/>
      <c r="AK10" s="136">
        <f>$B10</f>
        <v>2023</v>
      </c>
      <c r="AL10" s="129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6">
        <v>12</v>
      </c>
      <c r="AN10" s="131">
        <f t="shared" ref="AN10:AN32" si="7">SUM(AL10:AL10)*AM10/12</f>
        <v>0</v>
      </c>
      <c r="AO10" s="120"/>
      <c r="AP10" s="136">
        <f>$B10</f>
        <v>2023</v>
      </c>
      <c r="AQ10" s="129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6">
        <v>12</v>
      </c>
      <c r="AS10" s="131">
        <f t="shared" ref="AS10:AS32" si="8">SUM(AQ10:AQ10)*AR10/12</f>
        <v>0</v>
      </c>
      <c r="AT10" s="120"/>
      <c r="AU10" s="136">
        <f>$B10</f>
        <v>2023</v>
      </c>
      <c r="AV10" s="129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6">
        <v>12</v>
      </c>
      <c r="AX10" s="131">
        <f t="shared" ref="AX10:AX32" si="9">SUM(AV10:AV10)*AW10/12</f>
        <v>0</v>
      </c>
      <c r="AY10" s="120"/>
      <c r="AZ10" s="136">
        <f>V10</f>
        <v>2023</v>
      </c>
      <c r="BA10" s="129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6">
        <v>12</v>
      </c>
      <c r="BC10" s="131">
        <f t="shared" ref="BC10:BC32" si="10">SUM(BA10:BA10)*BB10/12</f>
        <v>0</v>
      </c>
      <c r="BE10" s="136">
        <f>AA10</f>
        <v>2023</v>
      </c>
      <c r="BF10" s="129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6">
        <v>12</v>
      </c>
      <c r="BH10" s="131">
        <f t="shared" ref="BH10:BH32" si="11">SUM(BF10:BF10)*BG10/12</f>
        <v>0</v>
      </c>
    </row>
    <row r="11" spans="2:60">
      <c r="B11" s="355">
        <f t="shared" ref="B11:B32" si="12">B10+1</f>
        <v>2024</v>
      </c>
      <c r="C11" s="129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6">
        <v>12</v>
      </c>
      <c r="E11" s="131">
        <f t="shared" si="0"/>
        <v>47.870308055404145</v>
      </c>
      <c r="F11" s="120"/>
      <c r="G11" s="136">
        <f t="shared" ref="G11:G32" si="13">G10+1</f>
        <v>2024</v>
      </c>
      <c r="H11" s="129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6">
        <v>12</v>
      </c>
      <c r="J11" s="131">
        <f t="shared" si="1"/>
        <v>0</v>
      </c>
      <c r="K11" s="120"/>
      <c r="L11" s="136">
        <f t="shared" ref="L11:L32" si="14">L10+1</f>
        <v>2024</v>
      </c>
      <c r="M11" s="129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6">
        <v>12</v>
      </c>
      <c r="O11" s="131">
        <f t="shared" si="2"/>
        <v>0</v>
      </c>
      <c r="P11" s="135"/>
      <c r="Q11" s="355">
        <f t="shared" ref="Q11:Q32" si="15">Q10+1</f>
        <v>2024</v>
      </c>
      <c r="R11" s="129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6">
        <v>12</v>
      </c>
      <c r="T11" s="131">
        <f t="shared" si="3"/>
        <v>2.5818101631996475</v>
      </c>
      <c r="U11" s="120"/>
      <c r="V11" s="355">
        <f t="shared" ref="V11:V32" si="16">V10+1</f>
        <v>2024</v>
      </c>
      <c r="W11" s="129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6">
        <v>12</v>
      </c>
      <c r="Y11" s="131">
        <f t="shared" si="4"/>
        <v>0.39132049215213044</v>
      </c>
      <c r="Z11" s="120"/>
      <c r="AA11" s="136">
        <f t="shared" ref="AA11:AA32" si="17">AA10+1</f>
        <v>2024</v>
      </c>
      <c r="AB11" s="129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6">
        <v>12</v>
      </c>
      <c r="AD11" s="131">
        <f t="shared" si="5"/>
        <v>1.5</v>
      </c>
      <c r="AE11" s="120"/>
      <c r="AF11" s="136">
        <f t="shared" ref="AF11:AF32" si="18">AF10+1</f>
        <v>2024</v>
      </c>
      <c r="AG11" s="129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6">
        <v>12</v>
      </c>
      <c r="AI11" s="131">
        <f t="shared" si="6"/>
        <v>0</v>
      </c>
      <c r="AJ11" s="120"/>
      <c r="AK11" s="136">
        <f t="shared" ref="AK11:AK32" si="19">AK10+1</f>
        <v>2024</v>
      </c>
      <c r="AL11" s="129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6">
        <v>12</v>
      </c>
      <c r="AN11" s="131">
        <f t="shared" si="7"/>
        <v>0</v>
      </c>
      <c r="AO11" s="120"/>
      <c r="AP11" s="136">
        <f t="shared" ref="AP11:AP32" si="20">AP10+1</f>
        <v>2024</v>
      </c>
      <c r="AQ11" s="129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6">
        <v>12</v>
      </c>
      <c r="AS11" s="131">
        <f t="shared" si="8"/>
        <v>0</v>
      </c>
      <c r="AT11" s="120"/>
      <c r="AU11" s="136">
        <f t="shared" ref="AU11:AU32" si="21">AU10+1</f>
        <v>2024</v>
      </c>
      <c r="AV11" s="129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6">
        <v>12</v>
      </c>
      <c r="AX11" s="131">
        <f t="shared" si="9"/>
        <v>0</v>
      </c>
      <c r="AY11" s="120"/>
      <c r="AZ11" s="136">
        <f t="shared" ref="AZ11:AZ32" si="22">AZ10+1</f>
        <v>2024</v>
      </c>
      <c r="BA11" s="129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6">
        <v>12</v>
      </c>
      <c r="BC11" s="131">
        <f t="shared" si="10"/>
        <v>0</v>
      </c>
      <c r="BE11" s="355">
        <f t="shared" ref="BE11:BE32" si="23">BE10+1</f>
        <v>2024</v>
      </c>
      <c r="BF11" s="129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6">
        <v>12</v>
      </c>
      <c r="BH11" s="131">
        <f t="shared" si="11"/>
        <v>0</v>
      </c>
    </row>
    <row r="12" spans="2:60">
      <c r="B12" s="136">
        <f t="shared" si="12"/>
        <v>2025</v>
      </c>
      <c r="C12" s="129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48.97</v>
      </c>
      <c r="D12" s="136">
        <v>12</v>
      </c>
      <c r="E12" s="131">
        <f t="shared" si="0"/>
        <v>48.97</v>
      </c>
      <c r="F12" s="120"/>
      <c r="G12" s="136">
        <f t="shared" si="13"/>
        <v>2025</v>
      </c>
      <c r="H12" s="129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6">
        <v>12</v>
      </c>
      <c r="J12" s="131">
        <f t="shared" si="1"/>
        <v>0</v>
      </c>
      <c r="K12" s="120"/>
      <c r="L12" s="136">
        <f t="shared" si="14"/>
        <v>2025</v>
      </c>
      <c r="M12" s="129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6">
        <v>12</v>
      </c>
      <c r="O12" s="131">
        <f t="shared" si="2"/>
        <v>0</v>
      </c>
      <c r="Q12" s="136">
        <f t="shared" si="15"/>
        <v>2025</v>
      </c>
      <c r="R12" s="129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6">
        <v>12</v>
      </c>
      <c r="T12" s="131">
        <f t="shared" si="3"/>
        <v>2.64</v>
      </c>
      <c r="U12" s="120"/>
      <c r="V12" s="136">
        <f t="shared" si="16"/>
        <v>2025</v>
      </c>
      <c r="W12" s="129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6">
        <v>12</v>
      </c>
      <c r="Y12" s="131">
        <f t="shared" si="4"/>
        <v>0.40000000000000008</v>
      </c>
      <c r="Z12" s="120"/>
      <c r="AA12" s="136">
        <f t="shared" si="17"/>
        <v>2025</v>
      </c>
      <c r="AB12" s="129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1.53</v>
      </c>
      <c r="AC12" s="136">
        <v>12</v>
      </c>
      <c r="AD12" s="131">
        <f t="shared" si="5"/>
        <v>1.53</v>
      </c>
      <c r="AE12" s="120"/>
      <c r="AF12" s="136">
        <f t="shared" si="18"/>
        <v>2025</v>
      </c>
      <c r="AG12" s="129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6">
        <v>12</v>
      </c>
      <c r="AI12" s="131">
        <f t="shared" si="6"/>
        <v>0</v>
      </c>
      <c r="AJ12" s="120"/>
      <c r="AK12" s="136">
        <f t="shared" si="19"/>
        <v>2025</v>
      </c>
      <c r="AL12" s="129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6">
        <v>12</v>
      </c>
      <c r="AN12" s="131">
        <f t="shared" si="7"/>
        <v>0</v>
      </c>
      <c r="AO12" s="120"/>
      <c r="AP12" s="136">
        <f t="shared" si="20"/>
        <v>2025</v>
      </c>
      <c r="AQ12" s="129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6">
        <v>12</v>
      </c>
      <c r="AS12" s="131">
        <f t="shared" si="8"/>
        <v>0</v>
      </c>
      <c r="AT12" s="120"/>
      <c r="AU12" s="136">
        <f t="shared" si="21"/>
        <v>2025</v>
      </c>
      <c r="AV12" s="129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6">
        <v>12</v>
      </c>
      <c r="AX12" s="131">
        <f t="shared" si="9"/>
        <v>0</v>
      </c>
      <c r="AY12" s="120"/>
      <c r="AZ12" s="136">
        <f t="shared" si="22"/>
        <v>2025</v>
      </c>
      <c r="BA12" s="129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6">
        <v>12</v>
      </c>
      <c r="BC12" s="131">
        <f t="shared" si="10"/>
        <v>0</v>
      </c>
      <c r="BE12" s="136">
        <f t="shared" si="23"/>
        <v>2025</v>
      </c>
      <c r="BF12" s="129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6">
        <v>12</v>
      </c>
      <c r="BH12" s="131">
        <f t="shared" si="11"/>
        <v>0</v>
      </c>
    </row>
    <row r="13" spans="2:60">
      <c r="B13" s="136">
        <f t="shared" si="12"/>
        <v>2026</v>
      </c>
      <c r="C13" s="129">
        <f t="shared" si="24"/>
        <v>50.1</v>
      </c>
      <c r="D13" s="136">
        <v>12</v>
      </c>
      <c r="E13" s="131">
        <f t="shared" si="0"/>
        <v>50.1</v>
      </c>
      <c r="F13" s="120"/>
      <c r="G13" s="136">
        <f t="shared" si="13"/>
        <v>2026</v>
      </c>
      <c r="H13" s="129">
        <f t="shared" si="25"/>
        <v>0</v>
      </c>
      <c r="I13" s="136">
        <v>12</v>
      </c>
      <c r="J13" s="131">
        <f t="shared" si="1"/>
        <v>0</v>
      </c>
      <c r="K13" s="120"/>
      <c r="L13" s="136">
        <f t="shared" si="14"/>
        <v>2026</v>
      </c>
      <c r="M13" s="129">
        <f t="shared" si="26"/>
        <v>0</v>
      </c>
      <c r="N13" s="136">
        <v>12</v>
      </c>
      <c r="O13" s="131">
        <f t="shared" si="2"/>
        <v>0</v>
      </c>
      <c r="Q13" s="136">
        <f t="shared" si="15"/>
        <v>2026</v>
      </c>
      <c r="R13" s="129">
        <f t="shared" si="27"/>
        <v>2.7</v>
      </c>
      <c r="S13" s="136">
        <v>12</v>
      </c>
      <c r="T13" s="131">
        <f t="shared" si="3"/>
        <v>2.7000000000000006</v>
      </c>
      <c r="U13" s="120"/>
      <c r="V13" s="136">
        <f t="shared" si="16"/>
        <v>2026</v>
      </c>
      <c r="W13" s="129">
        <f t="shared" si="28"/>
        <v>0.41</v>
      </c>
      <c r="X13" s="136">
        <v>12</v>
      </c>
      <c r="Y13" s="131">
        <f t="shared" si="4"/>
        <v>0.41</v>
      </c>
      <c r="Z13" s="120"/>
      <c r="AA13" s="136">
        <f t="shared" si="17"/>
        <v>2026</v>
      </c>
      <c r="AB13" s="129">
        <f t="shared" si="29"/>
        <v>1.57</v>
      </c>
      <c r="AC13" s="136">
        <v>12</v>
      </c>
      <c r="AD13" s="131">
        <f t="shared" si="5"/>
        <v>1.57</v>
      </c>
      <c r="AE13" s="120"/>
      <c r="AF13" s="136">
        <f t="shared" si="18"/>
        <v>2026</v>
      </c>
      <c r="AG13" s="129">
        <f t="shared" si="30"/>
        <v>0</v>
      </c>
      <c r="AH13" s="136">
        <v>12</v>
      </c>
      <c r="AI13" s="131">
        <f t="shared" si="6"/>
        <v>0</v>
      </c>
      <c r="AJ13" s="120"/>
      <c r="AK13" s="136">
        <f t="shared" si="19"/>
        <v>2026</v>
      </c>
      <c r="AL13" s="129">
        <f t="shared" si="31"/>
        <v>0</v>
      </c>
      <c r="AM13" s="136">
        <v>12</v>
      </c>
      <c r="AN13" s="131">
        <f t="shared" si="7"/>
        <v>0</v>
      </c>
      <c r="AO13" s="120"/>
      <c r="AP13" s="136">
        <f t="shared" si="20"/>
        <v>2026</v>
      </c>
      <c r="AQ13" s="129">
        <f t="shared" si="32"/>
        <v>0</v>
      </c>
      <c r="AR13" s="136">
        <v>12</v>
      </c>
      <c r="AS13" s="131">
        <f t="shared" si="8"/>
        <v>0</v>
      </c>
      <c r="AT13" s="120"/>
      <c r="AU13" s="136">
        <f t="shared" si="21"/>
        <v>2026</v>
      </c>
      <c r="AV13" s="129">
        <f t="shared" si="33"/>
        <v>0</v>
      </c>
      <c r="AW13" s="136">
        <v>12</v>
      </c>
      <c r="AX13" s="131">
        <f t="shared" si="9"/>
        <v>0</v>
      </c>
      <c r="AY13" s="120"/>
      <c r="AZ13" s="136">
        <f t="shared" si="22"/>
        <v>2026</v>
      </c>
      <c r="BA13" s="129">
        <f t="shared" si="34"/>
        <v>0</v>
      </c>
      <c r="BB13" s="136">
        <v>12</v>
      </c>
      <c r="BC13" s="131">
        <f t="shared" si="10"/>
        <v>0</v>
      </c>
      <c r="BE13" s="136">
        <f t="shared" si="23"/>
        <v>2026</v>
      </c>
      <c r="BF13" s="129">
        <f t="shared" si="35"/>
        <v>0</v>
      </c>
      <c r="BG13" s="136">
        <v>12</v>
      </c>
      <c r="BH13" s="131">
        <f t="shared" si="11"/>
        <v>0</v>
      </c>
    </row>
    <row r="14" spans="2:60">
      <c r="B14" s="136">
        <f t="shared" si="12"/>
        <v>2027</v>
      </c>
      <c r="C14" s="129">
        <f t="shared" si="24"/>
        <v>51.25</v>
      </c>
      <c r="D14" s="136">
        <v>12</v>
      </c>
      <c r="E14" s="131">
        <f t="shared" si="0"/>
        <v>51.25</v>
      </c>
      <c r="F14" s="120"/>
      <c r="G14" s="136">
        <f t="shared" si="13"/>
        <v>2027</v>
      </c>
      <c r="H14" s="129">
        <f t="shared" si="25"/>
        <v>0</v>
      </c>
      <c r="I14" s="136">
        <v>12</v>
      </c>
      <c r="J14" s="131">
        <f t="shared" si="1"/>
        <v>0</v>
      </c>
      <c r="K14" s="120"/>
      <c r="L14" s="136">
        <f t="shared" si="14"/>
        <v>2027</v>
      </c>
      <c r="M14" s="129">
        <f t="shared" si="26"/>
        <v>0</v>
      </c>
      <c r="N14" s="136">
        <v>12</v>
      </c>
      <c r="O14" s="131">
        <f t="shared" si="2"/>
        <v>0</v>
      </c>
      <c r="Q14" s="136">
        <f t="shared" si="15"/>
        <v>2027</v>
      </c>
      <c r="R14" s="129">
        <f t="shared" si="27"/>
        <v>2.76</v>
      </c>
      <c r="S14" s="136">
        <v>12</v>
      </c>
      <c r="T14" s="131">
        <f t="shared" si="3"/>
        <v>2.76</v>
      </c>
      <c r="U14" s="120"/>
      <c r="V14" s="136">
        <f t="shared" si="16"/>
        <v>2027</v>
      </c>
      <c r="W14" s="129">
        <f t="shared" si="28"/>
        <v>0.42</v>
      </c>
      <c r="X14" s="136">
        <v>12</v>
      </c>
      <c r="Y14" s="131">
        <f t="shared" si="4"/>
        <v>0.42</v>
      </c>
      <c r="Z14" s="120"/>
      <c r="AA14" s="136">
        <f t="shared" si="17"/>
        <v>2027</v>
      </c>
      <c r="AB14" s="129">
        <f t="shared" si="29"/>
        <v>1.61</v>
      </c>
      <c r="AC14" s="136">
        <v>12</v>
      </c>
      <c r="AD14" s="131">
        <f t="shared" si="5"/>
        <v>1.61</v>
      </c>
      <c r="AE14" s="120"/>
      <c r="AF14" s="136">
        <f t="shared" si="18"/>
        <v>2027</v>
      </c>
      <c r="AG14" s="129">
        <f t="shared" si="30"/>
        <v>0</v>
      </c>
      <c r="AH14" s="136">
        <v>12</v>
      </c>
      <c r="AI14" s="131">
        <f t="shared" si="6"/>
        <v>0</v>
      </c>
      <c r="AJ14" s="120"/>
      <c r="AK14" s="136">
        <f t="shared" si="19"/>
        <v>2027</v>
      </c>
      <c r="AL14" s="129">
        <f t="shared" si="31"/>
        <v>0</v>
      </c>
      <c r="AM14" s="136">
        <v>12</v>
      </c>
      <c r="AN14" s="131">
        <f t="shared" si="7"/>
        <v>0</v>
      </c>
      <c r="AO14" s="120"/>
      <c r="AP14" s="136">
        <f t="shared" si="20"/>
        <v>2027</v>
      </c>
      <c r="AQ14" s="129">
        <f t="shared" si="32"/>
        <v>0</v>
      </c>
      <c r="AR14" s="136">
        <v>12</v>
      </c>
      <c r="AS14" s="131">
        <f t="shared" si="8"/>
        <v>0</v>
      </c>
      <c r="AT14" s="120"/>
      <c r="AU14" s="136">
        <f t="shared" si="21"/>
        <v>2027</v>
      </c>
      <c r="AV14" s="129">
        <f t="shared" si="33"/>
        <v>0</v>
      </c>
      <c r="AW14" s="136">
        <v>12</v>
      </c>
      <c r="AX14" s="131">
        <f t="shared" si="9"/>
        <v>0</v>
      </c>
      <c r="AY14" s="120"/>
      <c r="AZ14" s="136">
        <f t="shared" si="22"/>
        <v>2027</v>
      </c>
      <c r="BA14" s="129">
        <f t="shared" si="34"/>
        <v>0</v>
      </c>
      <c r="BB14" s="136">
        <v>12</v>
      </c>
      <c r="BC14" s="131">
        <f t="shared" si="10"/>
        <v>0</v>
      </c>
      <c r="BD14" s="186"/>
      <c r="BE14" s="136">
        <f t="shared" si="23"/>
        <v>2027</v>
      </c>
      <c r="BF14" s="129">
        <f t="shared" si="35"/>
        <v>0</v>
      </c>
      <c r="BG14" s="136">
        <v>12</v>
      </c>
      <c r="BH14" s="131">
        <f t="shared" si="11"/>
        <v>0</v>
      </c>
    </row>
    <row r="15" spans="2:60">
      <c r="B15" s="136">
        <f t="shared" si="12"/>
        <v>2028</v>
      </c>
      <c r="C15" s="129">
        <f t="shared" si="24"/>
        <v>52.43</v>
      </c>
      <c r="D15" s="136">
        <v>12</v>
      </c>
      <c r="E15" s="131">
        <f t="shared" si="0"/>
        <v>52.43</v>
      </c>
      <c r="F15" s="120"/>
      <c r="G15" s="136">
        <f t="shared" si="13"/>
        <v>2028</v>
      </c>
      <c r="H15" s="129">
        <f t="shared" si="25"/>
        <v>0</v>
      </c>
      <c r="I15" s="136">
        <v>12</v>
      </c>
      <c r="J15" s="131">
        <f t="shared" si="1"/>
        <v>0</v>
      </c>
      <c r="K15" s="120"/>
      <c r="L15" s="136">
        <f t="shared" si="14"/>
        <v>2028</v>
      </c>
      <c r="M15" s="129">
        <f t="shared" si="26"/>
        <v>0</v>
      </c>
      <c r="N15" s="136">
        <v>12</v>
      </c>
      <c r="O15" s="131">
        <f t="shared" si="2"/>
        <v>0</v>
      </c>
      <c r="Q15" s="136">
        <f t="shared" si="15"/>
        <v>2028</v>
      </c>
      <c r="R15" s="129">
        <f t="shared" si="27"/>
        <v>2.82</v>
      </c>
      <c r="S15" s="136">
        <v>12</v>
      </c>
      <c r="T15" s="131">
        <f t="shared" si="3"/>
        <v>2.82</v>
      </c>
      <c r="U15" s="120"/>
      <c r="V15" s="136">
        <f t="shared" si="16"/>
        <v>2028</v>
      </c>
      <c r="W15" s="129">
        <f t="shared" si="28"/>
        <v>0.43</v>
      </c>
      <c r="X15" s="136">
        <v>12</v>
      </c>
      <c r="Y15" s="131">
        <f t="shared" si="4"/>
        <v>0.43</v>
      </c>
      <c r="Z15" s="120"/>
      <c r="AA15" s="136">
        <f t="shared" si="17"/>
        <v>2028</v>
      </c>
      <c r="AB15" s="129">
        <f t="shared" si="29"/>
        <v>1.65</v>
      </c>
      <c r="AC15" s="136">
        <v>12</v>
      </c>
      <c r="AD15" s="131">
        <f t="shared" si="5"/>
        <v>1.6499999999999997</v>
      </c>
      <c r="AE15" s="120"/>
      <c r="AF15" s="136">
        <f t="shared" si="18"/>
        <v>2028</v>
      </c>
      <c r="AG15" s="129">
        <f t="shared" si="30"/>
        <v>0</v>
      </c>
      <c r="AH15" s="136">
        <v>12</v>
      </c>
      <c r="AI15" s="131">
        <f t="shared" si="6"/>
        <v>0</v>
      </c>
      <c r="AJ15" s="120"/>
      <c r="AK15" s="136">
        <f t="shared" si="19"/>
        <v>2028</v>
      </c>
      <c r="AL15" s="129">
        <f t="shared" si="31"/>
        <v>0</v>
      </c>
      <c r="AM15" s="136">
        <v>12</v>
      </c>
      <c r="AN15" s="131">
        <f t="shared" si="7"/>
        <v>0</v>
      </c>
      <c r="AO15" s="120"/>
      <c r="AP15" s="136">
        <f t="shared" si="20"/>
        <v>2028</v>
      </c>
      <c r="AQ15" s="129">
        <f t="shared" si="32"/>
        <v>0</v>
      </c>
      <c r="AR15" s="136">
        <v>12</v>
      </c>
      <c r="AS15" s="131">
        <f t="shared" si="8"/>
        <v>0</v>
      </c>
      <c r="AT15" s="120"/>
      <c r="AU15" s="136">
        <f t="shared" si="21"/>
        <v>2028</v>
      </c>
      <c r="AV15" s="129">
        <f t="shared" si="33"/>
        <v>0</v>
      </c>
      <c r="AW15" s="136">
        <v>12</v>
      </c>
      <c r="AX15" s="131">
        <f t="shared" si="9"/>
        <v>0</v>
      </c>
      <c r="AY15" s="120"/>
      <c r="AZ15" s="136">
        <f t="shared" si="22"/>
        <v>2028</v>
      </c>
      <c r="BA15" s="129">
        <f t="shared" si="34"/>
        <v>0</v>
      </c>
      <c r="BB15" s="136">
        <v>12</v>
      </c>
      <c r="BC15" s="131">
        <f t="shared" si="10"/>
        <v>0</v>
      </c>
      <c r="BE15" s="136">
        <f t="shared" si="23"/>
        <v>2028</v>
      </c>
      <c r="BF15" s="129">
        <f t="shared" si="35"/>
        <v>0</v>
      </c>
      <c r="BG15" s="136">
        <v>12</v>
      </c>
      <c r="BH15" s="131">
        <f t="shared" si="11"/>
        <v>0</v>
      </c>
    </row>
    <row r="16" spans="2:60">
      <c r="B16" s="136">
        <f t="shared" si="12"/>
        <v>2029</v>
      </c>
      <c r="C16" s="129">
        <f t="shared" si="24"/>
        <v>53.64</v>
      </c>
      <c r="D16" s="136">
        <v>12</v>
      </c>
      <c r="E16" s="131">
        <f t="shared" si="0"/>
        <v>53.640000000000008</v>
      </c>
      <c r="F16" s="120"/>
      <c r="G16" s="136">
        <f t="shared" si="13"/>
        <v>2029</v>
      </c>
      <c r="H16" s="129">
        <f t="shared" si="25"/>
        <v>0</v>
      </c>
      <c r="I16" s="136">
        <v>12</v>
      </c>
      <c r="J16" s="131">
        <f t="shared" si="1"/>
        <v>0</v>
      </c>
      <c r="K16" s="120"/>
      <c r="L16" s="136">
        <f t="shared" si="14"/>
        <v>2029</v>
      </c>
      <c r="M16" s="129">
        <f t="shared" si="26"/>
        <v>0</v>
      </c>
      <c r="N16" s="136">
        <v>12</v>
      </c>
      <c r="O16" s="131">
        <f t="shared" si="2"/>
        <v>0</v>
      </c>
      <c r="Q16" s="136">
        <f t="shared" si="15"/>
        <v>2029</v>
      </c>
      <c r="R16" s="129">
        <f t="shared" si="27"/>
        <v>2.88</v>
      </c>
      <c r="S16" s="136">
        <v>12</v>
      </c>
      <c r="T16" s="131">
        <f t="shared" si="3"/>
        <v>2.8800000000000003</v>
      </c>
      <c r="U16" s="120"/>
      <c r="V16" s="136">
        <f t="shared" si="16"/>
        <v>2029</v>
      </c>
      <c r="W16" s="129">
        <f t="shared" si="28"/>
        <v>0.44</v>
      </c>
      <c r="X16" s="136">
        <v>12</v>
      </c>
      <c r="Y16" s="131">
        <f t="shared" si="4"/>
        <v>0.44</v>
      </c>
      <c r="Z16" s="120"/>
      <c r="AA16" s="136">
        <f t="shared" si="17"/>
        <v>2029</v>
      </c>
      <c r="AB16" s="129">
        <f t="shared" si="29"/>
        <v>1.69</v>
      </c>
      <c r="AC16" s="136">
        <v>12</v>
      </c>
      <c r="AD16" s="131">
        <f t="shared" si="5"/>
        <v>1.6900000000000002</v>
      </c>
      <c r="AE16" s="120"/>
      <c r="AF16" s="136">
        <f t="shared" si="18"/>
        <v>2029</v>
      </c>
      <c r="AG16" s="129">
        <f t="shared" si="30"/>
        <v>0</v>
      </c>
      <c r="AH16" s="136">
        <v>12</v>
      </c>
      <c r="AI16" s="131">
        <f t="shared" si="6"/>
        <v>0</v>
      </c>
      <c r="AJ16" s="120"/>
      <c r="AK16" s="136">
        <f t="shared" si="19"/>
        <v>2029</v>
      </c>
      <c r="AL16" s="129">
        <f t="shared" si="31"/>
        <v>0</v>
      </c>
      <c r="AM16" s="136">
        <v>12</v>
      </c>
      <c r="AN16" s="131">
        <f t="shared" si="7"/>
        <v>0</v>
      </c>
      <c r="AO16" s="120"/>
      <c r="AP16" s="136">
        <f t="shared" si="20"/>
        <v>2029</v>
      </c>
      <c r="AQ16" s="129">
        <f t="shared" si="32"/>
        <v>0</v>
      </c>
      <c r="AR16" s="136">
        <v>12</v>
      </c>
      <c r="AS16" s="131">
        <f t="shared" si="8"/>
        <v>0</v>
      </c>
      <c r="AT16" s="120"/>
      <c r="AU16" s="136">
        <f t="shared" si="21"/>
        <v>2029</v>
      </c>
      <c r="AV16" s="129">
        <f t="shared" si="33"/>
        <v>0</v>
      </c>
      <c r="AW16" s="136">
        <v>12</v>
      </c>
      <c r="AX16" s="131">
        <f t="shared" si="9"/>
        <v>0</v>
      </c>
      <c r="AY16" s="120"/>
      <c r="AZ16" s="355">
        <f t="shared" si="22"/>
        <v>2029</v>
      </c>
      <c r="BA16" s="129">
        <f t="shared" si="34"/>
        <v>0</v>
      </c>
      <c r="BB16" s="136">
        <v>12</v>
      </c>
      <c r="BC16" s="131">
        <f t="shared" si="10"/>
        <v>0</v>
      </c>
      <c r="BE16" s="136">
        <f t="shared" si="23"/>
        <v>2029</v>
      </c>
      <c r="BF16" s="129">
        <f t="shared" si="35"/>
        <v>0</v>
      </c>
      <c r="BG16" s="136">
        <v>12</v>
      </c>
      <c r="BH16" s="131">
        <f t="shared" si="11"/>
        <v>0</v>
      </c>
    </row>
    <row r="17" spans="2:60">
      <c r="B17" s="136">
        <f t="shared" si="12"/>
        <v>2030</v>
      </c>
      <c r="C17" s="129">
        <f t="shared" si="24"/>
        <v>54.82</v>
      </c>
      <c r="D17" s="136">
        <v>12</v>
      </c>
      <c r="E17" s="131">
        <f t="shared" si="0"/>
        <v>54.82</v>
      </c>
      <c r="F17" s="120"/>
      <c r="G17" s="355">
        <f t="shared" si="13"/>
        <v>2030</v>
      </c>
      <c r="H17" s="129">
        <f t="shared" si="25"/>
        <v>12.097273854334603</v>
      </c>
      <c r="I17" s="136">
        <v>12</v>
      </c>
      <c r="J17" s="131">
        <f t="shared" si="1"/>
        <v>12.097273854334603</v>
      </c>
      <c r="K17" s="120"/>
      <c r="L17" s="136">
        <f t="shared" si="14"/>
        <v>2030</v>
      </c>
      <c r="M17" s="129">
        <f t="shared" si="26"/>
        <v>0</v>
      </c>
      <c r="N17" s="136">
        <v>12</v>
      </c>
      <c r="O17" s="131">
        <f t="shared" si="2"/>
        <v>0</v>
      </c>
      <c r="Q17" s="136">
        <f t="shared" si="15"/>
        <v>2030</v>
      </c>
      <c r="R17" s="129">
        <f t="shared" si="27"/>
        <v>2.94</v>
      </c>
      <c r="S17" s="136">
        <v>12</v>
      </c>
      <c r="T17" s="131">
        <f t="shared" si="3"/>
        <v>2.94</v>
      </c>
      <c r="U17" s="120"/>
      <c r="V17" s="136">
        <f t="shared" si="16"/>
        <v>2030</v>
      </c>
      <c r="W17" s="129">
        <f t="shared" si="28"/>
        <v>0.45</v>
      </c>
      <c r="X17" s="136">
        <v>12</v>
      </c>
      <c r="Y17" s="131">
        <f t="shared" si="4"/>
        <v>0.45</v>
      </c>
      <c r="Z17" s="120"/>
      <c r="AA17" s="136">
        <f t="shared" si="17"/>
        <v>2030</v>
      </c>
      <c r="AB17" s="129">
        <f t="shared" si="29"/>
        <v>1.73</v>
      </c>
      <c r="AC17" s="136">
        <v>12</v>
      </c>
      <c r="AD17" s="131">
        <f t="shared" si="5"/>
        <v>1.7299999999999998</v>
      </c>
      <c r="AE17" s="120"/>
      <c r="AF17" s="355">
        <f t="shared" si="18"/>
        <v>2030</v>
      </c>
      <c r="AG17" s="129">
        <f t="shared" si="30"/>
        <v>21.577297145999619</v>
      </c>
      <c r="AH17" s="136">
        <v>12</v>
      </c>
      <c r="AI17" s="131">
        <f t="shared" si="6"/>
        <v>21.577297145999619</v>
      </c>
      <c r="AJ17" s="120"/>
      <c r="AK17" s="136">
        <f t="shared" si="19"/>
        <v>2030</v>
      </c>
      <c r="AL17" s="129">
        <f t="shared" si="31"/>
        <v>0</v>
      </c>
      <c r="AM17" s="136">
        <v>12</v>
      </c>
      <c r="AN17" s="131">
        <f t="shared" si="7"/>
        <v>0</v>
      </c>
      <c r="AO17" s="120"/>
      <c r="AP17" s="136">
        <f t="shared" si="20"/>
        <v>2030</v>
      </c>
      <c r="AQ17" s="129">
        <f t="shared" si="32"/>
        <v>0</v>
      </c>
      <c r="AR17" s="136">
        <v>12</v>
      </c>
      <c r="AS17" s="131">
        <f t="shared" si="8"/>
        <v>0</v>
      </c>
      <c r="AT17" s="120"/>
      <c r="AU17" s="136">
        <f t="shared" si="21"/>
        <v>2030</v>
      </c>
      <c r="AV17" s="129">
        <f t="shared" si="33"/>
        <v>0</v>
      </c>
      <c r="AW17" s="136">
        <v>12</v>
      </c>
      <c r="AX17" s="131">
        <f t="shared" si="9"/>
        <v>0</v>
      </c>
      <c r="AY17" s="120"/>
      <c r="AZ17" s="136">
        <f t="shared" si="22"/>
        <v>2030</v>
      </c>
      <c r="BA17" s="129">
        <f t="shared" si="34"/>
        <v>0</v>
      </c>
      <c r="BB17" s="136">
        <v>12</v>
      </c>
      <c r="BC17" s="131">
        <f t="shared" si="10"/>
        <v>0</v>
      </c>
      <c r="BE17" s="136">
        <f t="shared" si="23"/>
        <v>2030</v>
      </c>
      <c r="BF17" s="129">
        <f t="shared" si="35"/>
        <v>0</v>
      </c>
      <c r="BG17" s="136">
        <v>12</v>
      </c>
      <c r="BH17" s="131">
        <f t="shared" si="11"/>
        <v>0</v>
      </c>
    </row>
    <row r="18" spans="2:60">
      <c r="B18" s="136">
        <f t="shared" si="12"/>
        <v>2031</v>
      </c>
      <c r="C18" s="129">
        <f t="shared" si="24"/>
        <v>56.03</v>
      </c>
      <c r="D18" s="136">
        <v>12</v>
      </c>
      <c r="E18" s="131">
        <f t="shared" si="0"/>
        <v>56.03</v>
      </c>
      <c r="F18" s="120"/>
      <c r="G18" s="136">
        <f t="shared" si="13"/>
        <v>2031</v>
      </c>
      <c r="H18" s="129">
        <f t="shared" si="25"/>
        <v>12.36</v>
      </c>
      <c r="I18" s="136">
        <v>12</v>
      </c>
      <c r="J18" s="131">
        <f t="shared" si="1"/>
        <v>12.36</v>
      </c>
      <c r="K18" s="120"/>
      <c r="L18" s="136">
        <f t="shared" si="14"/>
        <v>2031</v>
      </c>
      <c r="M18" s="129">
        <f t="shared" si="26"/>
        <v>0</v>
      </c>
      <c r="N18" s="136">
        <v>12</v>
      </c>
      <c r="O18" s="131">
        <f t="shared" si="2"/>
        <v>0</v>
      </c>
      <c r="Q18" s="136">
        <f t="shared" si="15"/>
        <v>2031</v>
      </c>
      <c r="R18" s="129">
        <f t="shared" si="27"/>
        <v>3</v>
      </c>
      <c r="S18" s="136">
        <v>12</v>
      </c>
      <c r="T18" s="131">
        <f t="shared" si="3"/>
        <v>3</v>
      </c>
      <c r="U18" s="120"/>
      <c r="V18" s="136">
        <f t="shared" si="16"/>
        <v>2031</v>
      </c>
      <c r="W18" s="129">
        <f t="shared" si="28"/>
        <v>0.46</v>
      </c>
      <c r="X18" s="136">
        <v>12</v>
      </c>
      <c r="Y18" s="131">
        <f t="shared" si="4"/>
        <v>0.46</v>
      </c>
      <c r="Z18" s="120"/>
      <c r="AA18" s="136">
        <f t="shared" si="17"/>
        <v>2031</v>
      </c>
      <c r="AB18" s="129">
        <f t="shared" si="29"/>
        <v>1.77</v>
      </c>
      <c r="AC18" s="136">
        <v>12</v>
      </c>
      <c r="AD18" s="131">
        <f t="shared" si="5"/>
        <v>1.7700000000000002</v>
      </c>
      <c r="AE18" s="120"/>
      <c r="AF18" s="136">
        <f t="shared" si="18"/>
        <v>2031</v>
      </c>
      <c r="AG18" s="129">
        <f t="shared" si="30"/>
        <v>22.05</v>
      </c>
      <c r="AH18" s="136">
        <v>12</v>
      </c>
      <c r="AI18" s="131">
        <f t="shared" si="6"/>
        <v>22.05</v>
      </c>
      <c r="AJ18" s="120"/>
      <c r="AK18" s="136">
        <f t="shared" si="19"/>
        <v>2031</v>
      </c>
      <c r="AL18" s="129">
        <f t="shared" si="31"/>
        <v>0</v>
      </c>
      <c r="AM18" s="136">
        <v>12</v>
      </c>
      <c r="AN18" s="131">
        <f t="shared" si="7"/>
        <v>0</v>
      </c>
      <c r="AO18" s="120"/>
      <c r="AP18" s="136">
        <f t="shared" si="20"/>
        <v>2031</v>
      </c>
      <c r="AQ18" s="129">
        <f t="shared" si="32"/>
        <v>0</v>
      </c>
      <c r="AR18" s="136">
        <v>12</v>
      </c>
      <c r="AS18" s="131">
        <f t="shared" si="8"/>
        <v>0</v>
      </c>
      <c r="AT18" s="120"/>
      <c r="AU18" s="136">
        <f t="shared" si="21"/>
        <v>2031</v>
      </c>
      <c r="AV18" s="129">
        <f t="shared" si="33"/>
        <v>0</v>
      </c>
      <c r="AW18" s="136">
        <v>12</v>
      </c>
      <c r="AX18" s="131">
        <f t="shared" si="9"/>
        <v>0</v>
      </c>
      <c r="AY18" s="120"/>
      <c r="AZ18" s="136">
        <f t="shared" si="22"/>
        <v>2031</v>
      </c>
      <c r="BA18" s="129">
        <f t="shared" si="34"/>
        <v>0</v>
      </c>
      <c r="BB18" s="136">
        <v>12</v>
      </c>
      <c r="BC18" s="131">
        <f t="shared" si="10"/>
        <v>0</v>
      </c>
      <c r="BE18" s="136">
        <f t="shared" si="23"/>
        <v>2031</v>
      </c>
      <c r="BF18" s="129">
        <f t="shared" si="35"/>
        <v>0</v>
      </c>
      <c r="BG18" s="136">
        <v>12</v>
      </c>
      <c r="BH18" s="131">
        <f t="shared" si="11"/>
        <v>0</v>
      </c>
    </row>
    <row r="19" spans="2:60">
      <c r="B19" s="136">
        <f t="shared" si="12"/>
        <v>2032</v>
      </c>
      <c r="C19" s="129">
        <f t="shared" si="24"/>
        <v>57.26</v>
      </c>
      <c r="D19" s="136">
        <v>12</v>
      </c>
      <c r="E19" s="131">
        <f t="shared" si="0"/>
        <v>57.26</v>
      </c>
      <c r="F19" s="120"/>
      <c r="G19" s="136">
        <f t="shared" si="13"/>
        <v>2032</v>
      </c>
      <c r="H19" s="129">
        <f t="shared" si="25"/>
        <v>12.63</v>
      </c>
      <c r="I19" s="136">
        <v>12</v>
      </c>
      <c r="J19" s="131">
        <f t="shared" si="1"/>
        <v>12.63</v>
      </c>
      <c r="K19" s="120"/>
      <c r="L19" s="136">
        <f t="shared" si="14"/>
        <v>2032</v>
      </c>
      <c r="M19" s="129">
        <f t="shared" si="26"/>
        <v>0</v>
      </c>
      <c r="N19" s="136">
        <v>12</v>
      </c>
      <c r="O19" s="131">
        <f t="shared" si="2"/>
        <v>0</v>
      </c>
      <c r="Q19" s="136">
        <f t="shared" si="15"/>
        <v>2032</v>
      </c>
      <c r="R19" s="129">
        <f t="shared" si="27"/>
        <v>3.07</v>
      </c>
      <c r="S19" s="136">
        <v>12</v>
      </c>
      <c r="T19" s="131">
        <f t="shared" si="3"/>
        <v>3.07</v>
      </c>
      <c r="U19" s="120"/>
      <c r="V19" s="136">
        <f t="shared" si="16"/>
        <v>2032</v>
      </c>
      <c r="W19" s="129">
        <f t="shared" si="28"/>
        <v>0.47</v>
      </c>
      <c r="X19" s="136">
        <v>12</v>
      </c>
      <c r="Y19" s="131">
        <f t="shared" si="4"/>
        <v>0.47</v>
      </c>
      <c r="Z19" s="120"/>
      <c r="AA19" s="136">
        <f t="shared" si="17"/>
        <v>2032</v>
      </c>
      <c r="AB19" s="129">
        <f t="shared" si="29"/>
        <v>1.81</v>
      </c>
      <c r="AC19" s="136">
        <v>12</v>
      </c>
      <c r="AD19" s="131">
        <f t="shared" si="5"/>
        <v>1.8099999999999998</v>
      </c>
      <c r="AE19" s="120"/>
      <c r="AF19" s="136">
        <f t="shared" si="18"/>
        <v>2032</v>
      </c>
      <c r="AG19" s="129">
        <f t="shared" si="30"/>
        <v>22.54</v>
      </c>
      <c r="AH19" s="136">
        <v>12</v>
      </c>
      <c r="AI19" s="131">
        <f t="shared" si="6"/>
        <v>22.540000000000003</v>
      </c>
      <c r="AJ19" s="120"/>
      <c r="AK19" s="136">
        <f t="shared" si="19"/>
        <v>2032</v>
      </c>
      <c r="AL19" s="129">
        <f t="shared" si="31"/>
        <v>0</v>
      </c>
      <c r="AM19" s="136">
        <v>12</v>
      </c>
      <c r="AN19" s="131">
        <f t="shared" si="7"/>
        <v>0</v>
      </c>
      <c r="AO19" s="120"/>
      <c r="AP19" s="136">
        <f t="shared" si="20"/>
        <v>2032</v>
      </c>
      <c r="AQ19" s="129">
        <f t="shared" si="32"/>
        <v>0</v>
      </c>
      <c r="AR19" s="136">
        <v>12</v>
      </c>
      <c r="AS19" s="131">
        <f t="shared" si="8"/>
        <v>0</v>
      </c>
      <c r="AT19" s="120"/>
      <c r="AU19" s="136">
        <f t="shared" si="21"/>
        <v>2032</v>
      </c>
      <c r="AV19" s="129">
        <f t="shared" si="33"/>
        <v>0</v>
      </c>
      <c r="AW19" s="136">
        <v>12</v>
      </c>
      <c r="AX19" s="131">
        <f t="shared" si="9"/>
        <v>0</v>
      </c>
      <c r="AY19" s="120"/>
      <c r="AZ19" s="136">
        <f t="shared" si="22"/>
        <v>2032</v>
      </c>
      <c r="BA19" s="129">
        <f t="shared" si="34"/>
        <v>0</v>
      </c>
      <c r="BB19" s="136">
        <v>12</v>
      </c>
      <c r="BC19" s="131">
        <f t="shared" si="10"/>
        <v>0</v>
      </c>
      <c r="BE19" s="136">
        <f t="shared" si="23"/>
        <v>2032</v>
      </c>
      <c r="BF19" s="129">
        <f t="shared" si="35"/>
        <v>0</v>
      </c>
      <c r="BG19" s="136">
        <v>12</v>
      </c>
      <c r="BH19" s="131">
        <f t="shared" si="11"/>
        <v>0</v>
      </c>
    </row>
    <row r="20" spans="2:60">
      <c r="B20" s="136">
        <f t="shared" si="12"/>
        <v>2033</v>
      </c>
      <c r="C20" s="129">
        <f t="shared" si="24"/>
        <v>58.46</v>
      </c>
      <c r="D20" s="136">
        <v>12</v>
      </c>
      <c r="E20" s="131">
        <f t="shared" si="0"/>
        <v>58.46</v>
      </c>
      <c r="F20" s="120"/>
      <c r="G20" s="136">
        <f t="shared" si="13"/>
        <v>2033</v>
      </c>
      <c r="H20" s="129">
        <f t="shared" si="25"/>
        <v>12.9</v>
      </c>
      <c r="I20" s="136">
        <v>12</v>
      </c>
      <c r="J20" s="131">
        <f t="shared" si="1"/>
        <v>12.9</v>
      </c>
      <c r="K20" s="120"/>
      <c r="L20" s="136">
        <f t="shared" si="14"/>
        <v>2033</v>
      </c>
      <c r="M20" s="129">
        <f t="shared" si="26"/>
        <v>0</v>
      </c>
      <c r="N20" s="136">
        <v>12</v>
      </c>
      <c r="O20" s="131">
        <f t="shared" si="2"/>
        <v>0</v>
      </c>
      <c r="Q20" s="136">
        <f t="shared" si="15"/>
        <v>2033</v>
      </c>
      <c r="R20" s="129">
        <f t="shared" si="27"/>
        <v>3.13</v>
      </c>
      <c r="S20" s="136">
        <v>12</v>
      </c>
      <c r="T20" s="131">
        <f t="shared" si="3"/>
        <v>3.1300000000000003</v>
      </c>
      <c r="U20" s="120"/>
      <c r="V20" s="136">
        <f t="shared" si="16"/>
        <v>2033</v>
      </c>
      <c r="W20" s="129">
        <f t="shared" si="28"/>
        <v>0.48</v>
      </c>
      <c r="X20" s="136">
        <v>12</v>
      </c>
      <c r="Y20" s="131">
        <f t="shared" si="4"/>
        <v>0.48</v>
      </c>
      <c r="Z20" s="120"/>
      <c r="AA20" s="136">
        <f t="shared" si="17"/>
        <v>2033</v>
      </c>
      <c r="AB20" s="129">
        <f t="shared" si="29"/>
        <v>1.85</v>
      </c>
      <c r="AC20" s="136">
        <v>12</v>
      </c>
      <c r="AD20" s="131">
        <f t="shared" si="5"/>
        <v>1.8500000000000003</v>
      </c>
      <c r="AE20" s="120"/>
      <c r="AF20" s="136">
        <f t="shared" si="18"/>
        <v>2033</v>
      </c>
      <c r="AG20" s="129">
        <f t="shared" si="30"/>
        <v>23.01</v>
      </c>
      <c r="AH20" s="136">
        <v>12</v>
      </c>
      <c r="AI20" s="131">
        <f t="shared" si="6"/>
        <v>23.01</v>
      </c>
      <c r="AJ20" s="120"/>
      <c r="AK20" s="355">
        <f t="shared" si="19"/>
        <v>2033</v>
      </c>
      <c r="AL20" s="129">
        <f t="shared" si="31"/>
        <v>11.261107127981489</v>
      </c>
      <c r="AM20" s="136">
        <v>12</v>
      </c>
      <c r="AN20" s="131">
        <f t="shared" si="7"/>
        <v>11.261107127981489</v>
      </c>
      <c r="AO20" s="120"/>
      <c r="AP20" s="136">
        <f t="shared" si="20"/>
        <v>2033</v>
      </c>
      <c r="AQ20" s="129">
        <f t="shared" si="32"/>
        <v>0</v>
      </c>
      <c r="AR20" s="136">
        <v>12</v>
      </c>
      <c r="AS20" s="131">
        <f t="shared" si="8"/>
        <v>0</v>
      </c>
      <c r="AT20" s="120"/>
      <c r="AU20" s="136">
        <f t="shared" si="21"/>
        <v>2033</v>
      </c>
      <c r="AV20" s="129">
        <f t="shared" si="33"/>
        <v>0</v>
      </c>
      <c r="AW20" s="136">
        <v>12</v>
      </c>
      <c r="AX20" s="131">
        <f t="shared" si="9"/>
        <v>0</v>
      </c>
      <c r="AY20" s="120"/>
      <c r="AZ20" s="136">
        <f t="shared" si="22"/>
        <v>2033</v>
      </c>
      <c r="BA20" s="129">
        <f t="shared" si="34"/>
        <v>0</v>
      </c>
      <c r="BB20" s="136">
        <v>12</v>
      </c>
      <c r="BC20" s="131">
        <f t="shared" si="10"/>
        <v>0</v>
      </c>
      <c r="BE20" s="136">
        <f t="shared" si="23"/>
        <v>2033</v>
      </c>
      <c r="BF20" s="129">
        <f t="shared" si="35"/>
        <v>0</v>
      </c>
      <c r="BG20" s="136">
        <v>12</v>
      </c>
      <c r="BH20" s="131">
        <f t="shared" si="11"/>
        <v>0</v>
      </c>
    </row>
    <row r="21" spans="2:60">
      <c r="B21" s="136">
        <f t="shared" si="12"/>
        <v>2034</v>
      </c>
      <c r="C21" s="129">
        <f t="shared" si="24"/>
        <v>59.69</v>
      </c>
      <c r="D21" s="136">
        <v>12</v>
      </c>
      <c r="E21" s="131">
        <f t="shared" si="0"/>
        <v>59.69</v>
      </c>
      <c r="F21" s="120"/>
      <c r="G21" s="136">
        <f t="shared" si="13"/>
        <v>2034</v>
      </c>
      <c r="H21" s="129">
        <f t="shared" si="25"/>
        <v>13.17</v>
      </c>
      <c r="I21" s="136">
        <v>12</v>
      </c>
      <c r="J21" s="131">
        <f t="shared" si="1"/>
        <v>13.17</v>
      </c>
      <c r="K21" s="120"/>
      <c r="L21" s="136">
        <f t="shared" si="14"/>
        <v>2034</v>
      </c>
      <c r="M21" s="129">
        <f t="shared" si="26"/>
        <v>0</v>
      </c>
      <c r="N21" s="136">
        <v>12</v>
      </c>
      <c r="O21" s="131">
        <f t="shared" si="2"/>
        <v>0</v>
      </c>
      <c r="Q21" s="136">
        <f t="shared" si="15"/>
        <v>2034</v>
      </c>
      <c r="R21" s="129">
        <f t="shared" si="27"/>
        <v>3.2</v>
      </c>
      <c r="S21" s="136">
        <v>12</v>
      </c>
      <c r="T21" s="131">
        <f t="shared" si="3"/>
        <v>3.2000000000000006</v>
      </c>
      <c r="U21" s="120"/>
      <c r="V21" s="136">
        <f t="shared" si="16"/>
        <v>2034</v>
      </c>
      <c r="W21" s="129">
        <f t="shared" si="28"/>
        <v>0.49</v>
      </c>
      <c r="X21" s="136">
        <v>12</v>
      </c>
      <c r="Y21" s="131">
        <f t="shared" si="4"/>
        <v>0.49</v>
      </c>
      <c r="Z21" s="120"/>
      <c r="AA21" s="136">
        <f t="shared" si="17"/>
        <v>2034</v>
      </c>
      <c r="AB21" s="129">
        <f t="shared" si="29"/>
        <v>1.89</v>
      </c>
      <c r="AC21" s="136">
        <v>12</v>
      </c>
      <c r="AD21" s="131">
        <f t="shared" si="5"/>
        <v>1.89</v>
      </c>
      <c r="AE21" s="120"/>
      <c r="AF21" s="136">
        <f t="shared" si="18"/>
        <v>2034</v>
      </c>
      <c r="AG21" s="129">
        <f t="shared" si="30"/>
        <v>23.49</v>
      </c>
      <c r="AH21" s="136">
        <v>12</v>
      </c>
      <c r="AI21" s="131">
        <f t="shared" si="6"/>
        <v>23.49</v>
      </c>
      <c r="AJ21" s="120"/>
      <c r="AK21" s="136">
        <f t="shared" si="19"/>
        <v>2034</v>
      </c>
      <c r="AL21" s="129">
        <f t="shared" si="31"/>
        <v>11.5</v>
      </c>
      <c r="AM21" s="136">
        <v>12</v>
      </c>
      <c r="AN21" s="131">
        <f t="shared" si="7"/>
        <v>11.5</v>
      </c>
      <c r="AO21" s="120"/>
      <c r="AP21" s="136">
        <f t="shared" si="20"/>
        <v>2034</v>
      </c>
      <c r="AQ21" s="129">
        <f t="shared" si="32"/>
        <v>0</v>
      </c>
      <c r="AR21" s="136">
        <v>12</v>
      </c>
      <c r="AS21" s="131">
        <f t="shared" si="8"/>
        <v>0</v>
      </c>
      <c r="AT21" s="120"/>
      <c r="AU21" s="136">
        <f t="shared" si="21"/>
        <v>2034</v>
      </c>
      <c r="AV21" s="129">
        <f t="shared" si="33"/>
        <v>0</v>
      </c>
      <c r="AW21" s="136">
        <v>12</v>
      </c>
      <c r="AX21" s="131">
        <f t="shared" si="9"/>
        <v>0</v>
      </c>
      <c r="AY21" s="120"/>
      <c r="AZ21" s="136">
        <f t="shared" si="22"/>
        <v>2034</v>
      </c>
      <c r="BA21" s="129">
        <f t="shared" si="34"/>
        <v>0</v>
      </c>
      <c r="BB21" s="136">
        <v>12</v>
      </c>
      <c r="BC21" s="131">
        <f t="shared" si="10"/>
        <v>0</v>
      </c>
      <c r="BE21" s="136">
        <f t="shared" si="23"/>
        <v>2034</v>
      </c>
      <c r="BF21" s="129">
        <f t="shared" si="35"/>
        <v>0</v>
      </c>
      <c r="BG21" s="136">
        <v>12</v>
      </c>
      <c r="BH21" s="131">
        <f t="shared" si="11"/>
        <v>0</v>
      </c>
    </row>
    <row r="22" spans="2:60">
      <c r="B22" s="136">
        <f t="shared" si="12"/>
        <v>2035</v>
      </c>
      <c r="C22" s="129">
        <f t="shared" si="24"/>
        <v>60.94</v>
      </c>
      <c r="D22" s="136">
        <v>12</v>
      </c>
      <c r="E22" s="131">
        <f t="shared" si="0"/>
        <v>60.94</v>
      </c>
      <c r="F22" s="120"/>
      <c r="G22" s="136">
        <f t="shared" si="13"/>
        <v>2035</v>
      </c>
      <c r="H22" s="129">
        <f t="shared" si="25"/>
        <v>13.45</v>
      </c>
      <c r="I22" s="136">
        <v>12</v>
      </c>
      <c r="J22" s="131">
        <f t="shared" si="1"/>
        <v>13.449999999999998</v>
      </c>
      <c r="K22" s="120"/>
      <c r="L22" s="136">
        <f t="shared" si="14"/>
        <v>2035</v>
      </c>
      <c r="M22" s="129">
        <f t="shared" si="26"/>
        <v>0</v>
      </c>
      <c r="N22" s="136">
        <v>12</v>
      </c>
      <c r="O22" s="131">
        <f t="shared" si="2"/>
        <v>0</v>
      </c>
      <c r="Q22" s="136">
        <f t="shared" si="15"/>
        <v>2035</v>
      </c>
      <c r="R22" s="129">
        <f t="shared" si="27"/>
        <v>3.27</v>
      </c>
      <c r="S22" s="136">
        <v>12</v>
      </c>
      <c r="T22" s="131">
        <f t="shared" si="3"/>
        <v>3.27</v>
      </c>
      <c r="U22" s="120"/>
      <c r="V22" s="136">
        <f t="shared" si="16"/>
        <v>2035</v>
      </c>
      <c r="W22" s="129">
        <f t="shared" si="28"/>
        <v>0.5</v>
      </c>
      <c r="X22" s="136">
        <v>12</v>
      </c>
      <c r="Y22" s="131">
        <f t="shared" si="4"/>
        <v>0.5</v>
      </c>
      <c r="Z22" s="120"/>
      <c r="AA22" s="136">
        <f t="shared" si="17"/>
        <v>2035</v>
      </c>
      <c r="AB22" s="129">
        <f t="shared" si="29"/>
        <v>1.93</v>
      </c>
      <c r="AC22" s="136">
        <v>12</v>
      </c>
      <c r="AD22" s="131">
        <f t="shared" si="5"/>
        <v>1.93</v>
      </c>
      <c r="AE22" s="120"/>
      <c r="AF22" s="136">
        <f t="shared" si="18"/>
        <v>2035</v>
      </c>
      <c r="AG22" s="129">
        <f t="shared" si="30"/>
        <v>23.98</v>
      </c>
      <c r="AH22" s="136">
        <v>12</v>
      </c>
      <c r="AI22" s="131">
        <f t="shared" si="6"/>
        <v>23.98</v>
      </c>
      <c r="AJ22" s="120"/>
      <c r="AK22" s="136">
        <f t="shared" si="19"/>
        <v>2035</v>
      </c>
      <c r="AL22" s="129">
        <f t="shared" si="31"/>
        <v>11.74</v>
      </c>
      <c r="AM22" s="136">
        <v>12</v>
      </c>
      <c r="AN22" s="131">
        <f t="shared" si="7"/>
        <v>11.74</v>
      </c>
      <c r="AO22" s="120"/>
      <c r="AP22" s="136">
        <f t="shared" si="20"/>
        <v>2035</v>
      </c>
      <c r="AQ22" s="129">
        <f t="shared" si="32"/>
        <v>0</v>
      </c>
      <c r="AR22" s="136">
        <v>12</v>
      </c>
      <c r="AS22" s="131">
        <f t="shared" si="8"/>
        <v>0</v>
      </c>
      <c r="AT22" s="120"/>
      <c r="AU22" s="136">
        <f t="shared" si="21"/>
        <v>2035</v>
      </c>
      <c r="AV22" s="129">
        <f t="shared" si="33"/>
        <v>0</v>
      </c>
      <c r="AW22" s="136">
        <v>12</v>
      </c>
      <c r="AX22" s="131">
        <f t="shared" si="9"/>
        <v>0</v>
      </c>
      <c r="AY22" s="120"/>
      <c r="AZ22" s="136">
        <f t="shared" si="22"/>
        <v>2035</v>
      </c>
      <c r="BA22" s="129">
        <f t="shared" si="34"/>
        <v>0</v>
      </c>
      <c r="BB22" s="136">
        <v>12</v>
      </c>
      <c r="BC22" s="131">
        <f t="shared" si="10"/>
        <v>0</v>
      </c>
      <c r="BE22" s="136">
        <f t="shared" si="23"/>
        <v>2035</v>
      </c>
      <c r="BF22" s="129">
        <f t="shared" si="35"/>
        <v>0</v>
      </c>
      <c r="BG22" s="136">
        <v>12</v>
      </c>
      <c r="BH22" s="131">
        <f t="shared" si="11"/>
        <v>0</v>
      </c>
    </row>
    <row r="23" spans="2:60">
      <c r="B23" s="136">
        <f t="shared" si="12"/>
        <v>2036</v>
      </c>
      <c r="C23" s="129">
        <f t="shared" si="24"/>
        <v>62.22</v>
      </c>
      <c r="D23" s="136">
        <v>12</v>
      </c>
      <c r="E23" s="131">
        <f t="shared" si="0"/>
        <v>62.22</v>
      </c>
      <c r="F23" s="120"/>
      <c r="G23" s="136">
        <f t="shared" si="13"/>
        <v>2036</v>
      </c>
      <c r="H23" s="129">
        <f t="shared" si="25"/>
        <v>13.73</v>
      </c>
      <c r="I23" s="136">
        <v>12</v>
      </c>
      <c r="J23" s="131">
        <f t="shared" si="1"/>
        <v>13.729999999999999</v>
      </c>
      <c r="K23" s="120"/>
      <c r="L23" s="355">
        <f t="shared" si="14"/>
        <v>2036</v>
      </c>
      <c r="M23" s="129">
        <f t="shared" si="26"/>
        <v>31.092888780208423</v>
      </c>
      <c r="N23" s="136">
        <v>12</v>
      </c>
      <c r="O23" s="131">
        <f t="shared" si="2"/>
        <v>31.092888780208423</v>
      </c>
      <c r="Q23" s="136">
        <f t="shared" si="15"/>
        <v>2036</v>
      </c>
      <c r="R23" s="129">
        <f t="shared" si="27"/>
        <v>3.34</v>
      </c>
      <c r="S23" s="136">
        <v>12</v>
      </c>
      <c r="T23" s="131">
        <f t="shared" si="3"/>
        <v>3.34</v>
      </c>
      <c r="U23" s="120"/>
      <c r="V23" s="136">
        <f t="shared" si="16"/>
        <v>2036</v>
      </c>
      <c r="W23" s="129">
        <f t="shared" si="28"/>
        <v>0.51</v>
      </c>
      <c r="X23" s="136">
        <v>12</v>
      </c>
      <c r="Y23" s="131">
        <f t="shared" si="4"/>
        <v>0.51</v>
      </c>
      <c r="Z23" s="120"/>
      <c r="AA23" s="136">
        <f t="shared" si="17"/>
        <v>2036</v>
      </c>
      <c r="AB23" s="129">
        <f t="shared" si="29"/>
        <v>1.97</v>
      </c>
      <c r="AC23" s="136">
        <v>12</v>
      </c>
      <c r="AD23" s="131">
        <f t="shared" si="5"/>
        <v>1.97</v>
      </c>
      <c r="AE23" s="120"/>
      <c r="AF23" s="136">
        <f t="shared" si="18"/>
        <v>2036</v>
      </c>
      <c r="AG23" s="129">
        <f t="shared" si="30"/>
        <v>24.48</v>
      </c>
      <c r="AH23" s="136">
        <v>12</v>
      </c>
      <c r="AI23" s="131">
        <f t="shared" si="6"/>
        <v>24.48</v>
      </c>
      <c r="AJ23" s="120"/>
      <c r="AK23" s="136">
        <f t="shared" si="19"/>
        <v>2036</v>
      </c>
      <c r="AL23" s="129">
        <f t="shared" si="31"/>
        <v>11.99</v>
      </c>
      <c r="AM23" s="136">
        <v>12</v>
      </c>
      <c r="AN23" s="131">
        <f t="shared" si="7"/>
        <v>11.99</v>
      </c>
      <c r="AO23" s="120"/>
      <c r="AP23" s="136">
        <f t="shared" si="20"/>
        <v>2036</v>
      </c>
      <c r="AQ23" s="129">
        <f t="shared" si="32"/>
        <v>0</v>
      </c>
      <c r="AR23" s="136">
        <v>12</v>
      </c>
      <c r="AS23" s="131">
        <f t="shared" si="8"/>
        <v>0</v>
      </c>
      <c r="AT23" s="120"/>
      <c r="AU23" s="136">
        <f t="shared" si="21"/>
        <v>2036</v>
      </c>
      <c r="AV23" s="129">
        <f t="shared" si="33"/>
        <v>0</v>
      </c>
      <c r="AW23" s="136">
        <v>12</v>
      </c>
      <c r="AX23" s="131">
        <f t="shared" si="9"/>
        <v>0</v>
      </c>
      <c r="AY23" s="120"/>
      <c r="AZ23" s="136">
        <f t="shared" si="22"/>
        <v>2036</v>
      </c>
      <c r="BA23" s="129">
        <f t="shared" si="34"/>
        <v>0</v>
      </c>
      <c r="BB23" s="136">
        <v>12</v>
      </c>
      <c r="BC23" s="131">
        <f t="shared" si="10"/>
        <v>0</v>
      </c>
      <c r="BE23" s="136">
        <f t="shared" si="23"/>
        <v>2036</v>
      </c>
      <c r="BF23" s="129">
        <f t="shared" si="35"/>
        <v>0</v>
      </c>
      <c r="BG23" s="136">
        <v>12</v>
      </c>
      <c r="BH23" s="131">
        <f t="shared" si="11"/>
        <v>0</v>
      </c>
    </row>
    <row r="24" spans="2:60">
      <c r="B24" s="136">
        <f t="shared" si="12"/>
        <v>2037</v>
      </c>
      <c r="C24" s="129">
        <f t="shared" si="24"/>
        <v>63.53</v>
      </c>
      <c r="D24" s="136">
        <v>12</v>
      </c>
      <c r="E24" s="131">
        <f t="shared" si="0"/>
        <v>63.53</v>
      </c>
      <c r="F24" s="120"/>
      <c r="G24" s="136">
        <f t="shared" si="13"/>
        <v>2037</v>
      </c>
      <c r="H24" s="129">
        <f t="shared" si="25"/>
        <v>14.02</v>
      </c>
      <c r="I24" s="136">
        <v>12</v>
      </c>
      <c r="J24" s="131">
        <f t="shared" si="1"/>
        <v>14.020000000000001</v>
      </c>
      <c r="K24" s="120"/>
      <c r="L24" s="136">
        <f t="shared" si="14"/>
        <v>2037</v>
      </c>
      <c r="M24" s="129">
        <f t="shared" si="26"/>
        <v>31.75</v>
      </c>
      <c r="N24" s="136">
        <v>12</v>
      </c>
      <c r="O24" s="131">
        <f t="shared" si="2"/>
        <v>31.75</v>
      </c>
      <c r="Q24" s="136">
        <f t="shared" si="15"/>
        <v>2037</v>
      </c>
      <c r="R24" s="129">
        <f t="shared" si="27"/>
        <v>3.41</v>
      </c>
      <c r="S24" s="136">
        <v>12</v>
      </c>
      <c r="T24" s="131">
        <f t="shared" si="3"/>
        <v>3.41</v>
      </c>
      <c r="U24" s="120"/>
      <c r="V24" s="136">
        <f t="shared" si="16"/>
        <v>2037</v>
      </c>
      <c r="W24" s="129">
        <f t="shared" si="28"/>
        <v>0.52</v>
      </c>
      <c r="X24" s="136">
        <v>12</v>
      </c>
      <c r="Y24" s="131">
        <f t="shared" si="4"/>
        <v>0.52</v>
      </c>
      <c r="Z24" s="120"/>
      <c r="AA24" s="136">
        <f t="shared" si="17"/>
        <v>2037</v>
      </c>
      <c r="AB24" s="129">
        <f t="shared" si="29"/>
        <v>2.0099999999999998</v>
      </c>
      <c r="AC24" s="136">
        <v>12</v>
      </c>
      <c r="AD24" s="131">
        <f t="shared" si="5"/>
        <v>2.0099999999999998</v>
      </c>
      <c r="AE24" s="120"/>
      <c r="AF24" s="136">
        <f t="shared" si="18"/>
        <v>2037</v>
      </c>
      <c r="AG24" s="129">
        <f t="shared" si="30"/>
        <v>24.99</v>
      </c>
      <c r="AH24" s="136">
        <v>12</v>
      </c>
      <c r="AI24" s="131">
        <f t="shared" si="6"/>
        <v>24.99</v>
      </c>
      <c r="AJ24" s="120"/>
      <c r="AK24" s="136">
        <f t="shared" si="19"/>
        <v>2037</v>
      </c>
      <c r="AL24" s="129">
        <f t="shared" si="31"/>
        <v>12.24</v>
      </c>
      <c r="AM24" s="136">
        <v>12</v>
      </c>
      <c r="AN24" s="131">
        <f t="shared" si="7"/>
        <v>12.24</v>
      </c>
      <c r="AO24" s="120"/>
      <c r="AP24" s="355">
        <f t="shared" si="20"/>
        <v>2037</v>
      </c>
      <c r="AQ24" s="129">
        <f t="shared" si="32"/>
        <v>4.7728292811563495</v>
      </c>
      <c r="AR24" s="136">
        <v>12</v>
      </c>
      <c r="AS24" s="131">
        <f t="shared" si="8"/>
        <v>4.7728292811563495</v>
      </c>
      <c r="AT24" s="120"/>
      <c r="AU24" s="355">
        <f t="shared" si="21"/>
        <v>2037</v>
      </c>
      <c r="AV24" s="129">
        <f t="shared" si="33"/>
        <v>5.4972551057881001</v>
      </c>
      <c r="AW24" s="136">
        <v>12</v>
      </c>
      <c r="AX24" s="131">
        <f t="shared" si="9"/>
        <v>5.4972551057881001</v>
      </c>
      <c r="AY24" s="120"/>
      <c r="AZ24" s="136">
        <f t="shared" si="22"/>
        <v>2037</v>
      </c>
      <c r="BA24" s="129">
        <f t="shared" si="34"/>
        <v>0</v>
      </c>
      <c r="BB24" s="136">
        <v>12</v>
      </c>
      <c r="BC24" s="131">
        <f t="shared" si="10"/>
        <v>0</v>
      </c>
      <c r="BE24" s="136">
        <f t="shared" si="23"/>
        <v>2037</v>
      </c>
      <c r="BF24" s="129">
        <f t="shared" si="35"/>
        <v>0</v>
      </c>
      <c r="BG24" s="136">
        <v>12</v>
      </c>
      <c r="BH24" s="131">
        <f t="shared" si="11"/>
        <v>0</v>
      </c>
    </row>
    <row r="25" spans="2:60">
      <c r="B25" s="136">
        <f t="shared" si="12"/>
        <v>2038</v>
      </c>
      <c r="C25" s="129">
        <f t="shared" si="24"/>
        <v>64.86</v>
      </c>
      <c r="D25" s="136">
        <v>12</v>
      </c>
      <c r="E25" s="131">
        <f t="shared" si="0"/>
        <v>64.86</v>
      </c>
      <c r="F25" s="120"/>
      <c r="G25" s="136">
        <f t="shared" si="13"/>
        <v>2038</v>
      </c>
      <c r="H25" s="129">
        <f t="shared" si="25"/>
        <v>14.31</v>
      </c>
      <c r="I25" s="136">
        <v>12</v>
      </c>
      <c r="J25" s="131">
        <f t="shared" si="1"/>
        <v>14.31</v>
      </c>
      <c r="K25" s="120"/>
      <c r="L25" s="136">
        <f t="shared" si="14"/>
        <v>2038</v>
      </c>
      <c r="M25" s="129">
        <f t="shared" si="26"/>
        <v>32.42</v>
      </c>
      <c r="N25" s="136">
        <v>12</v>
      </c>
      <c r="O25" s="131">
        <f t="shared" si="2"/>
        <v>32.42</v>
      </c>
      <c r="Q25" s="136">
        <f t="shared" si="15"/>
        <v>2038</v>
      </c>
      <c r="R25" s="129">
        <f t="shared" si="27"/>
        <v>3.48</v>
      </c>
      <c r="S25" s="136">
        <v>12</v>
      </c>
      <c r="T25" s="131">
        <f t="shared" si="3"/>
        <v>3.48</v>
      </c>
      <c r="U25" s="120"/>
      <c r="V25" s="136">
        <f t="shared" si="16"/>
        <v>2038</v>
      </c>
      <c r="W25" s="129">
        <f t="shared" si="28"/>
        <v>0.53</v>
      </c>
      <c r="X25" s="136">
        <v>12</v>
      </c>
      <c r="Y25" s="131">
        <f t="shared" si="4"/>
        <v>0.53</v>
      </c>
      <c r="Z25" s="120"/>
      <c r="AA25" s="136">
        <f t="shared" si="17"/>
        <v>2038</v>
      </c>
      <c r="AB25" s="129">
        <f t="shared" si="29"/>
        <v>2.0499999999999998</v>
      </c>
      <c r="AC25" s="136">
        <v>12</v>
      </c>
      <c r="AD25" s="131">
        <f t="shared" si="5"/>
        <v>2.0499999999999998</v>
      </c>
      <c r="AE25" s="120"/>
      <c r="AF25" s="136">
        <f t="shared" si="18"/>
        <v>2038</v>
      </c>
      <c r="AG25" s="129">
        <f t="shared" si="30"/>
        <v>25.51</v>
      </c>
      <c r="AH25" s="136">
        <v>12</v>
      </c>
      <c r="AI25" s="131">
        <f t="shared" si="6"/>
        <v>25.51</v>
      </c>
      <c r="AJ25" s="120"/>
      <c r="AK25" s="136">
        <f t="shared" si="19"/>
        <v>2038</v>
      </c>
      <c r="AL25" s="129">
        <f t="shared" si="31"/>
        <v>12.5</v>
      </c>
      <c r="AM25" s="136">
        <v>12</v>
      </c>
      <c r="AN25" s="131">
        <f t="shared" si="7"/>
        <v>12.5</v>
      </c>
      <c r="AO25" s="120"/>
      <c r="AP25" s="136">
        <f t="shared" si="20"/>
        <v>2038</v>
      </c>
      <c r="AQ25" s="129">
        <f t="shared" si="32"/>
        <v>4.87</v>
      </c>
      <c r="AR25" s="136">
        <v>12</v>
      </c>
      <c r="AS25" s="131">
        <f t="shared" si="8"/>
        <v>4.87</v>
      </c>
      <c r="AT25" s="120"/>
      <c r="AU25" s="136">
        <f t="shared" si="21"/>
        <v>2038</v>
      </c>
      <c r="AV25" s="129">
        <f t="shared" si="33"/>
        <v>5.61</v>
      </c>
      <c r="AW25" s="136">
        <v>12</v>
      </c>
      <c r="AX25" s="131">
        <f t="shared" si="9"/>
        <v>5.61</v>
      </c>
      <c r="AY25" s="120"/>
      <c r="AZ25" s="136">
        <f t="shared" si="22"/>
        <v>2038</v>
      </c>
      <c r="BA25" s="129">
        <f t="shared" si="34"/>
        <v>0</v>
      </c>
      <c r="BB25" s="136">
        <v>12</v>
      </c>
      <c r="BC25" s="131">
        <f t="shared" si="10"/>
        <v>0</v>
      </c>
      <c r="BE25" s="136">
        <f t="shared" si="23"/>
        <v>2038</v>
      </c>
      <c r="BF25" s="129">
        <f t="shared" si="35"/>
        <v>0</v>
      </c>
      <c r="BG25" s="136">
        <v>12</v>
      </c>
      <c r="BH25" s="131">
        <f t="shared" si="11"/>
        <v>0</v>
      </c>
    </row>
    <row r="26" spans="2:60">
      <c r="B26" s="136">
        <f t="shared" si="12"/>
        <v>2039</v>
      </c>
      <c r="C26" s="129">
        <f t="shared" si="24"/>
        <v>66.22</v>
      </c>
      <c r="D26" s="136">
        <v>12</v>
      </c>
      <c r="E26" s="131">
        <f t="shared" si="0"/>
        <v>66.22</v>
      </c>
      <c r="F26" s="120"/>
      <c r="G26" s="136">
        <f t="shared" si="13"/>
        <v>2039</v>
      </c>
      <c r="H26" s="129">
        <f t="shared" si="25"/>
        <v>14.61</v>
      </c>
      <c r="I26" s="136">
        <v>12</v>
      </c>
      <c r="J26" s="131">
        <f t="shared" si="1"/>
        <v>14.61</v>
      </c>
      <c r="K26" s="120"/>
      <c r="L26" s="136">
        <f t="shared" si="14"/>
        <v>2039</v>
      </c>
      <c r="M26" s="129">
        <f t="shared" si="26"/>
        <v>33.1</v>
      </c>
      <c r="N26" s="136">
        <v>12</v>
      </c>
      <c r="O26" s="131">
        <f t="shared" si="2"/>
        <v>33.1</v>
      </c>
      <c r="Q26" s="136">
        <f t="shared" si="15"/>
        <v>2039</v>
      </c>
      <c r="R26" s="129">
        <f t="shared" si="27"/>
        <v>3.55</v>
      </c>
      <c r="S26" s="136">
        <v>12</v>
      </c>
      <c r="T26" s="131">
        <f t="shared" si="3"/>
        <v>3.5499999999999994</v>
      </c>
      <c r="U26" s="120"/>
      <c r="V26" s="136">
        <f t="shared" si="16"/>
        <v>2039</v>
      </c>
      <c r="W26" s="129">
        <f t="shared" si="28"/>
        <v>0.54</v>
      </c>
      <c r="X26" s="136">
        <v>12</v>
      </c>
      <c r="Y26" s="131">
        <f t="shared" si="4"/>
        <v>0.54</v>
      </c>
      <c r="Z26" s="120"/>
      <c r="AA26" s="136">
        <f t="shared" si="17"/>
        <v>2039</v>
      </c>
      <c r="AB26" s="129">
        <f t="shared" si="29"/>
        <v>2.09</v>
      </c>
      <c r="AC26" s="136">
        <v>12</v>
      </c>
      <c r="AD26" s="131">
        <f t="shared" si="5"/>
        <v>2.09</v>
      </c>
      <c r="AE26" s="120"/>
      <c r="AF26" s="136">
        <f t="shared" si="18"/>
        <v>2039</v>
      </c>
      <c r="AG26" s="129">
        <f t="shared" si="30"/>
        <v>26.05</v>
      </c>
      <c r="AH26" s="136">
        <v>12</v>
      </c>
      <c r="AI26" s="131">
        <f t="shared" si="6"/>
        <v>26.05</v>
      </c>
      <c r="AJ26" s="120"/>
      <c r="AK26" s="136">
        <f t="shared" si="19"/>
        <v>2039</v>
      </c>
      <c r="AL26" s="129">
        <f t="shared" si="31"/>
        <v>12.76</v>
      </c>
      <c r="AM26" s="136">
        <v>12</v>
      </c>
      <c r="AN26" s="131">
        <f t="shared" si="7"/>
        <v>12.76</v>
      </c>
      <c r="AO26" s="120"/>
      <c r="AP26" s="136">
        <f t="shared" si="20"/>
        <v>2039</v>
      </c>
      <c r="AQ26" s="129">
        <f t="shared" si="32"/>
        <v>4.97</v>
      </c>
      <c r="AR26" s="136">
        <v>12</v>
      </c>
      <c r="AS26" s="131">
        <f t="shared" si="8"/>
        <v>4.97</v>
      </c>
      <c r="AT26" s="120"/>
      <c r="AU26" s="136">
        <f t="shared" si="21"/>
        <v>2039</v>
      </c>
      <c r="AV26" s="129">
        <f t="shared" si="33"/>
        <v>5.73</v>
      </c>
      <c r="AW26" s="136">
        <v>12</v>
      </c>
      <c r="AX26" s="131">
        <f t="shared" si="9"/>
        <v>5.73</v>
      </c>
      <c r="AY26" s="120"/>
      <c r="AZ26" s="136">
        <f t="shared" si="22"/>
        <v>2039</v>
      </c>
      <c r="BA26" s="129">
        <f t="shared" si="34"/>
        <v>0</v>
      </c>
      <c r="BB26" s="136">
        <v>12</v>
      </c>
      <c r="BC26" s="131">
        <f t="shared" si="10"/>
        <v>0</v>
      </c>
      <c r="BE26" s="136">
        <f t="shared" si="23"/>
        <v>2039</v>
      </c>
      <c r="BF26" s="129">
        <f t="shared" si="35"/>
        <v>0</v>
      </c>
      <c r="BG26" s="136">
        <v>12</v>
      </c>
      <c r="BH26" s="131">
        <f t="shared" si="11"/>
        <v>0</v>
      </c>
    </row>
    <row r="27" spans="2:60">
      <c r="B27" s="136">
        <f t="shared" si="12"/>
        <v>2040</v>
      </c>
      <c r="C27" s="129">
        <f t="shared" si="24"/>
        <v>67.61</v>
      </c>
      <c r="D27" s="136">
        <v>12</v>
      </c>
      <c r="E27" s="131">
        <f t="shared" si="0"/>
        <v>67.61</v>
      </c>
      <c r="F27" s="120"/>
      <c r="G27" s="136">
        <f t="shared" si="13"/>
        <v>2040</v>
      </c>
      <c r="H27" s="129">
        <f t="shared" si="25"/>
        <v>14.92</v>
      </c>
      <c r="I27" s="136">
        <v>12</v>
      </c>
      <c r="J27" s="131">
        <f t="shared" si="1"/>
        <v>14.92</v>
      </c>
      <c r="K27" s="120"/>
      <c r="L27" s="136">
        <f t="shared" si="14"/>
        <v>2040</v>
      </c>
      <c r="M27" s="129">
        <f t="shared" si="26"/>
        <v>33.799999999999997</v>
      </c>
      <c r="N27" s="136">
        <v>12</v>
      </c>
      <c r="O27" s="131">
        <f t="shared" si="2"/>
        <v>33.799999999999997</v>
      </c>
      <c r="Q27" s="136">
        <f t="shared" si="15"/>
        <v>2040</v>
      </c>
      <c r="R27" s="129">
        <f t="shared" si="27"/>
        <v>3.62</v>
      </c>
      <c r="S27" s="136">
        <v>12</v>
      </c>
      <c r="T27" s="131">
        <f t="shared" si="3"/>
        <v>3.6199999999999997</v>
      </c>
      <c r="U27" s="120"/>
      <c r="V27" s="136">
        <f t="shared" si="16"/>
        <v>2040</v>
      </c>
      <c r="W27" s="129">
        <f t="shared" si="28"/>
        <v>0.55000000000000004</v>
      </c>
      <c r="X27" s="136">
        <v>12</v>
      </c>
      <c r="Y27" s="131">
        <f t="shared" si="4"/>
        <v>0.55000000000000004</v>
      </c>
      <c r="Z27" s="120"/>
      <c r="AA27" s="136">
        <f t="shared" si="17"/>
        <v>2040</v>
      </c>
      <c r="AB27" s="129">
        <f t="shared" si="29"/>
        <v>2.13</v>
      </c>
      <c r="AC27" s="136">
        <v>12</v>
      </c>
      <c r="AD27" s="131">
        <f t="shared" si="5"/>
        <v>2.13</v>
      </c>
      <c r="AE27" s="120"/>
      <c r="AF27" s="136">
        <f t="shared" si="18"/>
        <v>2040</v>
      </c>
      <c r="AG27" s="129">
        <f t="shared" si="30"/>
        <v>26.6</v>
      </c>
      <c r="AH27" s="136">
        <v>12</v>
      </c>
      <c r="AI27" s="131">
        <f t="shared" si="6"/>
        <v>26.600000000000005</v>
      </c>
      <c r="AJ27" s="120"/>
      <c r="AK27" s="136">
        <f t="shared" si="19"/>
        <v>2040</v>
      </c>
      <c r="AL27" s="129">
        <f t="shared" si="31"/>
        <v>13.03</v>
      </c>
      <c r="AM27" s="136">
        <v>12</v>
      </c>
      <c r="AN27" s="131">
        <f t="shared" si="7"/>
        <v>13.03</v>
      </c>
      <c r="AO27" s="120"/>
      <c r="AP27" s="136">
        <f t="shared" si="20"/>
        <v>2040</v>
      </c>
      <c r="AQ27" s="129">
        <f t="shared" si="32"/>
        <v>5.07</v>
      </c>
      <c r="AR27" s="136">
        <v>12</v>
      </c>
      <c r="AS27" s="131">
        <f t="shared" si="8"/>
        <v>5.07</v>
      </c>
      <c r="AT27" s="120"/>
      <c r="AU27" s="136">
        <f t="shared" si="21"/>
        <v>2040</v>
      </c>
      <c r="AV27" s="129">
        <f t="shared" si="33"/>
        <v>5.85</v>
      </c>
      <c r="AW27" s="136">
        <v>12</v>
      </c>
      <c r="AX27" s="131">
        <f t="shared" si="9"/>
        <v>5.8499999999999988</v>
      </c>
      <c r="AY27" s="120"/>
      <c r="AZ27" s="136">
        <f t="shared" si="22"/>
        <v>2040</v>
      </c>
      <c r="BA27" s="129">
        <f t="shared" si="34"/>
        <v>0</v>
      </c>
      <c r="BB27" s="136">
        <v>12</v>
      </c>
      <c r="BC27" s="131">
        <f t="shared" si="10"/>
        <v>0</v>
      </c>
      <c r="BE27" s="136">
        <f t="shared" si="23"/>
        <v>2040</v>
      </c>
      <c r="BF27" s="129">
        <f t="shared" si="35"/>
        <v>0</v>
      </c>
      <c r="BG27" s="136">
        <v>12</v>
      </c>
      <c r="BH27" s="131">
        <f t="shared" si="11"/>
        <v>0</v>
      </c>
    </row>
    <row r="28" spans="2:60">
      <c r="B28" s="136">
        <f t="shared" si="12"/>
        <v>2041</v>
      </c>
      <c r="C28" s="129">
        <f t="shared" si="24"/>
        <v>69.03</v>
      </c>
      <c r="D28" s="136">
        <v>12</v>
      </c>
      <c r="E28" s="131">
        <f t="shared" si="0"/>
        <v>69.03</v>
      </c>
      <c r="F28" s="120"/>
      <c r="G28" s="136">
        <f t="shared" si="13"/>
        <v>2041</v>
      </c>
      <c r="H28" s="129">
        <f t="shared" si="25"/>
        <v>15.23</v>
      </c>
      <c r="I28" s="136">
        <v>12</v>
      </c>
      <c r="J28" s="131">
        <f t="shared" si="1"/>
        <v>15.229999999999999</v>
      </c>
      <c r="K28" s="120"/>
      <c r="L28" s="136">
        <f t="shared" si="14"/>
        <v>2041</v>
      </c>
      <c r="M28" s="129">
        <f t="shared" si="26"/>
        <v>34.51</v>
      </c>
      <c r="N28" s="136">
        <v>12</v>
      </c>
      <c r="O28" s="131">
        <f t="shared" si="2"/>
        <v>34.51</v>
      </c>
      <c r="Q28" s="136">
        <f t="shared" si="15"/>
        <v>2041</v>
      </c>
      <c r="R28" s="129">
        <f t="shared" si="27"/>
        <v>3.7</v>
      </c>
      <c r="S28" s="136">
        <v>12</v>
      </c>
      <c r="T28" s="131">
        <f t="shared" si="3"/>
        <v>3.7000000000000006</v>
      </c>
      <c r="U28" s="120"/>
      <c r="V28" s="136">
        <f t="shared" si="16"/>
        <v>2041</v>
      </c>
      <c r="W28" s="129">
        <f t="shared" si="28"/>
        <v>0.56000000000000005</v>
      </c>
      <c r="X28" s="136">
        <v>12</v>
      </c>
      <c r="Y28" s="131">
        <f t="shared" si="4"/>
        <v>0.56000000000000005</v>
      </c>
      <c r="Z28" s="120"/>
      <c r="AA28" s="136">
        <f t="shared" si="17"/>
        <v>2041</v>
      </c>
      <c r="AB28" s="129">
        <f t="shared" si="29"/>
        <v>2.17</v>
      </c>
      <c r="AC28" s="136">
        <v>12</v>
      </c>
      <c r="AD28" s="131">
        <f t="shared" si="5"/>
        <v>2.17</v>
      </c>
      <c r="AE28" s="120"/>
      <c r="AF28" s="136">
        <f t="shared" si="18"/>
        <v>2041</v>
      </c>
      <c r="AG28" s="129">
        <f t="shared" si="30"/>
        <v>27.16</v>
      </c>
      <c r="AH28" s="136">
        <v>12</v>
      </c>
      <c r="AI28" s="131">
        <f t="shared" si="6"/>
        <v>27.16</v>
      </c>
      <c r="AJ28" s="120"/>
      <c r="AK28" s="136">
        <f t="shared" si="19"/>
        <v>2041</v>
      </c>
      <c r="AL28" s="129">
        <f t="shared" si="31"/>
        <v>13.3</v>
      </c>
      <c r="AM28" s="136">
        <v>12</v>
      </c>
      <c r="AN28" s="131">
        <f t="shared" si="7"/>
        <v>13.300000000000002</v>
      </c>
      <c r="AO28" s="120"/>
      <c r="AP28" s="136">
        <f t="shared" si="20"/>
        <v>2041</v>
      </c>
      <c r="AQ28" s="129">
        <f t="shared" si="32"/>
        <v>5.18</v>
      </c>
      <c r="AR28" s="136">
        <v>12</v>
      </c>
      <c r="AS28" s="131">
        <f t="shared" si="8"/>
        <v>5.18</v>
      </c>
      <c r="AT28" s="120"/>
      <c r="AU28" s="136">
        <f t="shared" si="21"/>
        <v>2041</v>
      </c>
      <c r="AV28" s="129">
        <f t="shared" si="33"/>
        <v>5.97</v>
      </c>
      <c r="AW28" s="136">
        <v>12</v>
      </c>
      <c r="AX28" s="131">
        <f t="shared" si="9"/>
        <v>5.97</v>
      </c>
      <c r="AY28" s="120"/>
      <c r="AZ28" s="136">
        <f t="shared" si="22"/>
        <v>2041</v>
      </c>
      <c r="BA28" s="129">
        <f t="shared" si="34"/>
        <v>0</v>
      </c>
      <c r="BB28" s="136">
        <v>12</v>
      </c>
      <c r="BC28" s="131">
        <f t="shared" si="10"/>
        <v>0</v>
      </c>
      <c r="BE28" s="136">
        <f t="shared" si="23"/>
        <v>2041</v>
      </c>
      <c r="BF28" s="129">
        <f t="shared" si="35"/>
        <v>0</v>
      </c>
      <c r="BG28" s="136">
        <v>12</v>
      </c>
      <c r="BH28" s="131">
        <f t="shared" si="11"/>
        <v>0</v>
      </c>
    </row>
    <row r="29" spans="2:60">
      <c r="B29" s="136">
        <f t="shared" si="12"/>
        <v>2042</v>
      </c>
      <c r="C29" s="129">
        <f t="shared" si="24"/>
        <v>70.48</v>
      </c>
      <c r="D29" s="136">
        <v>12</v>
      </c>
      <c r="E29" s="131">
        <f t="shared" si="0"/>
        <v>70.48</v>
      </c>
      <c r="F29" s="120"/>
      <c r="G29" s="136">
        <f t="shared" si="13"/>
        <v>2042</v>
      </c>
      <c r="H29" s="129">
        <f t="shared" si="25"/>
        <v>15.55</v>
      </c>
      <c r="I29" s="136">
        <v>12</v>
      </c>
      <c r="J29" s="131">
        <f t="shared" si="1"/>
        <v>15.550000000000002</v>
      </c>
      <c r="K29" s="120"/>
      <c r="L29" s="136">
        <f t="shared" si="14"/>
        <v>2042</v>
      </c>
      <c r="M29" s="129">
        <f t="shared" si="26"/>
        <v>35.229999999999997</v>
      </c>
      <c r="N29" s="136">
        <v>12</v>
      </c>
      <c r="O29" s="131">
        <f t="shared" si="2"/>
        <v>35.229999999999997</v>
      </c>
      <c r="Q29" s="136">
        <f t="shared" si="15"/>
        <v>2042</v>
      </c>
      <c r="R29" s="129">
        <f t="shared" si="27"/>
        <v>3.78</v>
      </c>
      <c r="S29" s="136">
        <v>12</v>
      </c>
      <c r="T29" s="131">
        <f t="shared" si="3"/>
        <v>3.78</v>
      </c>
      <c r="U29" s="120"/>
      <c r="V29" s="136">
        <f t="shared" si="16"/>
        <v>2042</v>
      </c>
      <c r="W29" s="129">
        <f t="shared" si="28"/>
        <v>0.56999999999999995</v>
      </c>
      <c r="X29" s="136">
        <v>12</v>
      </c>
      <c r="Y29" s="131">
        <f t="shared" si="4"/>
        <v>0.56999999999999995</v>
      </c>
      <c r="Z29" s="120"/>
      <c r="AA29" s="136">
        <f t="shared" si="17"/>
        <v>2042</v>
      </c>
      <c r="AB29" s="129">
        <f t="shared" si="29"/>
        <v>2.2200000000000002</v>
      </c>
      <c r="AC29" s="136">
        <v>12</v>
      </c>
      <c r="AD29" s="131">
        <f t="shared" si="5"/>
        <v>2.2200000000000002</v>
      </c>
      <c r="AE29" s="120"/>
      <c r="AF29" s="136">
        <f t="shared" si="18"/>
        <v>2042</v>
      </c>
      <c r="AG29" s="129">
        <f t="shared" si="30"/>
        <v>27.73</v>
      </c>
      <c r="AH29" s="136">
        <v>12</v>
      </c>
      <c r="AI29" s="131">
        <f t="shared" si="6"/>
        <v>27.73</v>
      </c>
      <c r="AJ29" s="120"/>
      <c r="AK29" s="136">
        <f t="shared" si="19"/>
        <v>2042</v>
      </c>
      <c r="AL29" s="129">
        <f t="shared" si="31"/>
        <v>13.58</v>
      </c>
      <c r="AM29" s="136">
        <v>12</v>
      </c>
      <c r="AN29" s="131">
        <f t="shared" si="7"/>
        <v>13.58</v>
      </c>
      <c r="AO29" s="120"/>
      <c r="AP29" s="136">
        <f t="shared" si="20"/>
        <v>2042</v>
      </c>
      <c r="AQ29" s="129">
        <f t="shared" si="32"/>
        <v>5.29</v>
      </c>
      <c r="AR29" s="136">
        <v>12</v>
      </c>
      <c r="AS29" s="131">
        <f t="shared" si="8"/>
        <v>5.29</v>
      </c>
      <c r="AT29" s="120"/>
      <c r="AU29" s="136">
        <f t="shared" si="21"/>
        <v>2042</v>
      </c>
      <c r="AV29" s="129">
        <f t="shared" si="33"/>
        <v>6.1</v>
      </c>
      <c r="AW29" s="136">
        <v>12</v>
      </c>
      <c r="AX29" s="131">
        <f t="shared" si="9"/>
        <v>6.0999999999999988</v>
      </c>
      <c r="AY29" s="120"/>
      <c r="AZ29" s="136">
        <f t="shared" si="22"/>
        <v>2042</v>
      </c>
      <c r="BA29" s="129">
        <f t="shared" si="34"/>
        <v>0</v>
      </c>
      <c r="BB29" s="136">
        <v>12</v>
      </c>
      <c r="BC29" s="131">
        <f t="shared" si="10"/>
        <v>0</v>
      </c>
      <c r="BE29" s="136">
        <f t="shared" si="23"/>
        <v>2042</v>
      </c>
      <c r="BF29" s="129">
        <f t="shared" si="35"/>
        <v>0</v>
      </c>
      <c r="BG29" s="136">
        <v>12</v>
      </c>
      <c r="BH29" s="131">
        <f t="shared" si="11"/>
        <v>0</v>
      </c>
    </row>
    <row r="30" spans="2:60">
      <c r="B30" s="136">
        <f t="shared" si="12"/>
        <v>2043</v>
      </c>
      <c r="C30" s="129">
        <f t="shared" si="24"/>
        <v>71.959999999999994</v>
      </c>
      <c r="D30" s="136">
        <v>12</v>
      </c>
      <c r="E30" s="131">
        <f t="shared" si="0"/>
        <v>71.959999999999994</v>
      </c>
      <c r="F30" s="120"/>
      <c r="G30" s="136">
        <f t="shared" si="13"/>
        <v>2043</v>
      </c>
      <c r="H30" s="129">
        <f t="shared" si="25"/>
        <v>15.88</v>
      </c>
      <c r="I30" s="136">
        <v>12</v>
      </c>
      <c r="J30" s="131">
        <f t="shared" si="1"/>
        <v>15.88</v>
      </c>
      <c r="K30" s="120"/>
      <c r="L30" s="136">
        <f t="shared" si="14"/>
        <v>2043</v>
      </c>
      <c r="M30" s="129">
        <f t="shared" si="26"/>
        <v>35.97</v>
      </c>
      <c r="N30" s="136">
        <v>12</v>
      </c>
      <c r="O30" s="131">
        <f t="shared" si="2"/>
        <v>35.97</v>
      </c>
      <c r="Q30" s="136">
        <f t="shared" si="15"/>
        <v>2043</v>
      </c>
      <c r="R30" s="129">
        <f t="shared" si="27"/>
        <v>3.86</v>
      </c>
      <c r="S30" s="136">
        <v>12</v>
      </c>
      <c r="T30" s="131">
        <f t="shared" si="3"/>
        <v>3.86</v>
      </c>
      <c r="U30" s="120"/>
      <c r="V30" s="136">
        <f t="shared" si="16"/>
        <v>2043</v>
      </c>
      <c r="W30" s="129">
        <f t="shared" si="28"/>
        <v>0.57999999999999996</v>
      </c>
      <c r="X30" s="136">
        <v>12</v>
      </c>
      <c r="Y30" s="131">
        <f t="shared" si="4"/>
        <v>0.57999999999999996</v>
      </c>
      <c r="Z30" s="120"/>
      <c r="AA30" s="136">
        <f t="shared" si="17"/>
        <v>2043</v>
      </c>
      <c r="AB30" s="129">
        <f t="shared" si="29"/>
        <v>2.27</v>
      </c>
      <c r="AC30" s="136">
        <v>12</v>
      </c>
      <c r="AD30" s="131">
        <f t="shared" si="5"/>
        <v>2.27</v>
      </c>
      <c r="AE30" s="120"/>
      <c r="AF30" s="136">
        <f t="shared" si="18"/>
        <v>2043</v>
      </c>
      <c r="AG30" s="129">
        <f t="shared" si="30"/>
        <v>28.31</v>
      </c>
      <c r="AH30" s="136">
        <v>12</v>
      </c>
      <c r="AI30" s="131">
        <f t="shared" si="6"/>
        <v>28.31</v>
      </c>
      <c r="AJ30" s="120"/>
      <c r="AK30" s="136">
        <f t="shared" si="19"/>
        <v>2043</v>
      </c>
      <c r="AL30" s="129">
        <f t="shared" si="31"/>
        <v>13.87</v>
      </c>
      <c r="AM30" s="136">
        <v>12</v>
      </c>
      <c r="AN30" s="131">
        <f t="shared" si="7"/>
        <v>13.87</v>
      </c>
      <c r="AO30" s="120"/>
      <c r="AP30" s="136">
        <f t="shared" si="20"/>
        <v>2043</v>
      </c>
      <c r="AQ30" s="129">
        <f t="shared" si="32"/>
        <v>5.4</v>
      </c>
      <c r="AR30" s="136">
        <v>12</v>
      </c>
      <c r="AS30" s="131">
        <f t="shared" si="8"/>
        <v>5.4000000000000012</v>
      </c>
      <c r="AT30" s="120"/>
      <c r="AU30" s="136">
        <f t="shared" si="21"/>
        <v>2043</v>
      </c>
      <c r="AV30" s="129">
        <f t="shared" si="33"/>
        <v>6.23</v>
      </c>
      <c r="AW30" s="136">
        <v>12</v>
      </c>
      <c r="AX30" s="131">
        <f t="shared" si="9"/>
        <v>6.23</v>
      </c>
      <c r="AY30" s="120"/>
      <c r="AZ30" s="136">
        <f t="shared" si="22"/>
        <v>2043</v>
      </c>
      <c r="BA30" s="129">
        <f t="shared" si="34"/>
        <v>0</v>
      </c>
      <c r="BB30" s="136">
        <v>12</v>
      </c>
      <c r="BC30" s="131">
        <f t="shared" si="10"/>
        <v>0</v>
      </c>
      <c r="BE30" s="136">
        <f t="shared" si="23"/>
        <v>2043</v>
      </c>
      <c r="BF30" s="129">
        <f t="shared" si="35"/>
        <v>0</v>
      </c>
      <c r="BG30" s="136">
        <v>12</v>
      </c>
      <c r="BH30" s="131">
        <f t="shared" si="11"/>
        <v>0</v>
      </c>
    </row>
    <row r="31" spans="2:60">
      <c r="B31" s="136">
        <f t="shared" si="12"/>
        <v>2044</v>
      </c>
      <c r="C31" s="129">
        <f t="shared" si="24"/>
        <v>73.540000000000006</v>
      </c>
      <c r="D31" s="136">
        <v>12</v>
      </c>
      <c r="E31" s="131">
        <f t="shared" si="0"/>
        <v>73.540000000000006</v>
      </c>
      <c r="F31" s="120"/>
      <c r="G31" s="136">
        <f t="shared" si="13"/>
        <v>2044</v>
      </c>
      <c r="H31" s="129">
        <f t="shared" si="25"/>
        <v>16.23</v>
      </c>
      <c r="I31" s="136">
        <v>12</v>
      </c>
      <c r="J31" s="131">
        <f t="shared" si="1"/>
        <v>16.23</v>
      </c>
      <c r="K31" s="120"/>
      <c r="L31" s="136">
        <f t="shared" si="14"/>
        <v>2044</v>
      </c>
      <c r="M31" s="129">
        <f t="shared" si="26"/>
        <v>36.76</v>
      </c>
      <c r="N31" s="136">
        <v>12</v>
      </c>
      <c r="O31" s="131">
        <f t="shared" si="2"/>
        <v>36.76</v>
      </c>
      <c r="Q31" s="136">
        <f t="shared" si="15"/>
        <v>2044</v>
      </c>
      <c r="R31" s="129">
        <f t="shared" si="27"/>
        <v>3.94</v>
      </c>
      <c r="S31" s="136">
        <v>12</v>
      </c>
      <c r="T31" s="131">
        <f t="shared" si="3"/>
        <v>3.94</v>
      </c>
      <c r="U31" s="120"/>
      <c r="V31" s="136">
        <f t="shared" si="16"/>
        <v>2044</v>
      </c>
      <c r="W31" s="129">
        <f t="shared" si="28"/>
        <v>0.59</v>
      </c>
      <c r="X31" s="136">
        <v>12</v>
      </c>
      <c r="Y31" s="131">
        <f t="shared" si="4"/>
        <v>0.59</v>
      </c>
      <c r="Z31" s="120"/>
      <c r="AA31" s="136">
        <f t="shared" si="17"/>
        <v>2044</v>
      </c>
      <c r="AB31" s="129">
        <f t="shared" si="29"/>
        <v>2.3199999999999998</v>
      </c>
      <c r="AC31" s="136">
        <v>12</v>
      </c>
      <c r="AD31" s="131">
        <f t="shared" si="5"/>
        <v>2.3199999999999998</v>
      </c>
      <c r="AE31" s="120"/>
      <c r="AF31" s="136">
        <f t="shared" si="18"/>
        <v>2044</v>
      </c>
      <c r="AG31" s="129">
        <f t="shared" si="30"/>
        <v>28.93</v>
      </c>
      <c r="AH31" s="136">
        <v>12</v>
      </c>
      <c r="AI31" s="131">
        <f t="shared" si="6"/>
        <v>28.929999999999996</v>
      </c>
      <c r="AJ31" s="120"/>
      <c r="AK31" s="136">
        <f t="shared" si="19"/>
        <v>2044</v>
      </c>
      <c r="AL31" s="129">
        <f t="shared" si="31"/>
        <v>14.18</v>
      </c>
      <c r="AM31" s="136">
        <v>12</v>
      </c>
      <c r="AN31" s="131">
        <f t="shared" si="7"/>
        <v>14.18</v>
      </c>
      <c r="AO31" s="120"/>
      <c r="AP31" s="136">
        <f t="shared" si="20"/>
        <v>2044</v>
      </c>
      <c r="AQ31" s="129">
        <f t="shared" si="32"/>
        <v>5.52</v>
      </c>
      <c r="AR31" s="136">
        <v>12</v>
      </c>
      <c r="AS31" s="131">
        <f t="shared" si="8"/>
        <v>5.52</v>
      </c>
      <c r="AT31" s="120"/>
      <c r="AU31" s="136">
        <f t="shared" si="21"/>
        <v>2044</v>
      </c>
      <c r="AV31" s="129">
        <f t="shared" si="33"/>
        <v>6.37</v>
      </c>
      <c r="AW31" s="136">
        <v>12</v>
      </c>
      <c r="AX31" s="131">
        <f t="shared" si="9"/>
        <v>6.37</v>
      </c>
      <c r="AY31" s="120"/>
      <c r="AZ31" s="136">
        <f t="shared" si="22"/>
        <v>2044</v>
      </c>
      <c r="BA31" s="129">
        <f t="shared" si="34"/>
        <v>0</v>
      </c>
      <c r="BB31" s="136">
        <v>12</v>
      </c>
      <c r="BC31" s="131">
        <f t="shared" si="10"/>
        <v>0</v>
      </c>
      <c r="BE31" s="136">
        <f t="shared" si="23"/>
        <v>2044</v>
      </c>
      <c r="BF31" s="129">
        <f t="shared" si="35"/>
        <v>0</v>
      </c>
      <c r="BG31" s="136">
        <v>12</v>
      </c>
      <c r="BH31" s="131">
        <f t="shared" si="11"/>
        <v>0</v>
      </c>
    </row>
    <row r="32" spans="2:60">
      <c r="B32" s="136">
        <f t="shared" si="12"/>
        <v>2045</v>
      </c>
      <c r="C32" s="129">
        <f t="shared" si="24"/>
        <v>75.16</v>
      </c>
      <c r="D32" s="136">
        <v>12</v>
      </c>
      <c r="E32" s="131">
        <f t="shared" si="0"/>
        <v>75.16</v>
      </c>
      <c r="F32" s="120"/>
      <c r="G32" s="136">
        <f t="shared" si="13"/>
        <v>2045</v>
      </c>
      <c r="H32" s="129">
        <f t="shared" si="25"/>
        <v>16.59</v>
      </c>
      <c r="I32" s="136">
        <v>12</v>
      </c>
      <c r="J32" s="131">
        <f t="shared" si="1"/>
        <v>16.59</v>
      </c>
      <c r="K32" s="120"/>
      <c r="L32" s="136">
        <f t="shared" si="14"/>
        <v>2045</v>
      </c>
      <c r="M32" s="129">
        <f t="shared" si="26"/>
        <v>37.57</v>
      </c>
      <c r="N32" s="136">
        <v>12</v>
      </c>
      <c r="O32" s="131">
        <f t="shared" si="2"/>
        <v>37.57</v>
      </c>
      <c r="Q32" s="136">
        <f t="shared" si="15"/>
        <v>2045</v>
      </c>
      <c r="R32" s="129">
        <f t="shared" si="27"/>
        <v>4.03</v>
      </c>
      <c r="S32" s="136">
        <v>12</v>
      </c>
      <c r="T32" s="131">
        <f t="shared" si="3"/>
        <v>4.03</v>
      </c>
      <c r="U32" s="120"/>
      <c r="V32" s="136">
        <f t="shared" si="16"/>
        <v>2045</v>
      </c>
      <c r="W32" s="129">
        <f t="shared" si="28"/>
        <v>0.6</v>
      </c>
      <c r="X32" s="136">
        <v>12</v>
      </c>
      <c r="Y32" s="131">
        <f t="shared" si="4"/>
        <v>0.6</v>
      </c>
      <c r="Z32" s="120"/>
      <c r="AA32" s="136">
        <f t="shared" si="17"/>
        <v>2045</v>
      </c>
      <c r="AB32" s="129">
        <f t="shared" si="29"/>
        <v>2.37</v>
      </c>
      <c r="AC32" s="136">
        <v>12</v>
      </c>
      <c r="AD32" s="131">
        <f t="shared" si="5"/>
        <v>2.37</v>
      </c>
      <c r="AE32" s="120"/>
      <c r="AF32" s="136">
        <f t="shared" si="18"/>
        <v>2045</v>
      </c>
      <c r="AG32" s="129">
        <f t="shared" si="30"/>
        <v>29.57</v>
      </c>
      <c r="AH32" s="136">
        <v>12</v>
      </c>
      <c r="AI32" s="131">
        <f t="shared" si="6"/>
        <v>29.570000000000004</v>
      </c>
      <c r="AJ32" s="120"/>
      <c r="AK32" s="136">
        <f t="shared" si="19"/>
        <v>2045</v>
      </c>
      <c r="AL32" s="129">
        <f t="shared" si="31"/>
        <v>14.49</v>
      </c>
      <c r="AM32" s="136">
        <v>12</v>
      </c>
      <c r="AN32" s="131">
        <f t="shared" si="7"/>
        <v>14.49</v>
      </c>
      <c r="AO32" s="120"/>
      <c r="AP32" s="136">
        <f t="shared" si="20"/>
        <v>2045</v>
      </c>
      <c r="AQ32" s="129">
        <f t="shared" si="32"/>
        <v>5.64</v>
      </c>
      <c r="AR32" s="136">
        <v>12</v>
      </c>
      <c r="AS32" s="131">
        <f t="shared" si="8"/>
        <v>5.64</v>
      </c>
      <c r="AT32" s="120"/>
      <c r="AU32" s="136">
        <f t="shared" si="21"/>
        <v>2045</v>
      </c>
      <c r="AV32" s="129">
        <f t="shared" si="33"/>
        <v>6.51</v>
      </c>
      <c r="AW32" s="136">
        <v>12</v>
      </c>
      <c r="AX32" s="131">
        <f t="shared" si="9"/>
        <v>6.5100000000000007</v>
      </c>
      <c r="AY32" s="120"/>
      <c r="AZ32" s="136">
        <f t="shared" si="22"/>
        <v>2045</v>
      </c>
      <c r="BA32" s="129">
        <f t="shared" si="34"/>
        <v>0</v>
      </c>
      <c r="BB32" s="136">
        <v>12</v>
      </c>
      <c r="BC32" s="131">
        <f t="shared" si="10"/>
        <v>0</v>
      </c>
      <c r="BE32" s="136">
        <f t="shared" si="23"/>
        <v>2045</v>
      </c>
      <c r="BF32" s="129">
        <f t="shared" si="35"/>
        <v>0</v>
      </c>
      <c r="BG32" s="136">
        <v>12</v>
      </c>
      <c r="BH32" s="131">
        <f t="shared" si="11"/>
        <v>0</v>
      </c>
    </row>
    <row r="33" spans="2:60">
      <c r="B33" s="136"/>
      <c r="C33" s="129"/>
      <c r="D33" s="136"/>
      <c r="E33" s="131"/>
      <c r="F33" s="120"/>
      <c r="G33" s="136"/>
      <c r="H33" s="129"/>
      <c r="I33" s="136"/>
      <c r="J33" s="131"/>
      <c r="K33" s="120"/>
      <c r="L33" s="136"/>
      <c r="M33" s="129"/>
      <c r="N33" s="136"/>
      <c r="O33" s="131"/>
      <c r="Q33" s="136"/>
      <c r="R33" s="129"/>
      <c r="S33" s="136"/>
      <c r="T33" s="131"/>
      <c r="U33" s="120"/>
      <c r="V33" s="136"/>
      <c r="W33" s="129"/>
      <c r="X33" s="136"/>
      <c r="Y33" s="131"/>
      <c r="Z33" s="120"/>
      <c r="AA33" s="136"/>
      <c r="AB33" s="129"/>
      <c r="AC33" s="136"/>
      <c r="AD33" s="131"/>
      <c r="AE33" s="120"/>
      <c r="AF33" s="136"/>
      <c r="AG33" s="129"/>
      <c r="AH33" s="136"/>
      <c r="AI33" s="131"/>
      <c r="AJ33" s="120"/>
      <c r="AK33" s="136"/>
      <c r="AL33" s="129"/>
      <c r="AM33" s="136"/>
      <c r="AN33" s="131"/>
      <c r="AO33" s="120"/>
      <c r="AP33" s="136"/>
      <c r="AQ33" s="129"/>
      <c r="AR33" s="136"/>
      <c r="AS33" s="131"/>
      <c r="AT33" s="120"/>
      <c r="AU33" s="136"/>
      <c r="AV33" s="129"/>
      <c r="AW33" s="136"/>
      <c r="AX33" s="131"/>
      <c r="AY33" s="120"/>
      <c r="AZ33" s="136"/>
      <c r="BA33" s="129"/>
      <c r="BB33" s="136"/>
      <c r="BC33" s="131"/>
      <c r="BE33" s="136"/>
      <c r="BF33" s="129"/>
      <c r="BG33" s="136"/>
      <c r="BH33" s="131"/>
    </row>
    <row r="34" spans="2:60">
      <c r="B34" s="136"/>
      <c r="C34" s="132"/>
      <c r="D34" s="129"/>
      <c r="E34" s="129"/>
      <c r="F34" s="130"/>
      <c r="G34" s="136"/>
      <c r="H34" s="132"/>
      <c r="I34" s="129"/>
      <c r="J34" s="129"/>
      <c r="K34" s="130"/>
      <c r="L34" s="136"/>
      <c r="M34" s="132"/>
      <c r="N34" s="129"/>
      <c r="O34" s="129"/>
      <c r="Q34" s="136"/>
      <c r="R34" s="132"/>
      <c r="S34" s="129"/>
      <c r="T34" s="129"/>
      <c r="U34" s="130"/>
      <c r="V34" s="136"/>
      <c r="W34" s="132"/>
      <c r="X34" s="129"/>
      <c r="Y34" s="129"/>
      <c r="Z34" s="130"/>
      <c r="AA34" s="136"/>
      <c r="AB34" s="132"/>
      <c r="AC34" s="129"/>
      <c r="AD34" s="129"/>
      <c r="AE34" s="130"/>
      <c r="AF34" s="136"/>
      <c r="AG34" s="132"/>
      <c r="AH34" s="129"/>
      <c r="AI34" s="129"/>
      <c r="AJ34" s="130"/>
      <c r="AK34" s="136"/>
      <c r="AL34" s="132"/>
      <c r="AM34" s="129"/>
      <c r="AN34" s="129"/>
      <c r="AO34" s="130"/>
      <c r="AP34" s="136"/>
      <c r="AQ34" s="132"/>
      <c r="AR34" s="129"/>
      <c r="AS34" s="129"/>
      <c r="AT34" s="130"/>
      <c r="AU34" s="136"/>
      <c r="AV34" s="132"/>
      <c r="AW34" s="129"/>
      <c r="AX34" s="129"/>
      <c r="AY34" s="130"/>
      <c r="AZ34" s="136"/>
      <c r="BA34" s="132"/>
      <c r="BB34" s="129"/>
      <c r="BC34" s="129"/>
      <c r="BD34" s="138"/>
      <c r="BE34" s="136"/>
      <c r="BF34" s="132"/>
      <c r="BG34" s="129"/>
      <c r="BH34" s="129"/>
    </row>
    <row r="35" spans="2:60" s="120" customFormat="1" ht="12" customHeight="1">
      <c r="C35" s="129" t="s">
        <v>103</v>
      </c>
      <c r="D35" s="363">
        <v>2024</v>
      </c>
      <c r="H35" s="129" t="s">
        <v>103</v>
      </c>
      <c r="I35" s="363">
        <v>2030</v>
      </c>
      <c r="M35" s="129" t="s">
        <v>103</v>
      </c>
      <c r="N35" s="363">
        <v>2036</v>
      </c>
      <c r="R35" s="129" t="s">
        <v>103</v>
      </c>
      <c r="S35" s="363">
        <v>2024</v>
      </c>
      <c r="W35" s="129" t="s">
        <v>103</v>
      </c>
      <c r="X35" s="363">
        <v>2024</v>
      </c>
      <c r="AB35" s="129" t="s">
        <v>103</v>
      </c>
      <c r="AC35" s="363">
        <v>2023</v>
      </c>
      <c r="AG35" s="129" t="s">
        <v>103</v>
      </c>
      <c r="AH35" s="365">
        <v>2030</v>
      </c>
      <c r="AL35" s="129" t="s">
        <v>103</v>
      </c>
      <c r="AM35" s="363">
        <v>2033</v>
      </c>
      <c r="AQ35" s="129" t="s">
        <v>103</v>
      </c>
      <c r="AR35" s="363">
        <v>2037</v>
      </c>
      <c r="AV35" s="129" t="s">
        <v>103</v>
      </c>
      <c r="AW35" s="363">
        <v>2037</v>
      </c>
      <c r="BA35" s="129" t="s">
        <v>103</v>
      </c>
      <c r="BB35" s="365">
        <v>2029</v>
      </c>
      <c r="BF35" s="129" t="s">
        <v>103</v>
      </c>
      <c r="BG35" s="365">
        <v>2024</v>
      </c>
    </row>
    <row r="36" spans="2:60">
      <c r="C36" s="187" t="s">
        <v>84</v>
      </c>
      <c r="D36" s="363">
        <v>1920</v>
      </c>
      <c r="H36" s="187" t="s">
        <v>84</v>
      </c>
      <c r="I36" s="363">
        <v>1100</v>
      </c>
      <c r="M36" s="187" t="s">
        <v>84</v>
      </c>
      <c r="N36" s="363">
        <v>430</v>
      </c>
      <c r="R36" s="187" t="s">
        <v>84</v>
      </c>
      <c r="S36" s="363">
        <v>600</v>
      </c>
      <c r="W36" s="187" t="s">
        <v>84</v>
      </c>
      <c r="X36" s="363">
        <v>405</v>
      </c>
      <c r="AB36" s="187" t="s">
        <v>84</v>
      </c>
      <c r="AC36" s="363">
        <v>300</v>
      </c>
      <c r="AG36" s="187" t="s">
        <v>84</v>
      </c>
      <c r="AH36" s="365">
        <v>500</v>
      </c>
      <c r="AL36" s="187" t="s">
        <v>84</v>
      </c>
      <c r="AM36" s="363">
        <v>475</v>
      </c>
      <c r="AQ36" s="187" t="s">
        <v>84</v>
      </c>
      <c r="AR36" s="363">
        <v>442.8</v>
      </c>
      <c r="AV36" s="187" t="s">
        <v>84</v>
      </c>
      <c r="AW36" s="363">
        <v>369.8</v>
      </c>
      <c r="BA36" s="187" t="s">
        <v>84</v>
      </c>
      <c r="BB36" s="365">
        <v>359.4</v>
      </c>
      <c r="BF36" s="187" t="s">
        <v>84</v>
      </c>
      <c r="BG36" s="365">
        <v>354</v>
      </c>
    </row>
    <row r="37" spans="2:60">
      <c r="B37" s="130"/>
      <c r="C37" s="129" t="s">
        <v>177</v>
      </c>
      <c r="D37" s="129">
        <v>1542.049</v>
      </c>
      <c r="G37" s="130"/>
      <c r="H37" s="129" t="s">
        <v>177</v>
      </c>
      <c r="I37" s="129">
        <v>223.26</v>
      </c>
      <c r="L37" s="130"/>
      <c r="M37" s="129" t="s">
        <v>177</v>
      </c>
      <c r="N37" s="129">
        <v>224.316</v>
      </c>
      <c r="Q37" s="130"/>
      <c r="R37" s="129" t="s">
        <v>177</v>
      </c>
      <c r="S37" s="129">
        <v>25.99</v>
      </c>
      <c r="V37" s="130"/>
      <c r="W37" s="129" t="s">
        <v>177</v>
      </c>
      <c r="X37" s="129">
        <v>2.6589999999999998</v>
      </c>
      <c r="AA37" s="130"/>
      <c r="AB37" s="129" t="s">
        <v>177</v>
      </c>
      <c r="AC37" s="129">
        <v>7.3890000000000002</v>
      </c>
      <c r="AF37" s="130"/>
      <c r="AG37" s="129" t="s">
        <v>177</v>
      </c>
      <c r="AH37" s="366">
        <v>181.00800000000001</v>
      </c>
      <c r="AK37" s="130"/>
      <c r="AL37" s="129" t="s">
        <v>177</v>
      </c>
      <c r="AM37" s="129">
        <v>89.744</v>
      </c>
      <c r="AP37" s="130"/>
      <c r="AQ37" s="129" t="s">
        <v>177</v>
      </c>
      <c r="AR37" s="129">
        <v>35.457999999999998</v>
      </c>
      <c r="AU37" s="130"/>
      <c r="AV37" s="129" t="s">
        <v>177</v>
      </c>
      <c r="AW37" s="129">
        <v>34.106999999999999</v>
      </c>
      <c r="AZ37" s="130"/>
      <c r="BA37" s="129" t="s">
        <v>177</v>
      </c>
      <c r="BB37" s="366">
        <v>0</v>
      </c>
      <c r="BE37" s="130"/>
      <c r="BF37" s="129" t="s">
        <v>177</v>
      </c>
      <c r="BG37" s="366">
        <v>0</v>
      </c>
    </row>
    <row r="38" spans="2:60">
      <c r="B38" s="130"/>
      <c r="C38" s="129" t="s">
        <v>178</v>
      </c>
      <c r="D38" s="361">
        <v>5.9603158827233105E-2</v>
      </c>
      <c r="G38" s="130"/>
      <c r="H38" s="129" t="s">
        <v>178</v>
      </c>
      <c r="I38" s="361">
        <v>5.9603158827233105E-2</v>
      </c>
      <c r="L38" s="130"/>
      <c r="M38" s="129" t="s">
        <v>178</v>
      </c>
      <c r="N38" s="361">
        <v>5.9603158827233105E-2</v>
      </c>
      <c r="Q38" s="130"/>
      <c r="R38" s="129" t="s">
        <v>178</v>
      </c>
      <c r="S38" s="361">
        <v>5.9603158827233105E-2</v>
      </c>
      <c r="V38" s="130"/>
      <c r="W38" s="129" t="s">
        <v>178</v>
      </c>
      <c r="X38" s="361">
        <v>5.9603158827233105E-2</v>
      </c>
      <c r="AA38" s="130"/>
      <c r="AB38" s="129" t="s">
        <v>178</v>
      </c>
      <c r="AC38" s="361">
        <v>5.9603158827233105E-2</v>
      </c>
      <c r="AF38" s="130"/>
      <c r="AG38" s="129" t="s">
        <v>178</v>
      </c>
      <c r="AH38" s="361">
        <v>5.9603158827233105E-2</v>
      </c>
      <c r="AK38" s="130"/>
      <c r="AL38" s="129" t="s">
        <v>178</v>
      </c>
      <c r="AM38" s="361">
        <v>5.9603158827233105E-2</v>
      </c>
      <c r="AP38" s="130"/>
      <c r="AQ38" s="129" t="s">
        <v>178</v>
      </c>
      <c r="AR38" s="361">
        <v>5.9603158827233105E-2</v>
      </c>
      <c r="AU38" s="130"/>
      <c r="AV38" s="129" t="s">
        <v>178</v>
      </c>
      <c r="AW38" s="361">
        <v>5.9603158827233105E-2</v>
      </c>
      <c r="AZ38" s="130"/>
      <c r="BA38" s="129" t="s">
        <v>178</v>
      </c>
      <c r="BB38" s="361">
        <v>5.9603158827233105E-2</v>
      </c>
      <c r="BE38" s="130"/>
      <c r="BF38" s="129" t="s">
        <v>178</v>
      </c>
      <c r="BG38" s="361">
        <v>5.9603158827233105E-2</v>
      </c>
    </row>
    <row r="39" spans="2:60" ht="41.25" customHeight="1">
      <c r="B39" s="428" t="s">
        <v>176</v>
      </c>
      <c r="C39" s="428"/>
      <c r="D39" s="362">
        <f>D37*1000000*D38/(D36*1000)</f>
        <v>47.870308055404152</v>
      </c>
      <c r="G39" s="428" t="s">
        <v>190</v>
      </c>
      <c r="H39" s="428"/>
      <c r="I39" s="362">
        <f>I37*1000000*I38/(I36*1000)</f>
        <v>12.097273854334603</v>
      </c>
      <c r="L39" s="428" t="s">
        <v>192</v>
      </c>
      <c r="M39" s="428"/>
      <c r="N39" s="362">
        <f>N37*1000000*N38/(N36*1000)</f>
        <v>31.092888780208423</v>
      </c>
      <c r="Q39" s="428" t="s">
        <v>176</v>
      </c>
      <c r="R39" s="428"/>
      <c r="S39" s="362">
        <f>S37*1000000*S38/(S36*1000)</f>
        <v>2.5818101631996475</v>
      </c>
      <c r="V39" s="428" t="s">
        <v>176</v>
      </c>
      <c r="W39" s="428"/>
      <c r="X39" s="362">
        <f>X37*1000000*X38/(X36*1000)</f>
        <v>0.39132049215213044</v>
      </c>
      <c r="AA39" s="428" t="s">
        <v>181</v>
      </c>
      <c r="AB39" s="428"/>
      <c r="AC39" s="362">
        <f>AC37*1000000*AC38/(AC36*1000)</f>
        <v>1.4680258019147514</v>
      </c>
      <c r="AF39" s="428" t="s">
        <v>190</v>
      </c>
      <c r="AG39" s="428"/>
      <c r="AH39" s="362">
        <f>AH37*1000000*AH38/(AH36*1000)</f>
        <v>21.577297145999619</v>
      </c>
      <c r="AK39" s="428" t="s">
        <v>189</v>
      </c>
      <c r="AL39" s="428"/>
      <c r="AM39" s="362">
        <f>AM37*1000000*AM38/(AM36*1000)</f>
        <v>11.261107127981489</v>
      </c>
      <c r="AP39" s="428" t="s">
        <v>194</v>
      </c>
      <c r="AQ39" s="428"/>
      <c r="AR39" s="362">
        <f>AR37*1000000*AR38/(AR36*1000)</f>
        <v>4.7728292811563495</v>
      </c>
      <c r="AU39" s="428" t="s">
        <v>194</v>
      </c>
      <c r="AV39" s="428"/>
      <c r="AW39" s="362">
        <f>AW37*1000000*AW38/(AW36*1000)</f>
        <v>5.4972551057881001</v>
      </c>
      <c r="AZ39" s="428" t="s">
        <v>188</v>
      </c>
      <c r="BA39" s="428"/>
      <c r="BB39" s="362">
        <f>BB37*1000000*BB38/(BB36*1000)</f>
        <v>0</v>
      </c>
      <c r="BE39" s="428" t="s">
        <v>176</v>
      </c>
      <c r="BF39" s="428"/>
      <c r="BG39" s="362">
        <f>BG37*1000000*BG38/(BG36*1000)</f>
        <v>0</v>
      </c>
    </row>
    <row r="40" spans="2:60">
      <c r="B40" s="127"/>
      <c r="C40" s="132"/>
      <c r="D40" s="129"/>
      <c r="E40" s="129"/>
      <c r="F40" s="130"/>
      <c r="I40" s="131"/>
      <c r="J40" s="131"/>
      <c r="K40" s="130"/>
      <c r="N40" s="131"/>
      <c r="O40" s="131"/>
      <c r="U40" s="130"/>
      <c r="X40" s="131"/>
      <c r="Y40" s="131"/>
      <c r="Z40" s="130"/>
      <c r="AC40" s="131"/>
      <c r="AD40" s="131"/>
      <c r="AE40" s="130"/>
      <c r="AH40" s="131"/>
      <c r="AI40" s="131"/>
      <c r="AJ40" s="130"/>
      <c r="AM40" s="131"/>
      <c r="AN40" s="131"/>
      <c r="AO40" s="130"/>
      <c r="AR40" s="131"/>
      <c r="AS40" s="131"/>
      <c r="AT40" s="130"/>
      <c r="AW40" s="131"/>
      <c r="AX40" s="131"/>
      <c r="AY40" s="130"/>
      <c r="BB40" s="131"/>
      <c r="BC40" s="131"/>
      <c r="BD40" s="138"/>
    </row>
    <row r="41" spans="2:60">
      <c r="E41" s="129"/>
      <c r="I41" s="131"/>
      <c r="J41" s="131"/>
      <c r="K41" s="138"/>
    </row>
    <row r="42" spans="2:60" ht="13.5" thickBot="1">
      <c r="D42" s="155"/>
    </row>
    <row r="43" spans="2:60" ht="13.5" thickBot="1">
      <c r="C43" s="40" t="str">
        <f>"Company Official Inflation Forecast Dated "&amp;TEXT('Table 4'!$H$5,"mmmm dd, yyyy")</f>
        <v>Company Official Inflation Forecast Dated March 31, 2020</v>
      </c>
      <c r="D43" s="143"/>
      <c r="E43" s="143"/>
      <c r="F43" s="143"/>
      <c r="G43" s="143"/>
      <c r="H43" s="143"/>
      <c r="I43" s="143"/>
      <c r="J43" s="143"/>
      <c r="K43" s="145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2.3E-2</v>
      </c>
      <c r="H44" s="85"/>
      <c r="I44" s="87">
        <f>F52+1</f>
        <v>2037</v>
      </c>
      <c r="J44" s="41">
        <v>2.1000000000000001E-2</v>
      </c>
    </row>
    <row r="45" spans="2:60">
      <c r="C45" s="87">
        <f t="shared" ref="C45:C52" si="36">C44+1</f>
        <v>2020</v>
      </c>
      <c r="D45" s="41">
        <v>1.9E-2</v>
      </c>
      <c r="E45" s="85"/>
      <c r="F45" s="87">
        <f t="shared" ref="F45:F52" si="37">F44+1</f>
        <v>2029</v>
      </c>
      <c r="G45" s="41">
        <v>2.3E-2</v>
      </c>
      <c r="H45" s="85"/>
      <c r="I45" s="87">
        <f t="shared" ref="I45:I52" si="38">I44+1</f>
        <v>2038</v>
      </c>
      <c r="J45" s="41">
        <v>2.1000000000000001E-2</v>
      </c>
    </row>
    <row r="46" spans="2:60">
      <c r="C46" s="87">
        <f t="shared" si="36"/>
        <v>2021</v>
      </c>
      <c r="D46" s="41">
        <v>0.02</v>
      </c>
      <c r="E46" s="85"/>
      <c r="F46" s="87">
        <f t="shared" si="37"/>
        <v>2030</v>
      </c>
      <c r="G46" s="41">
        <v>2.1999999999999999E-2</v>
      </c>
      <c r="H46" s="85"/>
      <c r="I46" s="87">
        <f t="shared" si="38"/>
        <v>2039</v>
      </c>
      <c r="J46" s="41">
        <v>2.1000000000000001E-2</v>
      </c>
    </row>
    <row r="47" spans="2:60">
      <c r="C47" s="87">
        <f t="shared" si="36"/>
        <v>2022</v>
      </c>
      <c r="D47" s="41">
        <v>2.5000000000000001E-2</v>
      </c>
      <c r="E47" s="85"/>
      <c r="F47" s="87">
        <f t="shared" si="37"/>
        <v>2031</v>
      </c>
      <c r="G47" s="41">
        <v>2.1999999999999999E-2</v>
      </c>
      <c r="H47" s="85"/>
      <c r="I47" s="87">
        <f t="shared" si="38"/>
        <v>2040</v>
      </c>
      <c r="J47" s="41">
        <v>2.1000000000000001E-2</v>
      </c>
    </row>
    <row r="48" spans="2:60" s="120" customFormat="1">
      <c r="B48" s="118"/>
      <c r="C48" s="87">
        <f t="shared" si="36"/>
        <v>2023</v>
      </c>
      <c r="D48" s="41">
        <v>2.5000000000000001E-2</v>
      </c>
      <c r="E48" s="85"/>
      <c r="F48" s="87">
        <f t="shared" si="37"/>
        <v>2032</v>
      </c>
      <c r="G48" s="41">
        <v>2.1999999999999999E-2</v>
      </c>
      <c r="H48" s="85"/>
      <c r="I48" s="87">
        <f t="shared" si="38"/>
        <v>2041</v>
      </c>
      <c r="J48" s="41">
        <v>2.1000000000000001E-2</v>
      </c>
      <c r="K48" s="118"/>
      <c r="L48" s="118"/>
      <c r="M48" s="118"/>
      <c r="N48" s="118"/>
      <c r="O48" s="118"/>
      <c r="P48" s="118"/>
      <c r="BG48" s="165"/>
    </row>
    <row r="49" spans="2:59" s="120" customFormat="1">
      <c r="B49" s="118"/>
      <c r="C49" s="87">
        <f t="shared" si="36"/>
        <v>2024</v>
      </c>
      <c r="D49" s="41">
        <v>2.4E-2</v>
      </c>
      <c r="E49" s="85"/>
      <c r="F49" s="87">
        <f t="shared" si="37"/>
        <v>2033</v>
      </c>
      <c r="G49" s="41">
        <v>2.1000000000000001E-2</v>
      </c>
      <c r="H49" s="85"/>
      <c r="I49" s="87">
        <f t="shared" si="38"/>
        <v>2042</v>
      </c>
      <c r="J49" s="41">
        <v>2.1000000000000001E-2</v>
      </c>
      <c r="K49" s="118"/>
      <c r="L49" s="118"/>
      <c r="M49" s="118"/>
      <c r="N49" s="118"/>
      <c r="O49" s="118"/>
      <c r="P49" s="118"/>
      <c r="BG49" s="165"/>
    </row>
    <row r="50" spans="2:59" s="120" customFormat="1">
      <c r="C50" s="87">
        <f t="shared" si="36"/>
        <v>2025</v>
      </c>
      <c r="D50" s="41">
        <v>2.3E-2</v>
      </c>
      <c r="E50" s="86"/>
      <c r="F50" s="87">
        <f t="shared" si="37"/>
        <v>2034</v>
      </c>
      <c r="G50" s="41">
        <v>2.1000000000000001E-2</v>
      </c>
      <c r="H50" s="86"/>
      <c r="I50" s="87">
        <f t="shared" si="38"/>
        <v>2043</v>
      </c>
      <c r="J50" s="41">
        <v>2.1000000000000001E-2</v>
      </c>
      <c r="BG50" s="165"/>
    </row>
    <row r="51" spans="2:59" s="120" customFormat="1">
      <c r="C51" s="87">
        <f t="shared" si="36"/>
        <v>2026</v>
      </c>
      <c r="D51" s="41">
        <v>2.3E-2</v>
      </c>
      <c r="E51" s="86"/>
      <c r="F51" s="87">
        <f t="shared" si="37"/>
        <v>2035</v>
      </c>
      <c r="G51" s="41">
        <v>2.1000000000000001E-2</v>
      </c>
      <c r="H51" s="86"/>
      <c r="I51" s="87">
        <f t="shared" si="38"/>
        <v>2044</v>
      </c>
      <c r="J51" s="41">
        <v>2.1999999999999999E-2</v>
      </c>
      <c r="BG51" s="165"/>
    </row>
    <row r="52" spans="2:59">
      <c r="B52" s="120"/>
      <c r="C52" s="87">
        <f t="shared" si="36"/>
        <v>2027</v>
      </c>
      <c r="D52" s="41">
        <v>2.3E-2</v>
      </c>
      <c r="E52" s="86"/>
      <c r="F52" s="87">
        <f t="shared" si="37"/>
        <v>2036</v>
      </c>
      <c r="G52" s="41">
        <v>2.1000000000000001E-2</v>
      </c>
      <c r="H52" s="86"/>
      <c r="I52" s="87">
        <f t="shared" si="38"/>
        <v>2045</v>
      </c>
      <c r="J52" s="41">
        <v>2.1999999999999999E-2</v>
      </c>
      <c r="K52" s="120"/>
      <c r="L52" s="120"/>
      <c r="M52" s="120"/>
      <c r="N52" s="120"/>
      <c r="O52" s="120"/>
      <c r="P52" s="120"/>
    </row>
    <row r="53" spans="2:59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64" spans="2:59">
      <c r="C64" s="151"/>
      <c r="D64" s="155"/>
    </row>
    <row r="65" spans="3:4">
      <c r="C65" s="151"/>
      <c r="D65" s="155"/>
    </row>
    <row r="66" spans="3:4">
      <c r="C66" s="151"/>
      <c r="D66" s="155"/>
    </row>
    <row r="67" spans="3:4">
      <c r="C67" s="151"/>
      <c r="D67" s="155"/>
    </row>
    <row r="68" spans="3:4">
      <c r="C68" s="151"/>
      <c r="D68" s="155"/>
    </row>
    <row r="69" spans="3:4">
      <c r="C69" s="151"/>
      <c r="D69" s="155"/>
    </row>
    <row r="70" spans="3:4">
      <c r="C70" s="151"/>
      <c r="D70" s="155"/>
    </row>
    <row r="71" spans="3:4">
      <c r="C71" s="151"/>
      <c r="D71" s="155"/>
    </row>
    <row r="72" spans="3:4">
      <c r="C72" s="151"/>
      <c r="D72" s="155"/>
    </row>
    <row r="73" spans="3:4">
      <c r="C73" s="151"/>
      <c r="D73" s="155"/>
    </row>
  </sheetData>
  <mergeCells count="24"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opLeftCell="A2" zoomScale="80" zoomScaleNormal="80" workbookViewId="0">
      <selection activeCell="L33" sqref="L3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5" customFormat="1" ht="15.75" hidden="1">
      <c r="B1" s="1" t="s">
        <v>35</v>
      </c>
      <c r="C1" s="1"/>
      <c r="D1" s="1"/>
      <c r="E1" s="1"/>
      <c r="F1" s="1"/>
      <c r="G1" s="222"/>
      <c r="H1" s="1"/>
      <c r="I1" s="1"/>
      <c r="J1" s="1"/>
      <c r="K1" s="1"/>
      <c r="L1" s="223"/>
      <c r="M1" s="224"/>
      <c r="N1" s="224"/>
      <c r="O1" s="224"/>
      <c r="P1" s="224"/>
    </row>
    <row r="2" spans="2:16" s="225" customFormat="1" ht="5.25" customHeight="1">
      <c r="B2" s="1"/>
      <c r="C2" s="1"/>
      <c r="D2" s="1"/>
      <c r="E2" s="1"/>
      <c r="F2" s="1"/>
      <c r="G2" s="222"/>
      <c r="H2" s="1"/>
      <c r="I2" s="1"/>
      <c r="J2" s="1"/>
      <c r="K2" s="1"/>
      <c r="L2" s="223"/>
      <c r="M2" s="224"/>
      <c r="N2" s="224"/>
      <c r="O2" s="224"/>
      <c r="P2" s="224"/>
    </row>
    <row r="3" spans="2:16" s="225" customFormat="1" ht="15.75">
      <c r="B3" s="1" t="s">
        <v>94</v>
      </c>
      <c r="C3" s="1"/>
      <c r="D3" s="1"/>
      <c r="E3" s="1"/>
      <c r="F3" s="1"/>
      <c r="G3" s="222"/>
      <c r="H3" s="1"/>
      <c r="I3" s="1"/>
      <c r="J3" s="1"/>
      <c r="K3" s="1"/>
      <c r="L3" s="223"/>
      <c r="M3" s="224"/>
      <c r="N3" s="224"/>
      <c r="O3" s="224"/>
      <c r="P3" s="224"/>
    </row>
    <row r="4" spans="2:16" s="227" customFormat="1" ht="15">
      <c r="B4" s="4" t="s">
        <v>95</v>
      </c>
      <c r="C4" s="4"/>
      <c r="D4" s="4"/>
      <c r="E4" s="4"/>
      <c r="F4" s="4"/>
      <c r="G4" s="4"/>
      <c r="H4" s="4"/>
      <c r="I4" s="4"/>
      <c r="J4" s="4"/>
      <c r="K4" s="4"/>
      <c r="L4" s="4"/>
      <c r="M4" s="226"/>
      <c r="N4" s="226"/>
      <c r="O4" s="226"/>
      <c r="P4" s="226"/>
    </row>
    <row r="5" spans="2:16" s="227" customFormat="1" ht="15">
      <c r="B5" s="4" t="str">
        <f ca="1">'Table 1'!B5</f>
        <v>Utah 2020.Q1 - 100.0 MW and 100.0%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7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6"/>
      <c r="N6" s="226"/>
      <c r="O6" s="226"/>
      <c r="P6" s="226"/>
    </row>
    <row r="7" spans="2:16">
      <c r="D7" s="228"/>
      <c r="E7" s="228"/>
      <c r="F7" s="228"/>
      <c r="G7" s="229"/>
      <c r="H7" s="229"/>
      <c r="I7" s="229"/>
      <c r="J7" s="229"/>
      <c r="K7" s="229"/>
      <c r="L7" s="229"/>
      <c r="M7" s="230"/>
    </row>
    <row r="8" spans="2:16">
      <c r="B8" s="231"/>
      <c r="C8" s="231"/>
      <c r="D8" s="232" t="s">
        <v>96</v>
      </c>
      <c r="E8" s="233"/>
      <c r="F8" s="233"/>
      <c r="G8" s="232"/>
      <c r="H8" s="232"/>
      <c r="I8" s="234" t="s">
        <v>97</v>
      </c>
      <c r="J8" s="235"/>
      <c r="K8" s="235"/>
      <c r="L8" s="236"/>
      <c r="M8" s="237" t="s">
        <v>96</v>
      </c>
      <c r="N8" s="238"/>
      <c r="O8" s="239"/>
    </row>
    <row r="9" spans="2:16">
      <c r="B9" s="240" t="s">
        <v>0</v>
      </c>
      <c r="C9" s="240" t="s">
        <v>255</v>
      </c>
      <c r="D9" s="241" t="s">
        <v>256</v>
      </c>
      <c r="E9" s="242" t="s">
        <v>257</v>
      </c>
      <c r="F9" s="242" t="s">
        <v>258</v>
      </c>
      <c r="G9" s="242" t="s">
        <v>259</v>
      </c>
      <c r="H9" s="243" t="s">
        <v>260</v>
      </c>
      <c r="I9" s="172" t="s">
        <v>261</v>
      </c>
      <c r="J9" s="172" t="s">
        <v>262</v>
      </c>
      <c r="K9" s="172" t="s">
        <v>263</v>
      </c>
      <c r="L9" s="172" t="s">
        <v>264</v>
      </c>
      <c r="M9" s="241" t="s">
        <v>265</v>
      </c>
      <c r="N9" s="242" t="s">
        <v>266</v>
      </c>
      <c r="O9" s="243" t="s">
        <v>267</v>
      </c>
    </row>
    <row r="10" spans="2:16" ht="12.75" customHeight="1">
      <c r="B10" s="221"/>
      <c r="C10" s="221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5"/>
    </row>
    <row r="11" spans="2:16" ht="12.75" customHeight="1">
      <c r="B11" s="245" t="s">
        <v>98</v>
      </c>
      <c r="C11" s="245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5"/>
    </row>
    <row r="12" spans="2:16" ht="12.75" hidden="1" customHeight="1">
      <c r="B12" s="246"/>
      <c r="C12" s="247"/>
      <c r="D12" s="8"/>
      <c r="E12" s="8"/>
      <c r="F12" s="8"/>
      <c r="G12" s="8"/>
      <c r="H12" s="13"/>
      <c r="I12" s="248"/>
      <c r="J12" s="249"/>
      <c r="K12" s="249"/>
      <c r="L12" s="250"/>
      <c r="M12" s="248"/>
      <c r="N12" s="249"/>
      <c r="O12" s="250"/>
    </row>
    <row r="13" spans="2:16" ht="12.75" customHeight="1">
      <c r="B13" s="251">
        <v>2020</v>
      </c>
      <c r="C13" s="252">
        <v>14.222686195756514</v>
      </c>
      <c r="D13" s="253">
        <v>13.596362614675314</v>
      </c>
      <c r="E13" s="253">
        <v>12.217802972200531</v>
      </c>
      <c r="F13" s="253">
        <v>12.367191466932656</v>
      </c>
      <c r="G13" s="253">
        <v>11.67381453651852</v>
      </c>
      <c r="H13" s="254">
        <v>11.513882421643464</v>
      </c>
      <c r="I13" s="255">
        <v>13.073851257688883</v>
      </c>
      <c r="J13" s="253">
        <v>27.618039173410946</v>
      </c>
      <c r="K13" s="253">
        <v>20.400779384535646</v>
      </c>
      <c r="L13" s="254">
        <v>12.300522068878635</v>
      </c>
      <c r="M13" s="255">
        <v>11.038359849476807</v>
      </c>
      <c r="N13" s="253">
        <v>11.648482225464036</v>
      </c>
      <c r="O13" s="254">
        <v>12.829474082760393</v>
      </c>
    </row>
    <row r="14" spans="2:16" ht="12.75" customHeight="1">
      <c r="B14" s="268">
        <v>2021</v>
      </c>
      <c r="C14" s="256">
        <v>16.687778139102676</v>
      </c>
      <c r="D14" s="257">
        <v>25.465024982730867</v>
      </c>
      <c r="E14" s="257">
        <v>14.142290836411219</v>
      </c>
      <c r="F14" s="257">
        <v>13.627708709144624</v>
      </c>
      <c r="G14" s="257">
        <v>11.905039057088189</v>
      </c>
      <c r="H14" s="258">
        <v>11.811903493849821</v>
      </c>
      <c r="I14" s="259">
        <v>12.100296947283256</v>
      </c>
      <c r="J14" s="257">
        <v>31.662131086140469</v>
      </c>
      <c r="K14" s="257">
        <v>19.695810826068683</v>
      </c>
      <c r="L14" s="258">
        <v>16.72086201377358</v>
      </c>
      <c r="M14" s="259">
        <v>13.182440726774074</v>
      </c>
      <c r="N14" s="257">
        <v>13.469259069386249</v>
      </c>
      <c r="O14" s="258">
        <v>15.819211295518063</v>
      </c>
    </row>
    <row r="15" spans="2:16" ht="12.75" customHeight="1">
      <c r="B15" s="268">
        <v>2022</v>
      </c>
      <c r="C15" s="256">
        <v>17.718585299433911</v>
      </c>
      <c r="D15" s="257">
        <v>24.618567220802589</v>
      </c>
      <c r="E15" s="257">
        <v>16.389112277429419</v>
      </c>
      <c r="F15" s="257">
        <v>14.038740742081597</v>
      </c>
      <c r="G15" s="257">
        <v>12.834074041853968</v>
      </c>
      <c r="H15" s="258">
        <v>12.812655126995416</v>
      </c>
      <c r="I15" s="259">
        <v>13.685815173509013</v>
      </c>
      <c r="J15" s="257">
        <v>33.424506354391653</v>
      </c>
      <c r="K15" s="257">
        <v>21.44257677092908</v>
      </c>
      <c r="L15" s="258">
        <v>18.286264634848884</v>
      </c>
      <c r="M15" s="259">
        <v>14.136497067158782</v>
      </c>
      <c r="N15" s="257">
        <v>14.060465558184518</v>
      </c>
      <c r="O15" s="258">
        <v>16.377744081299952</v>
      </c>
    </row>
    <row r="16" spans="2:16" ht="12.75" customHeight="1">
      <c r="B16" s="268">
        <v>2023</v>
      </c>
      <c r="C16" s="256">
        <v>16.863877496331249</v>
      </c>
      <c r="D16" s="257">
        <v>16.351501254117697</v>
      </c>
      <c r="E16" s="257">
        <v>16.791520070168634</v>
      </c>
      <c r="F16" s="257">
        <v>14.21334052857352</v>
      </c>
      <c r="G16" s="257">
        <v>12.714396956139348</v>
      </c>
      <c r="H16" s="258">
        <v>13.074659906535219</v>
      </c>
      <c r="I16" s="259">
        <v>13.528410047696282</v>
      </c>
      <c r="J16" s="257">
        <v>32.034112595060577</v>
      </c>
      <c r="K16" s="257">
        <v>20.844955918749655</v>
      </c>
      <c r="L16" s="258">
        <v>17.348238493924548</v>
      </c>
      <c r="M16" s="259">
        <v>14.29436078456661</v>
      </c>
      <c r="N16" s="257">
        <v>14.371631769154842</v>
      </c>
      <c r="O16" s="258">
        <v>16.486178889457456</v>
      </c>
    </row>
    <row r="17" spans="2:15" ht="12.75" customHeight="1">
      <c r="B17" s="268">
        <v>2024</v>
      </c>
      <c r="C17" s="256">
        <v>12.078116441420628</v>
      </c>
      <c r="D17" s="257">
        <v>15.345035945380166</v>
      </c>
      <c r="E17" s="257">
        <v>11.154241637104972</v>
      </c>
      <c r="F17" s="257">
        <v>7.1414077611720206</v>
      </c>
      <c r="G17" s="257">
        <v>6.0280995641104465</v>
      </c>
      <c r="H17" s="258">
        <v>8.0606164237346132</v>
      </c>
      <c r="I17" s="259">
        <v>8.8254235072543636</v>
      </c>
      <c r="J17" s="257">
        <v>32.723271898249742</v>
      </c>
      <c r="K17" s="257">
        <v>15.5352591157991</v>
      </c>
      <c r="L17" s="258">
        <v>10.879923911568191</v>
      </c>
      <c r="M17" s="259">
        <v>8.4915329896850924</v>
      </c>
      <c r="N17" s="257">
        <v>9.5800517319409799</v>
      </c>
      <c r="O17" s="258">
        <v>10.693606467192332</v>
      </c>
    </row>
    <row r="18" spans="2:15" ht="12.75" customHeight="1">
      <c r="B18" s="268">
        <v>2025</v>
      </c>
      <c r="C18" s="256">
        <v>12.708516875746316</v>
      </c>
      <c r="D18" s="257">
        <v>16.201666303655955</v>
      </c>
      <c r="E18" s="257">
        <v>10.559892457133559</v>
      </c>
      <c r="F18" s="257">
        <v>7.4861101708138582</v>
      </c>
      <c r="G18" s="257">
        <v>6.7375721872643464</v>
      </c>
      <c r="H18" s="258">
        <v>8.4908248641197712</v>
      </c>
      <c r="I18" s="259">
        <v>9.7567519162185494</v>
      </c>
      <c r="J18" s="257">
        <v>34.442429056529114</v>
      </c>
      <c r="K18" s="257">
        <v>17.645398462430563</v>
      </c>
      <c r="L18" s="258">
        <v>11.476020049079425</v>
      </c>
      <c r="M18" s="259">
        <v>8.5413197432862979</v>
      </c>
      <c r="N18" s="257">
        <v>9.4715072962242282</v>
      </c>
      <c r="O18" s="258">
        <v>11.052771637354807</v>
      </c>
    </row>
    <row r="19" spans="2:15" ht="12.75" customHeight="1">
      <c r="B19" s="268">
        <v>2026</v>
      </c>
      <c r="C19" s="256">
        <v>16.733337223857777</v>
      </c>
      <c r="D19" s="257">
        <v>17.721936825290321</v>
      </c>
      <c r="E19" s="257">
        <v>15.286286198095684</v>
      </c>
      <c r="F19" s="257">
        <v>10.094665372168185</v>
      </c>
      <c r="G19" s="257">
        <v>11.680368560429041</v>
      </c>
      <c r="H19" s="258">
        <v>14.764770054125217</v>
      </c>
      <c r="I19" s="259">
        <v>18.429074802300374</v>
      </c>
      <c r="J19" s="257">
        <v>21.870314382065128</v>
      </c>
      <c r="K19" s="257">
        <v>21.974343028976634</v>
      </c>
      <c r="L19" s="258">
        <v>18.01610828633979</v>
      </c>
      <c r="M19" s="259">
        <v>15.36336222696068</v>
      </c>
      <c r="N19" s="257">
        <v>16.38107476210946</v>
      </c>
      <c r="O19" s="258">
        <v>18.999423620931964</v>
      </c>
    </row>
    <row r="20" spans="2:15" ht="12.75" customHeight="1">
      <c r="B20" s="268">
        <v>2027</v>
      </c>
      <c r="C20" s="256">
        <v>18.457170012145827</v>
      </c>
      <c r="D20" s="257">
        <v>19.143848239766253</v>
      </c>
      <c r="E20" s="257">
        <v>15.52908162069884</v>
      </c>
      <c r="F20" s="257">
        <v>10.746328560991152</v>
      </c>
      <c r="G20" s="257">
        <v>14.478396634820848</v>
      </c>
      <c r="H20" s="258">
        <v>16.578460778031019</v>
      </c>
      <c r="I20" s="259">
        <v>20.681121768357233</v>
      </c>
      <c r="J20" s="257">
        <v>24.110419131373607</v>
      </c>
      <c r="K20" s="257">
        <v>24.113871426686483</v>
      </c>
      <c r="L20" s="258">
        <v>19.531300824283313</v>
      </c>
      <c r="M20" s="259">
        <v>17.618527495294849</v>
      </c>
      <c r="N20" s="257">
        <v>18.466468301417098</v>
      </c>
      <c r="O20" s="258">
        <v>20.183194148094664</v>
      </c>
    </row>
    <row r="21" spans="2:15" ht="12.75" customHeight="1">
      <c r="B21" s="268">
        <v>2028</v>
      </c>
      <c r="C21" s="256">
        <v>21.852212921216243</v>
      </c>
      <c r="D21" s="257">
        <v>23.213169629901287</v>
      </c>
      <c r="E21" s="257">
        <v>18.541093924780345</v>
      </c>
      <c r="F21" s="257">
        <v>15.884552805939469</v>
      </c>
      <c r="G21" s="257">
        <v>14.226795881097308</v>
      </c>
      <c r="H21" s="258">
        <v>19.057456171419272</v>
      </c>
      <c r="I21" s="259">
        <v>23.221266611423758</v>
      </c>
      <c r="J21" s="257">
        <v>28.083322200203135</v>
      </c>
      <c r="K21" s="257">
        <v>28.446903573961588</v>
      </c>
      <c r="L21" s="258">
        <v>23.608881798398784</v>
      </c>
      <c r="M21" s="259">
        <v>21.870229064558224</v>
      </c>
      <c r="N21" s="257">
        <v>21.608269702293807</v>
      </c>
      <c r="O21" s="258">
        <v>24.097972539505491</v>
      </c>
    </row>
    <row r="22" spans="2:15" ht="12.75" customHeight="1">
      <c r="B22" s="268">
        <v>2029</v>
      </c>
      <c r="C22" s="256">
        <v>22.824583349545524</v>
      </c>
      <c r="D22" s="257">
        <v>22.610884956722899</v>
      </c>
      <c r="E22" s="257">
        <v>19.453259913917364</v>
      </c>
      <c r="F22" s="257">
        <v>16.191751809946151</v>
      </c>
      <c r="G22" s="257">
        <v>17.110423274419581</v>
      </c>
      <c r="H22" s="258">
        <v>17.317021980614111</v>
      </c>
      <c r="I22" s="259">
        <v>22.155620291485349</v>
      </c>
      <c r="J22" s="257">
        <v>29.964045164748146</v>
      </c>
      <c r="K22" s="257">
        <v>30.722156500947332</v>
      </c>
      <c r="L22" s="258">
        <v>24.708396101206542</v>
      </c>
      <c r="M22" s="259">
        <v>22.895580296999704</v>
      </c>
      <c r="N22" s="257">
        <v>24.638471989831576</v>
      </c>
      <c r="O22" s="258">
        <v>25.714504299252344</v>
      </c>
    </row>
    <row r="23" spans="2:15" ht="12.75" customHeight="1">
      <c r="B23" s="268">
        <v>2030</v>
      </c>
      <c r="C23" s="256">
        <v>21.772752592189399</v>
      </c>
      <c r="D23" s="257">
        <v>21.829601910290339</v>
      </c>
      <c r="E23" s="257">
        <v>20.106806859623951</v>
      </c>
      <c r="F23" s="257">
        <v>14.728327512406613</v>
      </c>
      <c r="G23" s="257">
        <v>14.128585129505645</v>
      </c>
      <c r="H23" s="258">
        <v>14.03438098321779</v>
      </c>
      <c r="I23" s="259">
        <v>20.760323768140335</v>
      </c>
      <c r="J23" s="257">
        <v>29.725648588366326</v>
      </c>
      <c r="K23" s="257">
        <v>30.686065357824567</v>
      </c>
      <c r="L23" s="258">
        <v>24.387962733413403</v>
      </c>
      <c r="M23" s="259">
        <v>22.920666086522321</v>
      </c>
      <c r="N23" s="257">
        <v>21.273927905130925</v>
      </c>
      <c r="O23" s="258">
        <v>26.318539174082741</v>
      </c>
    </row>
    <row r="24" spans="2:15" ht="12.75" customHeight="1">
      <c r="B24" s="268">
        <v>2031</v>
      </c>
      <c r="C24" s="256">
        <v>24.133162749949655</v>
      </c>
      <c r="D24" s="257">
        <v>24.324952310375988</v>
      </c>
      <c r="E24" s="257">
        <v>22.136687919344265</v>
      </c>
      <c r="F24" s="257">
        <v>17.156108370251875</v>
      </c>
      <c r="G24" s="257">
        <v>16.563436224580226</v>
      </c>
      <c r="H24" s="258">
        <v>18.18875524022306</v>
      </c>
      <c r="I24" s="259">
        <v>23.128574087325482</v>
      </c>
      <c r="J24" s="257">
        <v>31.623439405399466</v>
      </c>
      <c r="K24" s="257">
        <v>32.342491156894674</v>
      </c>
      <c r="L24" s="258">
        <v>26.548453824134128</v>
      </c>
      <c r="M24" s="259">
        <v>25.603465959727963</v>
      </c>
      <c r="N24" s="257">
        <v>23.368280065194394</v>
      </c>
      <c r="O24" s="258">
        <v>28.196749362058696</v>
      </c>
    </row>
    <row r="25" spans="2:15" ht="12.75" customHeight="1">
      <c r="B25" s="268">
        <v>2032</v>
      </c>
      <c r="C25" s="256">
        <v>28.579671066567329</v>
      </c>
      <c r="D25" s="257">
        <v>31.179504742976679</v>
      </c>
      <c r="E25" s="257">
        <v>25.813538317577805</v>
      </c>
      <c r="F25" s="257">
        <v>21.698688003811185</v>
      </c>
      <c r="G25" s="257">
        <v>22.378923759607183</v>
      </c>
      <c r="H25" s="258">
        <v>20.629694200789217</v>
      </c>
      <c r="I25" s="259">
        <v>27.244926209595882</v>
      </c>
      <c r="J25" s="257">
        <v>35.876578912792269</v>
      </c>
      <c r="K25" s="257">
        <v>36.550957850516646</v>
      </c>
      <c r="L25" s="258">
        <v>30.356435724770652</v>
      </c>
      <c r="M25" s="259">
        <v>28.957790620617608</v>
      </c>
      <c r="N25" s="257">
        <v>29.535315226868416</v>
      </c>
      <c r="O25" s="258">
        <v>32.400300879098317</v>
      </c>
    </row>
    <row r="26" spans="2:15" ht="12.75" customHeight="1">
      <c r="B26" s="268">
        <v>2033</v>
      </c>
      <c r="C26" s="256">
        <v>30.243587638060795</v>
      </c>
      <c r="D26" s="257">
        <v>33.724638071559887</v>
      </c>
      <c r="E26" s="257">
        <v>27.197837085850935</v>
      </c>
      <c r="F26" s="257">
        <v>23.31672143998005</v>
      </c>
      <c r="G26" s="257">
        <v>21.548188695464283</v>
      </c>
      <c r="H26" s="258">
        <v>20.214898698925371</v>
      </c>
      <c r="I26" s="259">
        <v>29.171856916091301</v>
      </c>
      <c r="J26" s="257">
        <v>37.185240069078581</v>
      </c>
      <c r="K26" s="257">
        <v>37.8373020286109</v>
      </c>
      <c r="L26" s="258">
        <v>31.985012508007181</v>
      </c>
      <c r="M26" s="259">
        <v>31.178447617278184</v>
      </c>
      <c r="N26" s="257">
        <v>33.576851263740615</v>
      </c>
      <c r="O26" s="258">
        <v>35.539938138741199</v>
      </c>
    </row>
    <row r="27" spans="2:15" ht="12.75" customHeight="1">
      <c r="B27" s="268">
        <v>2034</v>
      </c>
      <c r="C27" s="256">
        <v>31.486928934003664</v>
      </c>
      <c r="D27" s="257">
        <v>34.430169676799245</v>
      </c>
      <c r="E27" s="257">
        <v>29.709522168423227</v>
      </c>
      <c r="F27" s="257">
        <v>24.49706058671017</v>
      </c>
      <c r="G27" s="257">
        <v>22.922391555372418</v>
      </c>
      <c r="H27" s="258">
        <v>21.705516939798912</v>
      </c>
      <c r="I27" s="259">
        <v>30.047458301043346</v>
      </c>
      <c r="J27" s="257">
        <v>38.909006577502659</v>
      </c>
      <c r="K27" s="257">
        <v>39.266194530430262</v>
      </c>
      <c r="L27" s="258">
        <v>33.321943813175587</v>
      </c>
      <c r="M27" s="259">
        <v>31.236667170630749</v>
      </c>
      <c r="N27" s="257">
        <v>34.002409942090097</v>
      </c>
      <c r="O27" s="258">
        <v>37.440427480871556</v>
      </c>
    </row>
    <row r="28" spans="2:15" ht="12.75" customHeight="1">
      <c r="B28" s="268">
        <v>2035</v>
      </c>
      <c r="C28" s="256">
        <v>33.253234574503551</v>
      </c>
      <c r="D28" s="257">
        <v>36.686293009412623</v>
      </c>
      <c r="E28" s="257">
        <v>30.933712801675846</v>
      </c>
      <c r="F28" s="257">
        <v>25.626306218248743</v>
      </c>
      <c r="G28" s="257">
        <v>25.947585856177326</v>
      </c>
      <c r="H28" s="258">
        <v>23.217074338737476</v>
      </c>
      <c r="I28" s="259">
        <v>31.583673823133939</v>
      </c>
      <c r="J28" s="257">
        <v>40.294536321393501</v>
      </c>
      <c r="K28" s="257">
        <v>41.678467158584262</v>
      </c>
      <c r="L28" s="258">
        <v>34.376705854114562</v>
      </c>
      <c r="M28" s="259">
        <v>33.846775725538976</v>
      </c>
      <c r="N28" s="257">
        <v>35.444358217251796</v>
      </c>
      <c r="O28" s="258">
        <v>38.996255251518299</v>
      </c>
    </row>
    <row r="29" spans="2:15" ht="12.75" customHeight="1">
      <c r="B29" s="268">
        <v>2036</v>
      </c>
      <c r="C29" s="256">
        <v>35.362545577659255</v>
      </c>
      <c r="D29" s="257">
        <v>39.023494938857731</v>
      </c>
      <c r="E29" s="257">
        <v>33.454091637432363</v>
      </c>
      <c r="F29" s="257">
        <v>27.556326632529338</v>
      </c>
      <c r="G29" s="257">
        <v>25.212156635973397</v>
      </c>
      <c r="H29" s="258">
        <v>24.041091660695169</v>
      </c>
      <c r="I29" s="259">
        <v>33.025880052790463</v>
      </c>
      <c r="J29" s="257">
        <v>42.885574680682552</v>
      </c>
      <c r="K29" s="257">
        <v>42.994500328690535</v>
      </c>
      <c r="L29" s="258">
        <v>38.068713859450483</v>
      </c>
      <c r="M29" s="259">
        <v>36.569352350037306</v>
      </c>
      <c r="N29" s="257">
        <v>38.462874666890954</v>
      </c>
      <c r="O29" s="258">
        <v>42.717861585429603</v>
      </c>
    </row>
    <row r="30" spans="2:15" ht="12.75" customHeight="1">
      <c r="B30" s="269">
        <v>2037</v>
      </c>
      <c r="C30" s="261">
        <v>36.250391658779151</v>
      </c>
      <c r="D30" s="262">
        <v>40.600278876979424</v>
      </c>
      <c r="E30" s="262">
        <v>34.50964162651028</v>
      </c>
      <c r="F30" s="262">
        <v>28.580809171486404</v>
      </c>
      <c r="G30" s="262">
        <v>27.229436174707487</v>
      </c>
      <c r="H30" s="263">
        <v>24.10337985010397</v>
      </c>
      <c r="I30" s="264">
        <v>33.259374894864443</v>
      </c>
      <c r="J30" s="262">
        <v>46.070269785089195</v>
      </c>
      <c r="K30" s="262">
        <v>45.581827664164209</v>
      </c>
      <c r="L30" s="263">
        <v>37.680069049876181</v>
      </c>
      <c r="M30" s="264">
        <v>35.429083236127653</v>
      </c>
      <c r="N30" s="262">
        <v>37.901971919595162</v>
      </c>
      <c r="O30" s="263">
        <v>43.602010407687757</v>
      </c>
    </row>
    <row r="31" spans="2:15" ht="12.75" hidden="1" customHeight="1">
      <c r="B31" s="15"/>
      <c r="C31" s="256"/>
      <c r="D31" s="257"/>
      <c r="E31" s="257"/>
      <c r="F31" s="257"/>
      <c r="G31" s="257"/>
      <c r="H31" s="258"/>
      <c r="I31" s="259"/>
      <c r="J31" s="257"/>
      <c r="K31" s="257"/>
      <c r="L31" s="258"/>
      <c r="M31" s="259"/>
      <c r="N31" s="257"/>
      <c r="O31" s="258"/>
    </row>
    <row r="32" spans="2:15" ht="12.75" hidden="1" customHeight="1">
      <c r="B32" s="260"/>
      <c r="C32" s="261"/>
      <c r="D32" s="262"/>
      <c r="E32" s="262"/>
      <c r="F32" s="262"/>
      <c r="G32" s="262"/>
      <c r="H32" s="263"/>
      <c r="I32" s="264"/>
      <c r="J32" s="262"/>
      <c r="K32" s="262"/>
      <c r="L32" s="263"/>
      <c r="M32" s="264"/>
      <c r="N32" s="262"/>
      <c r="O32" s="263"/>
    </row>
    <row r="33" spans="2:16" ht="12.75" customHeight="1">
      <c r="D33" s="10"/>
      <c r="E33" s="10"/>
      <c r="F33" s="10"/>
      <c r="M33" s="265"/>
    </row>
    <row r="34" spans="2:16">
      <c r="B34" s="266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</row>
    <row r="38" spans="2:16" hidden="1">
      <c r="C38" s="267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7"/>
    </row>
    <row r="40" spans="2:16">
      <c r="C40" s="267"/>
    </row>
    <row r="41" spans="2:16">
      <c r="C41" s="267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2" zoomScale="60" zoomScaleNormal="100" workbookViewId="0">
      <selection activeCell="D24" sqref="D24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0" style="3" hidden="1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2020.Q1 - 100.0 MW and 100.0% CF</v>
      </c>
      <c r="C5" s="1"/>
      <c r="D5" s="1"/>
      <c r="H5" s="96">
        <v>43921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6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141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140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90</v>
      </c>
      <c r="Q16" s="103" t="s">
        <v>61</v>
      </c>
      <c r="R16" s="3" t="s">
        <v>140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1.71</v>
      </c>
      <c r="D18" s="27">
        <f t="shared" si="1"/>
        <v>1.72</v>
      </c>
      <c r="E18" s="27">
        <f t="shared" si="2"/>
        <v>1.89</v>
      </c>
      <c r="F18" s="27">
        <f t="shared" si="3"/>
        <v>1.6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2.2200000000000002</v>
      </c>
      <c r="D19" s="27">
        <f t="shared" si="1"/>
        <v>2.23</v>
      </c>
      <c r="E19" s="27">
        <f t="shared" si="2"/>
        <v>2.3199999999999998</v>
      </c>
      <c r="F19" s="27">
        <f t="shared" si="3"/>
        <v>2.0699999999999998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2.16</v>
      </c>
      <c r="D20" s="27">
        <f t="shared" si="1"/>
        <v>2.17</v>
      </c>
      <c r="E20" s="27">
        <f t="shared" si="2"/>
        <v>2.2200000000000002</v>
      </c>
      <c r="F20" s="27">
        <f t="shared" si="3"/>
        <v>2.0299999999999998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2.25</v>
      </c>
      <c r="D21" s="27">
        <f t="shared" si="1"/>
        <v>2.2599999999999998</v>
      </c>
      <c r="E21" s="27">
        <f t="shared" si="2"/>
        <v>2.2999999999999998</v>
      </c>
      <c r="F21" s="27">
        <f t="shared" si="3"/>
        <v>2.13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2.38</v>
      </c>
      <c r="D22" s="27">
        <f t="shared" si="1"/>
        <v>2.39</v>
      </c>
      <c r="E22" s="27">
        <f t="shared" si="2"/>
        <v>2.4</v>
      </c>
      <c r="F22" s="27">
        <f t="shared" si="3"/>
        <v>2.25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2.5499999999999998</v>
      </c>
      <c r="D23" s="27">
        <f t="shared" si="1"/>
        <v>2.56</v>
      </c>
      <c r="E23" s="27">
        <f t="shared" si="2"/>
        <v>2.5</v>
      </c>
      <c r="F23" s="27">
        <f t="shared" si="3"/>
        <v>2.42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2.68</v>
      </c>
      <c r="D24" s="27">
        <f t="shared" si="1"/>
        <v>2.69</v>
      </c>
      <c r="E24" s="27">
        <f t="shared" si="2"/>
        <v>2.6</v>
      </c>
      <c r="F24" s="27">
        <f t="shared" si="3"/>
        <v>2.5499999999999998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2.94</v>
      </c>
      <c r="D25" s="27">
        <f t="shared" si="1"/>
        <v>2.95</v>
      </c>
      <c r="E25" s="27">
        <f t="shared" si="2"/>
        <v>2.8</v>
      </c>
      <c r="F25" s="27">
        <f t="shared" si="3"/>
        <v>2.8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3.2</v>
      </c>
      <c r="D26" s="27">
        <f t="shared" si="1"/>
        <v>3.21</v>
      </c>
      <c r="E26" s="27">
        <f t="shared" si="2"/>
        <v>3.05</v>
      </c>
      <c r="F26" s="27">
        <f t="shared" si="3"/>
        <v>3.06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3.43</v>
      </c>
      <c r="D27" s="27">
        <f t="shared" si="1"/>
        <v>3.44</v>
      </c>
      <c r="E27" s="27">
        <f t="shared" si="2"/>
        <v>3.3</v>
      </c>
      <c r="F27" s="27">
        <f t="shared" si="3"/>
        <v>3.3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3.67</v>
      </c>
      <c r="D28" s="27">
        <f t="shared" si="1"/>
        <v>3.68</v>
      </c>
      <c r="E28" s="27">
        <f t="shared" si="2"/>
        <v>3.55</v>
      </c>
      <c r="F28" s="27">
        <f t="shared" si="3"/>
        <v>3.53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3.85</v>
      </c>
      <c r="D29" s="27">
        <f t="shared" si="1"/>
        <v>3.86</v>
      </c>
      <c r="E29" s="27">
        <f t="shared" si="2"/>
        <v>3.72</v>
      </c>
      <c r="F29" s="27">
        <f t="shared" si="3"/>
        <v>3.71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4.04</v>
      </c>
      <c r="D30" s="27">
        <f t="shared" si="1"/>
        <v>4.05</v>
      </c>
      <c r="E30" s="27">
        <f t="shared" si="2"/>
        <v>3.89</v>
      </c>
      <c r="F30" s="27">
        <f t="shared" si="3"/>
        <v>3.89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4.22</v>
      </c>
      <c r="D31" s="27">
        <f t="shared" si="1"/>
        <v>4.2300000000000004</v>
      </c>
      <c r="E31" s="27">
        <f t="shared" si="2"/>
        <v>4.0599999999999996</v>
      </c>
      <c r="F31" s="27">
        <f t="shared" si="3"/>
        <v>4.07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4.43</v>
      </c>
      <c r="D32" s="27">
        <f t="shared" si="1"/>
        <v>4.4400000000000004</v>
      </c>
      <c r="E32" s="27">
        <f t="shared" si="2"/>
        <v>4.28</v>
      </c>
      <c r="F32" s="27">
        <f t="shared" si="3"/>
        <v>4.28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4.66</v>
      </c>
      <c r="D33" s="27">
        <f t="shared" si="1"/>
        <v>4.67</v>
      </c>
      <c r="E33" s="27">
        <f t="shared" si="2"/>
        <v>4.49</v>
      </c>
      <c r="F33" s="27">
        <f t="shared" si="3"/>
        <v>4.51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4.8499999999999996</v>
      </c>
      <c r="D34" s="27">
        <f t="shared" si="1"/>
        <v>4.8600000000000003</v>
      </c>
      <c r="E34" s="27">
        <f t="shared" si="2"/>
        <v>4.66</v>
      </c>
      <c r="F34" s="27">
        <f t="shared" si="3"/>
        <v>4.7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5.18</v>
      </c>
      <c r="D35" s="27">
        <f t="shared" si="1"/>
        <v>5.19</v>
      </c>
      <c r="E35" s="27">
        <f t="shared" si="2"/>
        <v>4.99</v>
      </c>
      <c r="F35" s="27">
        <f t="shared" si="3"/>
        <v>5.03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5.48</v>
      </c>
      <c r="D36" s="27">
        <f t="shared" si="1"/>
        <v>5.49</v>
      </c>
      <c r="E36" s="27">
        <f t="shared" si="2"/>
        <v>5.24</v>
      </c>
      <c r="F36" s="27">
        <f t="shared" si="3"/>
        <v>5.32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5.82</v>
      </c>
      <c r="D37" s="27">
        <f t="shared" si="1"/>
        <v>5.83</v>
      </c>
      <c r="E37" s="27">
        <f t="shared" si="2"/>
        <v>5.58</v>
      </c>
      <c r="F37" s="27">
        <f t="shared" si="3"/>
        <v>5.66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5.95</v>
      </c>
      <c r="D38" s="27">
        <f t="shared" si="1"/>
        <v>5.96</v>
      </c>
      <c r="E38" s="27">
        <f t="shared" si="2"/>
        <v>5.69</v>
      </c>
      <c r="F38" s="27">
        <f t="shared" si="3"/>
        <v>5.78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Mar 31, 2020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1.3321662891615129</v>
      </c>
      <c r="J68" s="35">
        <v>1.3423051921322116</v>
      </c>
      <c r="K68" s="35">
        <v>1.4596781133983943</v>
      </c>
      <c r="L68" s="35">
        <v>1.2991164508682123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1.2459856139105752</v>
      </c>
      <c r="J69" s="35">
        <v>1.2561245168812736</v>
      </c>
      <c r="K69" s="35">
        <v>1.3056291249773149</v>
      </c>
      <c r="L69" s="35">
        <v>1.221328635953026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1.3129023735171854</v>
      </c>
      <c r="J70" s="35">
        <v>1.3230412764878841</v>
      </c>
      <c r="K70" s="35">
        <v>1.3921036831834332</v>
      </c>
      <c r="L70" s="35">
        <v>1.2875737428485394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1.4812081628307818</v>
      </c>
      <c r="J71" s="35">
        <v>1.4913470658014805</v>
      </c>
      <c r="K71" s="35">
        <v>1.6112416055357048</v>
      </c>
      <c r="L71" s="35">
        <v>1.421569527250828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1.6495139521443782</v>
      </c>
      <c r="J72" s="35">
        <v>1.6596528551150767</v>
      </c>
      <c r="K72" s="35">
        <v>1.7974467021280414</v>
      </c>
      <c r="L72" s="35">
        <v>1.5530560273010137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1.5967916566967455</v>
      </c>
      <c r="J73" s="35">
        <v>1.6069305596674441</v>
      </c>
      <c r="K73" s="35">
        <v>1.7150628565556256</v>
      </c>
      <c r="L73" s="35">
        <v>1.5134093345377897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1.7301182307614316</v>
      </c>
      <c r="J74" s="35">
        <v>1.7402571337321302</v>
      </c>
      <c r="K74" s="35">
        <v>1.883610573298689</v>
      </c>
      <c r="L74" s="35">
        <v>1.6378698384020876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2.1331396238467</v>
      </c>
      <c r="J75" s="35">
        <v>2.1432785268173986</v>
      </c>
      <c r="K75" s="35">
        <v>2.5690897358930584</v>
      </c>
      <c r="L75" s="35">
        <v>2.0242996286259158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2.7414738020886142</v>
      </c>
      <c r="J76" s="35">
        <v>2.7516127050593129</v>
      </c>
      <c r="K76" s="35">
        <v>3.214438489739079</v>
      </c>
      <c r="L76" s="35">
        <v>2.4433501154270805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2.8215711355571327</v>
      </c>
      <c r="J77" s="35">
        <v>2.8317100385278313</v>
      </c>
      <c r="K77" s="35">
        <v>3.0716260157675377</v>
      </c>
      <c r="L77" s="35">
        <v>2.500059941784603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2.66391119436277</v>
      </c>
      <c r="J78" s="35">
        <v>2.6740500973334687</v>
      </c>
      <c r="K78" s="35">
        <v>2.8297043774807196</v>
      </c>
      <c r="L78" s="35">
        <v>2.3866402890695571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2.2918134553381324</v>
      </c>
      <c r="J79" s="35">
        <v>2.301952358308831</v>
      </c>
      <c r="K79" s="35">
        <v>2.3978493981759121</v>
      </c>
      <c r="L79" s="35">
        <v>2.1136301515607747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1.8203544672006491</v>
      </c>
      <c r="J80" s="35">
        <v>1.8304933701713477</v>
      </c>
      <c r="K80" s="35">
        <v>1.8294992479541416</v>
      </c>
      <c r="L80" s="35">
        <v>1.7849139014353106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1.7833474713575992</v>
      </c>
      <c r="J81" s="35">
        <v>1.7934863743282978</v>
      </c>
      <c r="K81" s="35">
        <v>1.7846049713285701</v>
      </c>
      <c r="L81" s="35">
        <v>1.7156576533172738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1.8411392182905812</v>
      </c>
      <c r="J82" s="35">
        <v>1.8512781212612797</v>
      </c>
      <c r="K82" s="35">
        <v>1.8112722752065049</v>
      </c>
      <c r="L82" s="35">
        <v>1.7753786208973199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2.1331396238467</v>
      </c>
      <c r="J83" s="35">
        <v>2.1432785268173986</v>
      </c>
      <c r="K83" s="35">
        <v>2.0927029481707287</v>
      </c>
      <c r="L83" s="35">
        <v>2.0017160694569909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2.1356743495893746</v>
      </c>
      <c r="J84" s="35">
        <v>2.1458132525600733</v>
      </c>
      <c r="K84" s="35">
        <v>2.1089104551878037</v>
      </c>
      <c r="L84" s="35">
        <v>2.0017160694569909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2.1072854212714183</v>
      </c>
      <c r="J85" s="35">
        <v>2.1174243242421174</v>
      </c>
      <c r="K85" s="35">
        <v>2.0999523123317205</v>
      </c>
      <c r="L85" s="35">
        <v>2.0037234969386732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1.9714241214640575</v>
      </c>
      <c r="J86" s="35">
        <v>1.9815630244347562</v>
      </c>
      <c r="K86" s="35">
        <v>2.0906317012675886</v>
      </c>
      <c r="L86" s="35">
        <v>1.9244301114122251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2.3024593034573657</v>
      </c>
      <c r="J87" s="35">
        <v>2.3125982064280648</v>
      </c>
      <c r="K87" s="35">
        <v>2.6565999175507473</v>
      </c>
      <c r="L87" s="35">
        <v>2.1342062832480173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2.7587099371388017</v>
      </c>
      <c r="J88" s="35">
        <v>2.7688488401095004</v>
      </c>
      <c r="K88" s="35">
        <v>3.0663443361645291</v>
      </c>
      <c r="L88" s="35">
        <v>2.4980525143029211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2.8033211102098754</v>
      </c>
      <c r="J89" s="35">
        <v>2.813460013180574</v>
      </c>
      <c r="K89" s="35">
        <v>2.9882583279161299</v>
      </c>
      <c r="L89" s="35">
        <v>2.564799478068855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2.6877376163439113</v>
      </c>
      <c r="J90" s="35">
        <v>2.6978765193146104</v>
      </c>
      <c r="K90" s="35">
        <v>2.8300668456887688</v>
      </c>
      <c r="L90" s="35">
        <v>2.4503761116129676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2.3049940292000404</v>
      </c>
      <c r="J91" s="35">
        <v>2.315132932170739</v>
      </c>
      <c r="K91" s="35">
        <v>2.4358567788485415</v>
      </c>
      <c r="L91" s="35">
        <v>2.1116227240790924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1.74329880462334</v>
      </c>
      <c r="J92" s="35">
        <v>1.7534377075940386</v>
      </c>
      <c r="K92" s="35">
        <v>1.7398142570481552</v>
      </c>
      <c r="L92" s="35">
        <v>1.7512894911171333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1.7204862729392683</v>
      </c>
      <c r="J93" s="35">
        <v>1.7306251759099667</v>
      </c>
      <c r="K93" s="35">
        <v>1.6770036947104177</v>
      </c>
      <c r="L93" s="35">
        <v>1.6760109605540499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1.8244100283889286</v>
      </c>
      <c r="J94" s="35">
        <v>1.8345489313596273</v>
      </c>
      <c r="K94" s="35">
        <v>1.767672527895396</v>
      </c>
      <c r="L94" s="35">
        <v>1.7889287563986751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2.0033616658217581</v>
      </c>
      <c r="J95" s="35">
        <v>2.0135005687924568</v>
      </c>
      <c r="K95" s="35">
        <v>1.9310421273806078</v>
      </c>
      <c r="L95" s="35">
        <v>1.8807685636856366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2.0226255814660856</v>
      </c>
      <c r="J96" s="35">
        <v>2.0327644844367843</v>
      </c>
      <c r="K96" s="35">
        <v>1.9597806781616831</v>
      </c>
      <c r="L96" s="35">
        <v>1.899839124761618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1.9937297079995946</v>
      </c>
      <c r="J97" s="35">
        <v>2.0038686109702928</v>
      </c>
      <c r="K97" s="35">
        <v>1.9548614667667243</v>
      </c>
      <c r="L97" s="35">
        <v>1.8812704205560575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1.88321566561898</v>
      </c>
      <c r="J98" s="35">
        <v>1.8933545685896787</v>
      </c>
      <c r="K98" s="35">
        <v>1.9448677004590713</v>
      </c>
      <c r="L98" s="35">
        <v>1.852162722071665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2.2598759109804321</v>
      </c>
      <c r="J99" s="35">
        <v>2.2700148139511307</v>
      </c>
      <c r="K99" s="35">
        <v>2.5257488944448419</v>
      </c>
      <c r="L99" s="35">
        <v>2.0293181973301215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2.6857098357497717</v>
      </c>
      <c r="J100" s="35">
        <v>2.6958487387204708</v>
      </c>
      <c r="K100" s="35">
        <v>2.9315579439426571</v>
      </c>
      <c r="L100" s="35">
        <v>2.418257271906052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2.7805085785258035</v>
      </c>
      <c r="J101" s="35">
        <v>2.7906474814965025</v>
      </c>
      <c r="K101" s="35">
        <v>2.9695135434427078</v>
      </c>
      <c r="L101" s="35">
        <v>2.5698180467730602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2.6725292618878638</v>
      </c>
      <c r="J102" s="35">
        <v>2.6826681648585629</v>
      </c>
      <c r="K102" s="35">
        <v>2.8190892371021241</v>
      </c>
      <c r="L102" s="35">
        <v>2.495543229950818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2.315132932170739</v>
      </c>
      <c r="J103" s="35">
        <v>2.3252718351414381</v>
      </c>
      <c r="K103" s="35">
        <v>2.5277683601754042</v>
      </c>
      <c r="L103" s="35">
        <v>2.1618084111211484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1.7863891422488087</v>
      </c>
      <c r="J104" s="35">
        <v>1.7965280452195074</v>
      </c>
      <c r="K104" s="35">
        <v>1.760526726079561</v>
      </c>
      <c r="L104" s="35">
        <v>1.7839101876944694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1.8635461938558251</v>
      </c>
      <c r="J105" s="35">
        <v>1.8736850968265235</v>
      </c>
      <c r="K105" s="35">
        <v>1.8483475947727208</v>
      </c>
      <c r="L105" s="35">
        <v>1.8176349693867309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1.9217434969076348</v>
      </c>
      <c r="J106" s="35">
        <v>1.9318823998783332</v>
      </c>
      <c r="K106" s="35">
        <v>1.8968665534787885</v>
      </c>
      <c r="L106" s="35">
        <v>1.8852852755194218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2.0676423106559869</v>
      </c>
      <c r="J107" s="35">
        <v>2.077781213626686</v>
      </c>
      <c r="K107" s="35">
        <v>2.0201575253882305</v>
      </c>
      <c r="L107" s="35">
        <v>1.9444040148549633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2.1086034786576091</v>
      </c>
      <c r="J108" s="35">
        <v>2.1187423816283082</v>
      </c>
      <c r="K108" s="35">
        <v>2.0569221579189754</v>
      </c>
      <c r="L108" s="35">
        <v>1.9849540499849443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2.1880924779478859</v>
      </c>
      <c r="J109" s="35">
        <v>2.1982313809185845</v>
      </c>
      <c r="K109" s="35">
        <v>2.0960169432157536</v>
      </c>
      <c r="L109" s="35">
        <v>2.0736823446752988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2.1642660559667446</v>
      </c>
      <c r="J110" s="35">
        <v>2.1744049589374432</v>
      </c>
      <c r="K110" s="35">
        <v>2.1103085468474232</v>
      </c>
      <c r="L110" s="35">
        <v>2.1303921710328213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2.4653914741964922</v>
      </c>
      <c r="J111" s="35">
        <v>2.4755303771671908</v>
      </c>
      <c r="K111" s="35">
        <v>2.6407030975691432</v>
      </c>
      <c r="L111" s="35">
        <v>2.2327709725986149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2.7096376467606205</v>
      </c>
      <c r="J112" s="35">
        <v>2.7197765497313195</v>
      </c>
      <c r="K112" s="35">
        <v>2.9076350422113832</v>
      </c>
      <c r="L112" s="35">
        <v>2.4419449161899025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2.7744252367433844</v>
      </c>
      <c r="J113" s="35">
        <v>2.784564139714083</v>
      </c>
      <c r="K113" s="35">
        <v>2.9026122684712674</v>
      </c>
      <c r="L113" s="35">
        <v>2.5637957643280131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2.7012223572949408</v>
      </c>
      <c r="J114" s="35">
        <v>2.7113612602656394</v>
      </c>
      <c r="K114" s="35">
        <v>2.807800941480008</v>
      </c>
      <c r="L114" s="35">
        <v>2.5239483288166213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2.4583956311467099</v>
      </c>
      <c r="J115" s="35">
        <v>2.4685345341174085</v>
      </c>
      <c r="K115" s="35">
        <v>2.600003095922431</v>
      </c>
      <c r="L115" s="35">
        <v>2.3036331627019973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2.0531436794078881</v>
      </c>
      <c r="J116" s="35">
        <v>2.0632825823785867</v>
      </c>
      <c r="K116" s="35">
        <v>2.0136330976433379</v>
      </c>
      <c r="L116" s="35">
        <v>2.0479872729097659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2.0066061147723815</v>
      </c>
      <c r="J117" s="35">
        <v>2.0167450177430801</v>
      </c>
      <c r="K117" s="35">
        <v>2.0196397136624453</v>
      </c>
      <c r="L117" s="35">
        <v>1.9592589782194116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2.0190769654263407</v>
      </c>
      <c r="J118" s="35">
        <v>2.0292158683970394</v>
      </c>
      <c r="K118" s="35">
        <v>2.0260605790621811</v>
      </c>
      <c r="L118" s="35">
        <v>1.9816417946401685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2.1319229554902162</v>
      </c>
      <c r="J119" s="35">
        <v>2.1420618584609148</v>
      </c>
      <c r="K119" s="35">
        <v>2.1092729233958534</v>
      </c>
      <c r="L119" s="35">
        <v>2.00803946602429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2.194581375849133</v>
      </c>
      <c r="J120" s="35">
        <v>2.2047202788198321</v>
      </c>
      <c r="K120" s="35">
        <v>2.1540636376762681</v>
      </c>
      <c r="L120" s="35">
        <v>2.0700689752082706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2.3825566369258846</v>
      </c>
      <c r="J121" s="35">
        <v>2.3926955398965837</v>
      </c>
      <c r="K121" s="35">
        <v>2.2372759820099404</v>
      </c>
      <c r="L121" s="35">
        <v>2.2661946401686235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2.4452150572848019</v>
      </c>
      <c r="J122" s="35">
        <v>2.4553539602555006</v>
      </c>
      <c r="K122" s="35">
        <v>2.2756976120631975</v>
      </c>
      <c r="L122" s="35">
        <v>2.4085212486198939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2.6708056483828448</v>
      </c>
      <c r="J123" s="35">
        <v>2.6809445513535439</v>
      </c>
      <c r="K123" s="35">
        <v>2.7557608630386019</v>
      </c>
      <c r="L123" s="35">
        <v>2.4361233764930241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2.7334640687417622</v>
      </c>
      <c r="J124" s="35">
        <v>2.7436029717124608</v>
      </c>
      <c r="K124" s="35">
        <v>2.8837639216526885</v>
      </c>
      <c r="L124" s="35">
        <v>2.4655321890996689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2.7682405059312583</v>
      </c>
      <c r="J125" s="35">
        <v>2.7783794089019569</v>
      </c>
      <c r="K125" s="35">
        <v>2.8357627746724057</v>
      </c>
      <c r="L125" s="35">
        <v>2.5576731105088828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2.7298140636723107</v>
      </c>
      <c r="J126" s="35">
        <v>2.7399529666430094</v>
      </c>
      <c r="K126" s="35">
        <v>2.7965126458578924</v>
      </c>
      <c r="L126" s="35">
        <v>2.5522530563083405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2.6017597191523874</v>
      </c>
      <c r="J127" s="35">
        <v>2.6118986221230864</v>
      </c>
      <c r="K127" s="35">
        <v>2.6722378316694586</v>
      </c>
      <c r="L127" s="35">
        <v>2.4455582856569307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2.3198982165669673</v>
      </c>
      <c r="J128" s="35">
        <v>2.3300371195376659</v>
      </c>
      <c r="K128" s="35">
        <v>2.2666359068619575</v>
      </c>
      <c r="L128" s="35">
        <v>2.3120643581250624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2.3327746233397546</v>
      </c>
      <c r="J129" s="35">
        <v>2.3429135263104532</v>
      </c>
      <c r="K129" s="35">
        <v>2.2143369225576577</v>
      </c>
      <c r="L129" s="35">
        <v>2.2821536886479974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2.3455496410828345</v>
      </c>
      <c r="J130" s="35">
        <v>2.3556885440535336</v>
      </c>
      <c r="K130" s="35">
        <v>2.1685105848256736</v>
      </c>
      <c r="L130" s="35">
        <v>2.3048376191910065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2.42240252560073</v>
      </c>
      <c r="J131" s="35">
        <v>2.4325414285714286</v>
      </c>
      <c r="K131" s="35">
        <v>2.1750867937431448</v>
      </c>
      <c r="L131" s="35">
        <v>2.2956034527752682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2.4351775433438103</v>
      </c>
      <c r="J132" s="35">
        <v>2.445316446314509</v>
      </c>
      <c r="K132" s="35">
        <v>2.2208613503025507</v>
      </c>
      <c r="L132" s="35">
        <v>2.3082502459098664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2.4864803923755452</v>
      </c>
      <c r="J133" s="35">
        <v>2.4966192953462438</v>
      </c>
      <c r="K133" s="35">
        <v>2.292837180186686</v>
      </c>
      <c r="L133" s="35">
        <v>2.3690752986048378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2.4992554101186251</v>
      </c>
      <c r="J134" s="35">
        <v>2.5093943130893241</v>
      </c>
      <c r="K134" s="35">
        <v>2.4825116153417826</v>
      </c>
      <c r="L134" s="35">
        <v>2.4620191910067248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2.7810155236743381</v>
      </c>
      <c r="J135" s="35">
        <v>2.7911544266450372</v>
      </c>
      <c r="K135" s="35">
        <v>2.82271391918262</v>
      </c>
      <c r="L135" s="35">
        <v>2.5452270601224529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2.8962948504511812</v>
      </c>
      <c r="J136" s="35">
        <v>2.9064337534218798</v>
      </c>
      <c r="K136" s="35">
        <v>3.0582146920697024</v>
      </c>
      <c r="L136" s="35">
        <v>2.6267286158787511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2.9210337736996856</v>
      </c>
      <c r="J137" s="35">
        <v>2.9311726766703847</v>
      </c>
      <c r="K137" s="35">
        <v>2.9982520942237834</v>
      </c>
      <c r="L137" s="35">
        <v>2.7089327712536382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2.9210337736996856</v>
      </c>
      <c r="J138" s="35">
        <v>2.9311726766703847</v>
      </c>
      <c r="K138" s="35">
        <v>2.9380823716875497</v>
      </c>
      <c r="L138" s="35">
        <v>2.7415534678309745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2.7639821666835647</v>
      </c>
      <c r="J139" s="35">
        <v>2.7741210696542637</v>
      </c>
      <c r="K139" s="35">
        <v>2.7374821091183863</v>
      </c>
      <c r="L139" s="35">
        <v>2.6061524841915085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2.3842802504309035</v>
      </c>
      <c r="J140" s="35">
        <v>2.3944191534016022</v>
      </c>
      <c r="K140" s="35">
        <v>2.3965030876888709</v>
      </c>
      <c r="L140" s="35">
        <v>2.375800180668473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2.3712010655987021</v>
      </c>
      <c r="J141" s="35">
        <v>2.3813399685694008</v>
      </c>
      <c r="K141" s="35">
        <v>2.2294052437780061</v>
      </c>
      <c r="L141" s="35">
        <v>2.3201944394258756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2.3842802504309035</v>
      </c>
      <c r="J142" s="35">
        <v>2.3944191534016022</v>
      </c>
      <c r="K142" s="35">
        <v>2.2026861587274924</v>
      </c>
      <c r="L142" s="35">
        <v>2.3431794840911371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2.5283540616445297</v>
      </c>
      <c r="J143" s="35">
        <v>2.5384929646152288</v>
      </c>
      <c r="K143" s="35">
        <v>2.2227254725153776</v>
      </c>
      <c r="L143" s="35">
        <v>2.4004915386931649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2.5545124313089325</v>
      </c>
      <c r="J144" s="35">
        <v>2.5646513342796311</v>
      </c>
      <c r="K144" s="35">
        <v>2.2828951950516103</v>
      </c>
      <c r="L144" s="35">
        <v>2.4263873532068652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2.6592472989962488</v>
      </c>
      <c r="J145" s="35">
        <v>2.6693862019669474</v>
      </c>
      <c r="K145" s="35">
        <v>2.4232739539119628</v>
      </c>
      <c r="L145" s="35">
        <v>2.5401081200441635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2.6723264838284497</v>
      </c>
      <c r="J146" s="35">
        <v>2.6824653867991488</v>
      </c>
      <c r="K146" s="35">
        <v>2.6505933015316394</v>
      </c>
      <c r="L146" s="35">
        <v>2.6333531265683026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2.9210337736996856</v>
      </c>
      <c r="J147" s="35">
        <v>2.9311726766703847</v>
      </c>
      <c r="K147" s="35">
        <v>2.9179912767270864</v>
      </c>
      <c r="L147" s="35">
        <v>2.6838399277326106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3.1174243242421174</v>
      </c>
      <c r="J148" s="35">
        <v>3.127563227212816</v>
      </c>
      <c r="K148" s="35">
        <v>3.2589702981566013</v>
      </c>
      <c r="L148" s="35">
        <v>2.8456385827561976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3.1327340677278719</v>
      </c>
      <c r="J149" s="35">
        <v>3.142872970698571</v>
      </c>
      <c r="K149" s="35">
        <v>3.2211182610017079</v>
      </c>
      <c r="L149" s="35">
        <v>2.9185082003412623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3.0925840119639054</v>
      </c>
      <c r="J150" s="35">
        <v>3.1027229149346045</v>
      </c>
      <c r="K150" s="35">
        <v>3.0503439538377681</v>
      </c>
      <c r="L150" s="35">
        <v>2.9113818327812906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2.918600436986718</v>
      </c>
      <c r="J151" s="35">
        <v>2.9287393399574166</v>
      </c>
      <c r="K151" s="35">
        <v>2.8999714286697627</v>
      </c>
      <c r="L151" s="35">
        <v>2.7592188296697779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2.6911848433539491</v>
      </c>
      <c r="J152" s="35">
        <v>2.7013237463246478</v>
      </c>
      <c r="K152" s="35">
        <v>2.6403924105336722</v>
      </c>
      <c r="L152" s="35">
        <v>2.679624330021078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2.7045681952752716</v>
      </c>
      <c r="J153" s="35">
        <v>2.7147070982459702</v>
      </c>
      <c r="K153" s="35">
        <v>2.435390748295335</v>
      </c>
      <c r="L153" s="35">
        <v>2.6502155174144333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2.7179515471965936</v>
      </c>
      <c r="J154" s="35">
        <v>2.7280904501672922</v>
      </c>
      <c r="K154" s="35">
        <v>2.4012151743935157</v>
      </c>
      <c r="L154" s="35">
        <v>2.6735016762019472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2.8116350106458481</v>
      </c>
      <c r="J155" s="35">
        <v>2.8217739136165472</v>
      </c>
      <c r="K155" s="35">
        <v>2.4217205187346069</v>
      </c>
      <c r="L155" s="35">
        <v>2.6809291578841714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2.8250183625671701</v>
      </c>
      <c r="J156" s="35">
        <v>2.8351572655378692</v>
      </c>
      <c r="K156" s="35">
        <v>2.5037418960989739</v>
      </c>
      <c r="L156" s="35">
        <v>2.694178179263274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2.8785517702524586</v>
      </c>
      <c r="J157" s="35">
        <v>2.8886906732231576</v>
      </c>
      <c r="K157" s="35">
        <v>2.613051951412217</v>
      </c>
      <c r="L157" s="35">
        <v>2.757211402188096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2.905217085065396</v>
      </c>
      <c r="J158" s="35">
        <v>2.9153559880360946</v>
      </c>
      <c r="K158" s="35">
        <v>2.8385071768190668</v>
      </c>
      <c r="L158" s="35">
        <v>2.8639061728395063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3.1595007715705159</v>
      </c>
      <c r="J159" s="35">
        <v>3.1696396745412145</v>
      </c>
      <c r="K159" s="35">
        <v>3.1733242387117384</v>
      </c>
      <c r="L159" s="35">
        <v>2.9199133995784399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3.3869163652032848</v>
      </c>
      <c r="J160" s="35">
        <v>3.3970552681739838</v>
      </c>
      <c r="K160" s="35">
        <v>3.3919443493382255</v>
      </c>
      <c r="L160" s="35">
        <v>3.1124256950717655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3.4240247500760419</v>
      </c>
      <c r="J161" s="35">
        <v>3.434163653046741</v>
      </c>
      <c r="K161" s="35">
        <v>3.4068573270408375</v>
      </c>
      <c r="L161" s="35">
        <v>3.2068751580849142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3.2871495599716112</v>
      </c>
      <c r="J162" s="35">
        <v>3.2972884629423098</v>
      </c>
      <c r="K162" s="35">
        <v>3.2460767861845516</v>
      </c>
      <c r="L162" s="35">
        <v>3.1039944996487003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3.2050244459089527</v>
      </c>
      <c r="J163" s="35">
        <v>3.2151633488796514</v>
      </c>
      <c r="K163" s="35">
        <v>3.1621912866073587</v>
      </c>
      <c r="L163" s="35">
        <v>3.0427679614573924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2.876523989658319</v>
      </c>
      <c r="J164" s="35">
        <v>2.8866628926290181</v>
      </c>
      <c r="K164" s="35">
        <v>2.6798496640385001</v>
      </c>
      <c r="L164" s="35">
        <v>2.8631032018468332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2.876523989658319</v>
      </c>
      <c r="J165" s="35">
        <v>2.8866628926290181</v>
      </c>
      <c r="K165" s="35">
        <v>2.623977778826283</v>
      </c>
      <c r="L165" s="35">
        <v>2.8204453678610859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2.876523989658319</v>
      </c>
      <c r="J166" s="35">
        <v>2.8866628926290181</v>
      </c>
      <c r="K166" s="35">
        <v>2.6519396120186807</v>
      </c>
      <c r="L166" s="35">
        <v>2.8304825052694973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3.1365868508567374</v>
      </c>
      <c r="J167" s="35">
        <v>3.1467257538274365</v>
      </c>
      <c r="K167" s="35">
        <v>2.7218441949996746</v>
      </c>
      <c r="L167" s="35">
        <v>3.0026194118237477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3.1502743698671805</v>
      </c>
      <c r="J168" s="35">
        <v>3.1604132728378795</v>
      </c>
      <c r="K168" s="35">
        <v>2.8336397465966865</v>
      </c>
      <c r="L168" s="35">
        <v>3.0161695473251031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3.2187119649193958</v>
      </c>
      <c r="J169" s="35">
        <v>3.2288508678900945</v>
      </c>
      <c r="K169" s="35">
        <v>2.9454870793662771</v>
      </c>
      <c r="L169" s="35">
        <v>3.0939573622402889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3.246087002940282</v>
      </c>
      <c r="J170" s="35">
        <v>3.256225905910981</v>
      </c>
      <c r="K170" s="35">
        <v>3.2670481610788498</v>
      </c>
      <c r="L170" s="35">
        <v>3.2013547325102878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3.3966497120551558</v>
      </c>
      <c r="J171" s="35">
        <v>3.4067886150258544</v>
      </c>
      <c r="K171" s="35">
        <v>3.4278287019351357</v>
      </c>
      <c r="L171" s="35">
        <v>3.1546820435611762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3.6702987032343102</v>
      </c>
      <c r="J172" s="35">
        <v>3.6804376062050088</v>
      </c>
      <c r="K172" s="35">
        <v>3.6864238777922353</v>
      </c>
      <c r="L172" s="35">
        <v>3.3929636856368561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3.7129834847409509</v>
      </c>
      <c r="J173" s="35">
        <v>3.7231223877116499</v>
      </c>
      <c r="K173" s="35">
        <v>3.7066185350978555</v>
      </c>
      <c r="L173" s="35">
        <v>3.4929335742246312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3.5169984903173477</v>
      </c>
      <c r="J174" s="35">
        <v>3.5271373932880468</v>
      </c>
      <c r="K174" s="35">
        <v>3.4920891371050713</v>
      </c>
      <c r="L174" s="35">
        <v>3.3315364046973803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3.4189552985906926</v>
      </c>
      <c r="J175" s="35">
        <v>3.4290942015613912</v>
      </c>
      <c r="K175" s="35">
        <v>3.3777045268791337</v>
      </c>
      <c r="L175" s="35">
        <v>3.2545515607748667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3.1109354263408702</v>
      </c>
      <c r="J176" s="35">
        <v>3.1210743293115688</v>
      </c>
      <c r="K176" s="35">
        <v>3.0702279241079173</v>
      </c>
      <c r="L176" s="35">
        <v>3.0951618187292986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3.1109354263408702</v>
      </c>
      <c r="J177" s="35">
        <v>3.1210743293115688</v>
      </c>
      <c r="K177" s="35">
        <v>2.8700419109193822</v>
      </c>
      <c r="L177" s="35">
        <v>3.0525039847435513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3.1249271124404339</v>
      </c>
      <c r="J178" s="35">
        <v>3.1350660154111325</v>
      </c>
      <c r="K178" s="35">
        <v>2.8628961091035467</v>
      </c>
      <c r="L178" s="35">
        <v>3.0763923717755697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3.3489968680928723</v>
      </c>
      <c r="J179" s="35">
        <v>3.359135771063571</v>
      </c>
      <c r="K179" s="35">
        <v>2.9344059084344751</v>
      </c>
      <c r="L179" s="35">
        <v>3.2128974405299604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3.3769802402920006</v>
      </c>
      <c r="J180" s="35">
        <v>3.3871191432626993</v>
      </c>
      <c r="K180" s="35">
        <v>3.0273531132129077</v>
      </c>
      <c r="L180" s="35">
        <v>3.2405999397771752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3.4189552985906926</v>
      </c>
      <c r="J181" s="35">
        <v>3.4290942015613912</v>
      </c>
      <c r="K181" s="35">
        <v>3.1417377234388457</v>
      </c>
      <c r="L181" s="35">
        <v>3.2921908260564088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3.4470400598195279</v>
      </c>
      <c r="J182" s="35">
        <v>3.4571789627902265</v>
      </c>
      <c r="K182" s="35">
        <v>3.4563601280258971</v>
      </c>
      <c r="L182" s="35">
        <v>3.4002907959449962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3.6430250542431311</v>
      </c>
      <c r="J183" s="35">
        <v>3.6531639572138297</v>
      </c>
      <c r="K183" s="35">
        <v>3.6780353278345159</v>
      </c>
      <c r="L183" s="35">
        <v>3.3985844825855662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3.9790282986920813</v>
      </c>
      <c r="J184" s="35">
        <v>3.9891672016627804</v>
      </c>
      <c r="K184" s="35">
        <v>4.0355325433165774</v>
      </c>
      <c r="L184" s="35">
        <v>3.6985945197229748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4.027796421981142</v>
      </c>
      <c r="J185" s="35">
        <v>4.0379353249518406</v>
      </c>
      <c r="K185" s="35">
        <v>4.0769574813793872</v>
      </c>
      <c r="L185" s="35">
        <v>3.8045866907557961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3.8559420166278007</v>
      </c>
      <c r="J186" s="35">
        <v>3.8660809195984998</v>
      </c>
      <c r="K186" s="35">
        <v>3.8574570908190671</v>
      </c>
      <c r="L186" s="35">
        <v>3.667077908260564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3.6983834644631455</v>
      </c>
      <c r="J187" s="35">
        <v>3.7085223674338441</v>
      </c>
      <c r="K187" s="35">
        <v>3.6746177704443341</v>
      </c>
      <c r="L187" s="35">
        <v>3.5311750677506772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3.3116857051607016</v>
      </c>
      <c r="J188" s="35">
        <v>3.3218246081314002</v>
      </c>
      <c r="K188" s="35">
        <v>3.3015344220161396</v>
      </c>
      <c r="L188" s="35">
        <v>3.2938971394158387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3.3116857051607016</v>
      </c>
      <c r="J189" s="35">
        <v>3.3218246081314002</v>
      </c>
      <c r="K189" s="35">
        <v>3.0747846672948271</v>
      </c>
      <c r="L189" s="35">
        <v>3.2512393054300914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3.3403788005677786</v>
      </c>
      <c r="J190" s="35">
        <v>3.3505177035384777</v>
      </c>
      <c r="K190" s="35">
        <v>3.0966881032955378</v>
      </c>
      <c r="L190" s="35">
        <v>3.2896815417043057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3.5695180077055664</v>
      </c>
      <c r="J191" s="35">
        <v>3.5796569106762655</v>
      </c>
      <c r="K191" s="35">
        <v>3.1552526094818378</v>
      </c>
      <c r="L191" s="35">
        <v>3.4312051791629026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3.5981097140829363</v>
      </c>
      <c r="J192" s="35">
        <v>3.6082486170536354</v>
      </c>
      <c r="K192" s="35">
        <v>3.286932131348999</v>
      </c>
      <c r="L192" s="35">
        <v>3.4595099066546222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3.6268028094900133</v>
      </c>
      <c r="J193" s="35">
        <v>3.636941712460712</v>
      </c>
      <c r="K193" s="35">
        <v>3.3454448563627199</v>
      </c>
      <c r="L193" s="35">
        <v>3.4979521429288365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3.6697917580857755</v>
      </c>
      <c r="J194" s="35">
        <v>3.6799306610564742</v>
      </c>
      <c r="K194" s="35">
        <v>3.594149828257323</v>
      </c>
      <c r="L194" s="35">
        <v>3.6208067048077885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3.8846351120348781</v>
      </c>
      <c r="J195" s="35">
        <v>3.8947740150055767</v>
      </c>
      <c r="K195" s="35">
        <v>3.9379768141786569</v>
      </c>
      <c r="L195" s="35">
        <v>3.6377694670280034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4.1137743191726655</v>
      </c>
      <c r="J196" s="35">
        <v>4.1239132221433632</v>
      </c>
      <c r="K196" s="35">
        <v>4.179380640739689</v>
      </c>
      <c r="L196" s="35">
        <v>3.8319880758807585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4.131314621311974</v>
      </c>
      <c r="J197" s="35">
        <v>4.1414535242826727</v>
      </c>
      <c r="K197" s="35">
        <v>4.1813483252976731</v>
      </c>
      <c r="L197" s="35">
        <v>3.9070658636956739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3.9849088624150868</v>
      </c>
      <c r="J198" s="35">
        <v>3.9950477653857859</v>
      </c>
      <c r="K198" s="35">
        <v>3.9869618034379308</v>
      </c>
      <c r="L198" s="35">
        <v>3.7947502960955535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3.8678045331035187</v>
      </c>
      <c r="J199" s="35">
        <v>3.8779434360742173</v>
      </c>
      <c r="K199" s="35">
        <v>3.8225047993285699</v>
      </c>
      <c r="L199" s="35">
        <v>3.6988956338452272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3.5018915248910072</v>
      </c>
      <c r="J200" s="35">
        <v>3.5120304278617058</v>
      </c>
      <c r="K200" s="35">
        <v>3.4860825210859638</v>
      </c>
      <c r="L200" s="35">
        <v>3.4821938371976309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3.4872915046132009</v>
      </c>
      <c r="J201" s="35">
        <v>3.4974304075838996</v>
      </c>
      <c r="K201" s="35">
        <v>3.2318887448980385</v>
      </c>
      <c r="L201" s="35">
        <v>3.4250825253437718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3.5164915451688126</v>
      </c>
      <c r="J202" s="35">
        <v>3.5266304481395117</v>
      </c>
      <c r="K202" s="35">
        <v>3.2244322560467324</v>
      </c>
      <c r="L202" s="35">
        <v>3.4640266184884068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3.765401613099463</v>
      </c>
      <c r="J203" s="35">
        <v>3.7755405160701616</v>
      </c>
      <c r="K203" s="35">
        <v>3.3216255169766034</v>
      </c>
      <c r="L203" s="35">
        <v>3.6251226738934057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3.7947030426847816</v>
      </c>
      <c r="J204" s="35">
        <v>3.8048419456554803</v>
      </c>
      <c r="K204" s="35">
        <v>3.4412400256329709</v>
      </c>
      <c r="L204" s="35">
        <v>3.6541300010037134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3.8532045128257124</v>
      </c>
      <c r="J205" s="35">
        <v>3.8633434157964111</v>
      </c>
      <c r="K205" s="35">
        <v>3.5309767977115358</v>
      </c>
      <c r="L205" s="35">
        <v>3.722081421258657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3.8971059626888369</v>
      </c>
      <c r="J206" s="35">
        <v>3.907244865659536</v>
      </c>
      <c r="K206" s="35">
        <v>3.7777140850481556</v>
      </c>
      <c r="L206" s="35">
        <v>3.8458393255043664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4.1167146010341682</v>
      </c>
      <c r="J207" s="35">
        <v>4.1268535040048668</v>
      </c>
      <c r="K207" s="35">
        <v>4.1738918364463657</v>
      </c>
      <c r="L207" s="35">
        <v>3.8675195423065341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4.3362218503497925</v>
      </c>
      <c r="J208" s="35">
        <v>4.3463607533204902</v>
      </c>
      <c r="K208" s="35">
        <v>4.4355421014855976</v>
      </c>
      <c r="L208" s="35">
        <v>4.0522028706212989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4.3721135668660649</v>
      </c>
      <c r="J209" s="35">
        <v>4.3822524698367635</v>
      </c>
      <c r="K209" s="35">
        <v>4.4412380304692345</v>
      </c>
      <c r="L209" s="35">
        <v>4.1454478771454379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4.2224633590185547</v>
      </c>
      <c r="J210" s="35">
        <v>4.2326022619892534</v>
      </c>
      <c r="K210" s="35">
        <v>4.1891155011844496</v>
      </c>
      <c r="L210" s="35">
        <v>4.0299204255746259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4.1028243039643115</v>
      </c>
      <c r="J211" s="35">
        <v>4.1129632069350093</v>
      </c>
      <c r="K211" s="35">
        <v>4.0592483203575362</v>
      </c>
      <c r="L211" s="35">
        <v>3.9315564789721971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3.6838848332150462</v>
      </c>
      <c r="J212" s="35">
        <v>3.6940237361857453</v>
      </c>
      <c r="K212" s="35">
        <v>3.654267769620978</v>
      </c>
      <c r="L212" s="35">
        <v>3.6623604536786107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3.6539750694514854</v>
      </c>
      <c r="J213" s="35">
        <v>3.6641139724221845</v>
      </c>
      <c r="K213" s="35">
        <v>3.3868697944255315</v>
      </c>
      <c r="L213" s="35">
        <v>3.5900930643380509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3.6838848332150462</v>
      </c>
      <c r="J214" s="35">
        <v>3.6940237361857453</v>
      </c>
      <c r="K214" s="35">
        <v>3.4021452403361927</v>
      </c>
      <c r="L214" s="35">
        <v>3.6297397571012748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3.9232643323532397</v>
      </c>
      <c r="J215" s="35">
        <v>3.9334032353239383</v>
      </c>
      <c r="K215" s="35">
        <v>3.4555834104372196</v>
      </c>
      <c r="L215" s="35">
        <v>3.7814009033423668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3.9830838598803608</v>
      </c>
      <c r="J216" s="35">
        <v>3.9932227628510599</v>
      </c>
      <c r="K216" s="35">
        <v>3.5778387588950906</v>
      </c>
      <c r="L216" s="35">
        <v>3.8406200140519919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4.027999200040556</v>
      </c>
      <c r="J217" s="35">
        <v>4.0381381030112546</v>
      </c>
      <c r="K217" s="35">
        <v>3.6772068290732598</v>
      </c>
      <c r="L217" s="35">
        <v>3.8951216701796643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4.0579089638041168</v>
      </c>
      <c r="J218" s="35">
        <v>4.0680478667748154</v>
      </c>
      <c r="K218" s="35">
        <v>3.9216657448164245</v>
      </c>
      <c r="L218" s="35">
        <v>4.0050283248017662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4.2972884629423094</v>
      </c>
      <c r="J219" s="35">
        <v>4.307427365913008</v>
      </c>
      <c r="K219" s="35">
        <v>4.3495335738326872</v>
      </c>
      <c r="L219" s="35">
        <v>4.0462809595503355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4.4618428581567473</v>
      </c>
      <c r="J220" s="35">
        <v>4.4719817611274459</v>
      </c>
      <c r="K220" s="35">
        <v>4.5634933789271059</v>
      </c>
      <c r="L220" s="35">
        <v>4.1765630031115126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4.4990526320592119</v>
      </c>
      <c r="J221" s="35">
        <v>4.5091915350299105</v>
      </c>
      <c r="K221" s="35">
        <v>4.5699660254994212</v>
      </c>
      <c r="L221" s="35">
        <v>4.2711128374987455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4.3309496208050282</v>
      </c>
      <c r="J222" s="35">
        <v>4.3410885237757268</v>
      </c>
      <c r="K222" s="35">
        <v>4.3201218678080906</v>
      </c>
      <c r="L222" s="35">
        <v>4.1373177958446243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4.1780549640068951</v>
      </c>
      <c r="J223" s="35">
        <v>4.1881938669775929</v>
      </c>
      <c r="K223" s="35">
        <v>4.1326740230738697</v>
      </c>
      <c r="L223" s="35">
        <v>4.0060320385426076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3.8416461634391159</v>
      </c>
      <c r="J224" s="35">
        <v>3.8517850664098146</v>
      </c>
      <c r="K224" s="35">
        <v>3.8125628141934955</v>
      </c>
      <c r="L224" s="35">
        <v>3.8185383117534877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3.8416461634391159</v>
      </c>
      <c r="J225" s="35">
        <v>3.8517850664098146</v>
      </c>
      <c r="K225" s="35">
        <v>3.5392100041515193</v>
      </c>
      <c r="L225" s="35">
        <v>3.7758804777677404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3.8569559069248704</v>
      </c>
      <c r="J226" s="35">
        <v>3.8670948098955695</v>
      </c>
      <c r="K226" s="35">
        <v>3.5158049141460315</v>
      </c>
      <c r="L226" s="35">
        <v>3.8010736926628526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4.0862978921220723</v>
      </c>
      <c r="J227" s="35">
        <v>4.0964367950927709</v>
      </c>
      <c r="K227" s="35">
        <v>3.6172960123999189</v>
      </c>
      <c r="L227" s="35">
        <v>3.9427980728696177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4.1474354770353852</v>
      </c>
      <c r="J228" s="35">
        <v>4.1575743800060838</v>
      </c>
      <c r="K228" s="35">
        <v>3.7734680288967173</v>
      </c>
      <c r="L228" s="35">
        <v>4.0033220114423367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4.2697106468620101</v>
      </c>
      <c r="J229" s="35">
        <v>4.2798495498327078</v>
      </c>
      <c r="K229" s="35">
        <v>3.9062349553880269</v>
      </c>
      <c r="L229" s="35">
        <v>4.134407025996186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4.3003301338335191</v>
      </c>
      <c r="J230" s="35">
        <v>4.3104690368042178</v>
      </c>
      <c r="K230" s="35">
        <v>4.1327258042464479</v>
      </c>
      <c r="L230" s="35">
        <v>4.245016280236876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4.529672119030721</v>
      </c>
      <c r="J231" s="35">
        <v>4.5398110220014196</v>
      </c>
      <c r="K231" s="35">
        <v>4.5933711155049091</v>
      </c>
      <c r="L231" s="35">
        <v>4.276332148951119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4.7130848737706579</v>
      </c>
      <c r="J232" s="35">
        <v>4.7232237767413565</v>
      </c>
      <c r="K232" s="35">
        <v>4.81986196436333</v>
      </c>
      <c r="L232" s="35">
        <v>4.4252832680919401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4.7545529869208156</v>
      </c>
      <c r="J233" s="35">
        <v>4.7646918898915143</v>
      </c>
      <c r="K233" s="35">
        <v>4.8298557306709835</v>
      </c>
      <c r="L233" s="35">
        <v>4.524048700190705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4.629540313292102</v>
      </c>
      <c r="J234" s="35">
        <v>4.6396792162627998</v>
      </c>
      <c r="K234" s="35">
        <v>4.6064199709946951</v>
      </c>
      <c r="L234" s="35">
        <v>4.4329114925223321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4.42645808678901</v>
      </c>
      <c r="J235" s="35">
        <v>4.4365969897597086</v>
      </c>
      <c r="K235" s="35">
        <v>4.3750099107413156</v>
      </c>
      <c r="L235" s="35">
        <v>4.25194190504868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4.0826478870526213</v>
      </c>
      <c r="J236" s="35">
        <v>4.0927867900233199</v>
      </c>
      <c r="K236" s="35">
        <v>4.0318560800635019</v>
      </c>
      <c r="L236" s="35">
        <v>4.05712106795142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4.020192244753118</v>
      </c>
      <c r="J237" s="35">
        <v>4.0303311477238166</v>
      </c>
      <c r="K237" s="35">
        <v>3.7206512328666328</v>
      </c>
      <c r="L237" s="35">
        <v>3.9526344675298604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4.0514200659028692</v>
      </c>
      <c r="J238" s="35">
        <v>4.0615589688735678</v>
      </c>
      <c r="K238" s="35">
        <v>3.7684970363291805</v>
      </c>
      <c r="L238" s="35">
        <v>3.9935859881561777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4.2545022924059621</v>
      </c>
      <c r="J239" s="35">
        <v>4.2646411953766608</v>
      </c>
      <c r="K239" s="35">
        <v>3.8084203203872145</v>
      </c>
      <c r="L239" s="35">
        <v>4.109314182475158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4.3326732343100476</v>
      </c>
      <c r="J240" s="35">
        <v>4.3428121372807462</v>
      </c>
      <c r="K240" s="35">
        <v>3.9361126919658305</v>
      </c>
      <c r="L240" s="35">
        <v>4.1867005118940073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4.4420719973638851</v>
      </c>
      <c r="J241" s="35">
        <v>4.4522109003345838</v>
      </c>
      <c r="K241" s="35">
        <v>4.0797536646986279</v>
      </c>
      <c r="L241" s="35">
        <v>4.3050383619391752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4.4732998185136372</v>
      </c>
      <c r="J242" s="35">
        <v>4.4834387214843359</v>
      </c>
      <c r="K242" s="35">
        <v>4.3271123261061897</v>
      </c>
      <c r="L242" s="35">
        <v>4.4162498444243701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4.7545529869208156</v>
      </c>
      <c r="J243" s="35">
        <v>4.7646918898915143</v>
      </c>
      <c r="K243" s="35">
        <v>4.797958528362618</v>
      </c>
      <c r="L243" s="35">
        <v>4.4989558566696779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4.9264073922741565</v>
      </c>
      <c r="J244" s="35">
        <v>4.9365462952448551</v>
      </c>
      <c r="K244" s="35">
        <v>5.0294203697885767</v>
      </c>
      <c r="L244" s="35">
        <v>4.6364646391649096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4.9712213434046442</v>
      </c>
      <c r="J245" s="35">
        <v>4.9813602463753428</v>
      </c>
      <c r="K245" s="35">
        <v>5.0256403441903457</v>
      </c>
      <c r="L245" s="35">
        <v>4.7385423266084512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4.8754087103315431</v>
      </c>
      <c r="J246" s="35">
        <v>4.8855476133022409</v>
      </c>
      <c r="K246" s="35">
        <v>4.8462185812057932</v>
      </c>
      <c r="L246" s="35">
        <v>4.6763120746763018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4.6997015218493363</v>
      </c>
      <c r="J247" s="35">
        <v>4.709840424820035</v>
      </c>
      <c r="K247" s="35">
        <v>4.6423561047641835</v>
      </c>
      <c r="L247" s="35">
        <v>4.5224427582053597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4.3164509895569303</v>
      </c>
      <c r="J248" s="35">
        <v>4.3265898925276289</v>
      </c>
      <c r="K248" s="35">
        <v>4.226346164268401</v>
      </c>
      <c r="L248" s="35">
        <v>4.2885774565893806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4.3483885339146306</v>
      </c>
      <c r="J249" s="35">
        <v>4.3585274368853293</v>
      </c>
      <c r="K249" s="35">
        <v>4.0224836878267913</v>
      </c>
      <c r="L249" s="35">
        <v>4.2775366054401287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4.3644080006083339</v>
      </c>
      <c r="J250" s="35">
        <v>4.3745469035790325</v>
      </c>
      <c r="K250" s="35">
        <v>4.0387429760164446</v>
      </c>
      <c r="L250" s="35">
        <v>4.303432419953829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4.4761387113454321</v>
      </c>
      <c r="J251" s="35">
        <v>4.4862776143161307</v>
      </c>
      <c r="K251" s="35">
        <v>3.9898615491023279</v>
      </c>
      <c r="L251" s="35">
        <v>4.3287260062230253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4.571951344418534</v>
      </c>
      <c r="J252" s="35">
        <v>4.5820902473892327</v>
      </c>
      <c r="K252" s="35">
        <v>4.1366611733624143</v>
      </c>
      <c r="L252" s="35">
        <v>4.4235769547325106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4.6199083554699376</v>
      </c>
      <c r="J253" s="35">
        <v>4.6300472584406362</v>
      </c>
      <c r="K253" s="35">
        <v>4.2345275895358059</v>
      </c>
      <c r="L253" s="35">
        <v>4.4810897520827062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4.6677639774916351</v>
      </c>
      <c r="J254" s="35">
        <v>4.6779028804623337</v>
      </c>
      <c r="K254" s="35">
        <v>4.4955046993315175</v>
      </c>
      <c r="L254" s="35">
        <v>4.6087621399176957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4.9073462546892426</v>
      </c>
      <c r="J255" s="35">
        <v>4.9174851576599412</v>
      </c>
      <c r="K255" s="35">
        <v>4.9685257108362428</v>
      </c>
      <c r="L255" s="35">
        <v>4.6502155174144333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5.146827142857143</v>
      </c>
      <c r="J256" s="35">
        <v>5.1569660458278417</v>
      </c>
      <c r="K256" s="35">
        <v>5.2539953152615917</v>
      </c>
      <c r="L256" s="35">
        <v>4.8546720064237681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5.1787646872148443</v>
      </c>
      <c r="J257" s="35">
        <v>5.188903590185542</v>
      </c>
      <c r="K257" s="35">
        <v>5.2527007859471295</v>
      </c>
      <c r="L257" s="35">
        <v>4.9440025293586265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5.0481756169522463</v>
      </c>
      <c r="J258" s="35">
        <v>5.0583145199229449</v>
      </c>
      <c r="K258" s="35">
        <v>5.0192712599631877</v>
      </c>
      <c r="L258" s="35">
        <v>4.8473448961156285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4.8033211102098754</v>
      </c>
      <c r="J259" s="35">
        <v>4.813460013180574</v>
      </c>
      <c r="K259" s="35">
        <v>4.7692199775815434</v>
      </c>
      <c r="L259" s="35">
        <v>4.6250223025193211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4.4932734573659134</v>
      </c>
      <c r="J260" s="35">
        <v>4.5034123603366121</v>
      </c>
      <c r="K260" s="35">
        <v>4.3440965507119422</v>
      </c>
      <c r="L260" s="35">
        <v>4.4636251329920702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4.4443025560174396</v>
      </c>
      <c r="J261" s="35">
        <v>4.4544414589881374</v>
      </c>
      <c r="K261" s="35">
        <v>4.1024338182880173</v>
      </c>
      <c r="L261" s="35">
        <v>4.3724879253236972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4.4606261898002639</v>
      </c>
      <c r="J262" s="35">
        <v>4.4707650927709617</v>
      </c>
      <c r="K262" s="35">
        <v>4.1191073558582989</v>
      </c>
      <c r="L262" s="35">
        <v>4.3986848539596508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4.6891570627598096</v>
      </c>
      <c r="J263" s="35">
        <v>4.6992959657305082</v>
      </c>
      <c r="K263" s="35">
        <v>4.1024338182880173</v>
      </c>
      <c r="L263" s="35">
        <v>4.5396062631737424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4.7706738426442259</v>
      </c>
      <c r="J264" s="35">
        <v>4.7808127456149236</v>
      </c>
      <c r="K264" s="35">
        <v>4.302464487958817</v>
      </c>
      <c r="L264" s="35">
        <v>4.6203048479373683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4.8522920115583501</v>
      </c>
      <c r="J265" s="35">
        <v>4.8624309145290479</v>
      </c>
      <c r="K265" s="35">
        <v>4.4608113137039132</v>
      </c>
      <c r="L265" s="35">
        <v>4.7111409414834888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4.901262912906823</v>
      </c>
      <c r="J266" s="35">
        <v>4.9114018158775217</v>
      </c>
      <c r="K266" s="35">
        <v>4.7025258273004162</v>
      </c>
      <c r="L266" s="35">
        <v>4.839917414433403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5.1461174196491939</v>
      </c>
      <c r="J267" s="35">
        <v>5.1562563226198925</v>
      </c>
      <c r="K267" s="35">
        <v>5.2110169420214252</v>
      </c>
      <c r="L267" s="35">
        <v>4.886590103382515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5.4561650724931567</v>
      </c>
      <c r="J268" s="35">
        <v>5.4663039754638554</v>
      </c>
      <c r="K268" s="35">
        <v>5.5527208998670403</v>
      </c>
      <c r="L268" s="35">
        <v>5.1609050687543911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5.4930706793064994</v>
      </c>
      <c r="J269" s="35">
        <v>5.5032095822771971</v>
      </c>
      <c r="K269" s="35">
        <v>5.5725013077920327</v>
      </c>
      <c r="L269" s="35">
        <v>5.2551537890193716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5.476341489404847</v>
      </c>
      <c r="J270" s="35">
        <v>5.4864803923755447</v>
      </c>
      <c r="K270" s="35">
        <v>5.4702334919494664</v>
      </c>
      <c r="L270" s="35">
        <v>5.2712132088728296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5.1928577623441141</v>
      </c>
      <c r="J271" s="35">
        <v>5.2029966653148128</v>
      </c>
      <c r="K271" s="35">
        <v>5.1635853879395057</v>
      </c>
      <c r="L271" s="35">
        <v>5.0106491217504772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4.7758446831592822</v>
      </c>
      <c r="J272" s="35">
        <v>4.7859835861299809</v>
      </c>
      <c r="K272" s="35">
        <v>4.5672734045253378</v>
      </c>
      <c r="L272" s="35">
        <v>4.7433601525644891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4.7424876923856845</v>
      </c>
      <c r="J273" s="35">
        <v>4.7526265953563831</v>
      </c>
      <c r="K273" s="35">
        <v>4.371333447488241</v>
      </c>
      <c r="L273" s="35">
        <v>4.6676801365050684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4.7591154932576298</v>
      </c>
      <c r="J274" s="35">
        <v>4.7692543962283285</v>
      </c>
      <c r="K274" s="35">
        <v>4.4054054590449034</v>
      </c>
      <c r="L274" s="35">
        <v>4.6941781792632735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5.042700609348068</v>
      </c>
      <c r="J275" s="35">
        <v>5.0528395123187666</v>
      </c>
      <c r="K275" s="35">
        <v>4.4395292517741449</v>
      </c>
      <c r="L275" s="35">
        <v>4.8896012446050383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5.1094145908952653</v>
      </c>
      <c r="J276" s="35">
        <v>5.1195534938659639</v>
      </c>
      <c r="K276" s="35">
        <v>4.6865254449736558</v>
      </c>
      <c r="L276" s="35">
        <v>4.9556456087523841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5.1928577623441141</v>
      </c>
      <c r="J277" s="35">
        <v>5.2029966653148128</v>
      </c>
      <c r="K277" s="35">
        <v>4.8568855027569668</v>
      </c>
      <c r="L277" s="35">
        <v>5.0482883870320183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5.2094855632160604</v>
      </c>
      <c r="J278" s="35">
        <v>5.2196244661867581</v>
      </c>
      <c r="K278" s="35">
        <v>5.0357894540157329</v>
      </c>
      <c r="L278" s="35">
        <v>5.1450463916491014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5.476341489404847</v>
      </c>
      <c r="J279" s="35">
        <v>5.4864803923755447</v>
      </c>
      <c r="K279" s="35">
        <v>5.5383775150627912</v>
      </c>
      <c r="L279" s="35">
        <v>5.2134996687744657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5.7265696147216874</v>
      </c>
      <c r="J280" s="35">
        <v>5.7367085176923851</v>
      </c>
      <c r="K280" s="35">
        <v>5.8024614952132127</v>
      </c>
      <c r="L280" s="35">
        <v>5.4285955234367158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5.7504974257325356</v>
      </c>
      <c r="J281" s="35">
        <v>5.7606363287032343</v>
      </c>
      <c r="K281" s="35">
        <v>5.7993546248585011</v>
      </c>
      <c r="L281" s="35">
        <v>5.5099967078189298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5.7504974257325356</v>
      </c>
      <c r="J282" s="35">
        <v>5.7606363287032343</v>
      </c>
      <c r="K282" s="35">
        <v>5.7383564035610135</v>
      </c>
      <c r="L282" s="35">
        <v>5.5426174043962657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5.4436942218391966</v>
      </c>
      <c r="J283" s="35">
        <v>5.4538331248098952</v>
      </c>
      <c r="K283" s="35">
        <v>5.4423752211022256</v>
      </c>
      <c r="L283" s="35">
        <v>5.258967901234568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5.0175561299807363</v>
      </c>
      <c r="J284" s="35">
        <v>5.0276950329514341</v>
      </c>
      <c r="K284" s="35">
        <v>4.7807153978939727</v>
      </c>
      <c r="L284" s="35">
        <v>4.9826455083810091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5.0175561299807363</v>
      </c>
      <c r="J285" s="35">
        <v>5.0276950329514341</v>
      </c>
      <c r="K285" s="35">
        <v>4.5979278586918184</v>
      </c>
      <c r="L285" s="35">
        <v>4.9399876743952627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5.0516228439622841</v>
      </c>
      <c r="J286" s="35">
        <v>5.0617617469329819</v>
      </c>
      <c r="K286" s="35">
        <v>4.6240255696713888</v>
      </c>
      <c r="L286" s="35">
        <v>4.9837495934959346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5.3755607938761027</v>
      </c>
      <c r="J287" s="35">
        <v>5.3856996968468014</v>
      </c>
      <c r="K287" s="35">
        <v>4.6762727728031095</v>
      </c>
      <c r="L287" s="35">
        <v>5.2191204657231758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5.4266608648484231</v>
      </c>
      <c r="J288" s="35">
        <v>5.4367997678191218</v>
      </c>
      <c r="K288" s="35">
        <v>4.8939090411506045</v>
      </c>
      <c r="L288" s="35">
        <v>5.2697076382615675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5.5800624667950931</v>
      </c>
      <c r="J289" s="35">
        <v>5.5902013697657909</v>
      </c>
      <c r="K289" s="35">
        <v>5.1028460725049092</v>
      </c>
      <c r="L289" s="35">
        <v>5.4316066646592391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5.5289623958227718</v>
      </c>
      <c r="J290" s="35">
        <v>5.5391012987934705</v>
      </c>
      <c r="K290" s="35">
        <v>5.2421374267411123</v>
      </c>
      <c r="L290" s="35">
        <v>5.4613165913881359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5.6993973547602153</v>
      </c>
      <c r="J291" s="35">
        <v>5.7095362577309139</v>
      </c>
      <c r="K291" s="35">
        <v>5.7732051327063525</v>
      </c>
      <c r="L291" s="35">
        <v>5.43431669175951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6.108502089627903</v>
      </c>
      <c r="J292" s="35">
        <v>6.1186409925986007</v>
      </c>
      <c r="K292" s="35">
        <v>6.1649814844353905</v>
      </c>
      <c r="L292" s="35">
        <v>5.8066944896115631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6.1386146314508778</v>
      </c>
      <c r="J293" s="35">
        <v>6.1487535344215756</v>
      </c>
      <c r="K293" s="35">
        <v>6.1758037495042997</v>
      </c>
      <c r="L293" s="35">
        <v>5.894218327812907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6.0515214549325762</v>
      </c>
      <c r="J294" s="35">
        <v>6.0616603579032748</v>
      </c>
      <c r="K294" s="35">
        <v>6.042363667769469</v>
      </c>
      <c r="L294" s="35">
        <v>5.8406200140519919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5.8424572756767716</v>
      </c>
      <c r="J295" s="35">
        <v>5.8525961786474703</v>
      </c>
      <c r="K295" s="35">
        <v>5.8466308354226859</v>
      </c>
      <c r="L295" s="35">
        <v>5.6537285155073773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5.3894510909459603</v>
      </c>
      <c r="J296" s="35">
        <v>5.3995899939166581</v>
      </c>
      <c r="K296" s="35">
        <v>5.161462359863787</v>
      </c>
      <c r="L296" s="35">
        <v>5.35080770852153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5.406890004055561</v>
      </c>
      <c r="J297" s="35">
        <v>5.4170289070262596</v>
      </c>
      <c r="K297" s="35">
        <v>5.0191159164454513</v>
      </c>
      <c r="L297" s="35">
        <v>5.3254137508782486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5.4417678302747641</v>
      </c>
      <c r="J298" s="35">
        <v>5.4519067332454627</v>
      </c>
      <c r="K298" s="35">
        <v>5.0013549742510222</v>
      </c>
      <c r="L298" s="35">
        <v>5.3699786409715946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5.7901405363479679</v>
      </c>
      <c r="J299" s="35">
        <v>5.8002794393186656</v>
      </c>
      <c r="K299" s="35">
        <v>5.0458350014959645</v>
      </c>
      <c r="L299" s="35">
        <v>5.6295390143531057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5.8424572756767716</v>
      </c>
      <c r="J300" s="35">
        <v>5.8525961786474703</v>
      </c>
      <c r="K300" s="35">
        <v>5.2771414994041876</v>
      </c>
      <c r="L300" s="35">
        <v>5.681330643380508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5.8773351018959756</v>
      </c>
      <c r="J301" s="35">
        <v>5.8874740048666743</v>
      </c>
      <c r="K301" s="35">
        <v>5.4462070278730357</v>
      </c>
      <c r="L301" s="35">
        <v>5.725895533473853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5.7901405363479679</v>
      </c>
      <c r="J302" s="35">
        <v>5.8002794393186656</v>
      </c>
      <c r="K302" s="35">
        <v>5.5174061401684931</v>
      </c>
      <c r="L302" s="35">
        <v>5.7198732510288064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5.981867191523877</v>
      </c>
      <c r="J303" s="35">
        <v>5.9920060944945757</v>
      </c>
      <c r="K303" s="35">
        <v>6.042363667769469</v>
      </c>
      <c r="L303" s="35">
        <v>5.7139513399578439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6.3128009844874793</v>
      </c>
      <c r="J304" s="35">
        <v>6.322939887458177</v>
      </c>
      <c r="K304" s="35">
        <v>6.3626302201675786</v>
      </c>
      <c r="L304" s="35">
        <v>6.0089428083910468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6.2917120663084258</v>
      </c>
      <c r="J305" s="35">
        <v>6.3018509692791245</v>
      </c>
      <c r="K305" s="35">
        <v>6.3114704216600055</v>
      </c>
      <c r="L305" s="35">
        <v>6.0457791026799157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6.1492604795701107</v>
      </c>
      <c r="J306" s="35">
        <v>6.1593993825408084</v>
      </c>
      <c r="K306" s="35">
        <v>6.1386766487655056</v>
      </c>
      <c r="L306" s="35">
        <v>5.937378018669075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5.9356337939774919</v>
      </c>
      <c r="J307" s="35">
        <v>5.9457726969481897</v>
      </c>
      <c r="K307" s="35">
        <v>5.8750069179957123</v>
      </c>
      <c r="L307" s="35">
        <v>5.7459698082906758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5.5438665831896996</v>
      </c>
      <c r="J308" s="35">
        <v>5.5540054861603982</v>
      </c>
      <c r="K308" s="35">
        <v>5.2748113466381543</v>
      </c>
      <c r="L308" s="35">
        <v>5.5036733112516307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5.5617110524181292</v>
      </c>
      <c r="J309" s="35">
        <v>5.571849955388827</v>
      </c>
      <c r="K309" s="35">
        <v>5.12024454649129</v>
      </c>
      <c r="L309" s="35">
        <v>5.4786808391046868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5.579555521646558</v>
      </c>
      <c r="J310" s="35">
        <v>5.5896944246172566</v>
      </c>
      <c r="K310" s="35">
        <v>5.0656671905935369</v>
      </c>
      <c r="L310" s="35">
        <v>5.5063833383519025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5.8110266764676064</v>
      </c>
      <c r="J311" s="35">
        <v>5.821165579438305</v>
      </c>
      <c r="K311" s="35">
        <v>5.1565949296414075</v>
      </c>
      <c r="L311" s="35">
        <v>5.6502155174144333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5.8643573060934813</v>
      </c>
      <c r="J312" s="35">
        <v>5.874496209064179</v>
      </c>
      <c r="K312" s="35">
        <v>5.3202752161620905</v>
      </c>
      <c r="L312" s="35">
        <v>5.7030108601826761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5.9712213434046442</v>
      </c>
      <c r="J313" s="35">
        <v>5.9813602463753428</v>
      </c>
      <c r="K313" s="35">
        <v>5.5294711533792871</v>
      </c>
      <c r="L313" s="35">
        <v>5.8188394258757397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5.9356337939774919</v>
      </c>
      <c r="J314" s="35">
        <v>5.9457726969481897</v>
      </c>
      <c r="K314" s="35">
        <v>5.6567492755772744</v>
      </c>
      <c r="L314" s="35">
        <v>5.8639061728395054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6.184848028997262</v>
      </c>
      <c r="J315" s="35">
        <v>6.1949869319679607</v>
      </c>
      <c r="K315" s="35">
        <v>6.2477795793884336</v>
      </c>
      <c r="L315" s="35">
        <v>5.9148948308742337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6.541027690357903</v>
      </c>
      <c r="J316" s="35">
        <v>6.5511665933286016</v>
      </c>
      <c r="K316" s="35">
        <v>6.5843054199761983</v>
      </c>
      <c r="L316" s="35">
        <v>6.2348787714543814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6.576006905606814</v>
      </c>
      <c r="J317" s="35">
        <v>6.5861458085775126</v>
      </c>
      <c r="K317" s="35">
        <v>6.6081247593623136</v>
      </c>
      <c r="L317" s="35">
        <v>6.3272204356117632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6.3940135972827745</v>
      </c>
      <c r="J318" s="35">
        <v>6.4041525002534732</v>
      </c>
      <c r="K318" s="35">
        <v>6.3943720789582068</v>
      </c>
      <c r="L318" s="35">
        <v>6.1796745157081201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6.212020288958735</v>
      </c>
      <c r="J319" s="35">
        <v>6.2221591919294337</v>
      </c>
      <c r="K319" s="35">
        <v>6.1899400096182333</v>
      </c>
      <c r="L319" s="35">
        <v>6.0195821740439621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5.775337738010748</v>
      </c>
      <c r="J320" s="35">
        <v>5.7854766409814458</v>
      </c>
      <c r="K320" s="35">
        <v>5.4928618643662777</v>
      </c>
      <c r="L320" s="35">
        <v>5.7328211582856561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5.7570877126634894</v>
      </c>
      <c r="J321" s="35">
        <v>5.767226615634188</v>
      </c>
      <c r="K321" s="35">
        <v>5.3627875588490497</v>
      </c>
      <c r="L321" s="35">
        <v>5.6720964769647697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5.7570877126634894</v>
      </c>
      <c r="J322" s="35">
        <v>5.767226615634188</v>
      </c>
      <c r="K322" s="35">
        <v>5.3070710171545681</v>
      </c>
      <c r="L322" s="35">
        <v>5.6821336143731802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6.0118783443171457</v>
      </c>
      <c r="J323" s="35">
        <v>6.0220172472878435</v>
      </c>
      <c r="K323" s="35">
        <v>5.3906976108688696</v>
      </c>
      <c r="L323" s="35">
        <v>5.8490512094750571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6.0664256422995031</v>
      </c>
      <c r="J324" s="35">
        <v>6.0765645452702017</v>
      </c>
      <c r="K324" s="35">
        <v>5.567219628189024</v>
      </c>
      <c r="L324" s="35">
        <v>5.9030510087323096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6.0846756676467608</v>
      </c>
      <c r="J325" s="35">
        <v>6.0948145706174595</v>
      </c>
      <c r="K325" s="35">
        <v>5.6694874440315886</v>
      </c>
      <c r="L325" s="35">
        <v>5.9311549934758609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6.1028243039643115</v>
      </c>
      <c r="J326" s="35">
        <v>6.1129632069350093</v>
      </c>
      <c r="K326" s="35">
        <v>5.8645989023074296</v>
      </c>
      <c r="L326" s="35">
        <v>6.0294185687042052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6.4668109206123896</v>
      </c>
      <c r="J327" s="35">
        <v>6.4769498235830882</v>
      </c>
      <c r="K327" s="35">
        <v>6.5059087246923273</v>
      </c>
      <c r="L327" s="35">
        <v>6.1940276222021478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6.721500163236338</v>
      </c>
      <c r="J328" s="35">
        <v>6.7316390662070358</v>
      </c>
      <c r="K328" s="35">
        <v>6.7567885058352282</v>
      </c>
      <c r="L328" s="35">
        <v>6.4135398173240992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6.7394460214944747</v>
      </c>
      <c r="J329" s="35">
        <v>6.7495849244651733</v>
      </c>
      <c r="K329" s="35">
        <v>6.762743340681757</v>
      </c>
      <c r="L329" s="35">
        <v>6.4890190906353507</v>
      </c>
      <c r="M329" s="104">
        <f t="shared" ref="M329:M340" si="13">YEAR(H329)</f>
        <v>2042</v>
      </c>
    </row>
    <row r="330" spans="8:15">
      <c r="H330" s="31">
        <v>51898</v>
      </c>
      <c r="I330" s="35">
        <v>6.6092625073507048</v>
      </c>
      <c r="J330" s="35">
        <v>6.6194014103214034</v>
      </c>
      <c r="K330" s="35">
        <v>6.6202933349182631</v>
      </c>
      <c r="L330" s="35">
        <v>6.3927629428886883</v>
      </c>
      <c r="M330" s="104">
        <f t="shared" si="13"/>
        <v>2042</v>
      </c>
    </row>
    <row r="331" spans="8:15">
      <c r="H331" s="31">
        <v>51926</v>
      </c>
      <c r="I331" s="35">
        <v>6.4233150268680932</v>
      </c>
      <c r="J331" s="35">
        <v>6.4334539298387918</v>
      </c>
      <c r="K331" s="35">
        <v>6.3543452325550156</v>
      </c>
      <c r="L331" s="35">
        <v>6.2287561176352506</v>
      </c>
      <c r="M331" s="104">
        <f t="shared" si="13"/>
        <v>2042</v>
      </c>
    </row>
    <row r="332" spans="8:15">
      <c r="H332" s="31">
        <v>51957</v>
      </c>
      <c r="I332" s="35">
        <v>5.9955547105343205</v>
      </c>
      <c r="J332" s="35">
        <v>6.0056936135050192</v>
      </c>
      <c r="K332" s="35">
        <v>5.7560137834102862</v>
      </c>
      <c r="L332" s="35">
        <v>5.9508277827963463</v>
      </c>
      <c r="M332" s="104">
        <f t="shared" si="13"/>
        <v>2042</v>
      </c>
    </row>
    <row r="333" spans="8:15">
      <c r="H333" s="31">
        <v>51987</v>
      </c>
      <c r="I333" s="35">
        <v>5.9955547105343205</v>
      </c>
      <c r="J333" s="35">
        <v>6.0056936135050192</v>
      </c>
      <c r="K333" s="35">
        <v>5.5470249708834034</v>
      </c>
      <c r="L333" s="35">
        <v>5.908169948810599</v>
      </c>
      <c r="M333" s="104">
        <f t="shared" si="13"/>
        <v>2042</v>
      </c>
    </row>
    <row r="334" spans="8:15">
      <c r="H334" s="31">
        <v>52018</v>
      </c>
      <c r="I334" s="35">
        <v>6.0327644844367843</v>
      </c>
      <c r="J334" s="35">
        <v>6.0429033874074829</v>
      </c>
      <c r="K334" s="35">
        <v>5.4900656810470378</v>
      </c>
      <c r="L334" s="35">
        <v>5.9550433805078784</v>
      </c>
      <c r="M334" s="104">
        <f t="shared" si="13"/>
        <v>2042</v>
      </c>
    </row>
    <row r="335" spans="8:15">
      <c r="H335" s="31">
        <v>52048</v>
      </c>
      <c r="I335" s="35">
        <v>6.2745773202879453</v>
      </c>
      <c r="J335" s="35">
        <v>6.284716223258644</v>
      </c>
      <c r="K335" s="35">
        <v>5.5565009254652713</v>
      </c>
      <c r="L335" s="35">
        <v>6.1091134397269897</v>
      </c>
      <c r="M335" s="104">
        <f t="shared" si="13"/>
        <v>2042</v>
      </c>
    </row>
    <row r="336" spans="8:15">
      <c r="H336" s="31">
        <v>52079</v>
      </c>
      <c r="I336" s="35">
        <v>6.3675510605292507</v>
      </c>
      <c r="J336" s="35">
        <v>6.3776899634999493</v>
      </c>
      <c r="K336" s="35">
        <v>5.7370100930739714</v>
      </c>
      <c r="L336" s="35">
        <v>6.20115398976212</v>
      </c>
      <c r="M336" s="104">
        <f t="shared" si="13"/>
        <v>2042</v>
      </c>
    </row>
    <row r="337" spans="8:13">
      <c r="H337" s="31">
        <v>52110</v>
      </c>
      <c r="I337" s="35">
        <v>0</v>
      </c>
      <c r="J337" s="35">
        <v>0</v>
      </c>
      <c r="K337" s="35">
        <v>0</v>
      </c>
      <c r="L337" s="35">
        <v>0</v>
      </c>
      <c r="M337" s="104">
        <f t="shared" si="13"/>
        <v>2042</v>
      </c>
    </row>
    <row r="338" spans="8:13">
      <c r="H338" s="31">
        <v>52140</v>
      </c>
      <c r="I338" s="35">
        <v>0</v>
      </c>
      <c r="J338" s="35">
        <v>0</v>
      </c>
      <c r="K338" s="35">
        <v>0</v>
      </c>
      <c r="L338" s="35">
        <v>0</v>
      </c>
      <c r="M338" s="104">
        <f t="shared" si="13"/>
        <v>2042</v>
      </c>
    </row>
    <row r="339" spans="8:13">
      <c r="H339" s="31">
        <v>52171</v>
      </c>
      <c r="I339" s="35">
        <v>0</v>
      </c>
      <c r="J339" s="35">
        <v>0</v>
      </c>
      <c r="K339" s="35">
        <v>0</v>
      </c>
      <c r="L339" s="35">
        <v>0</v>
      </c>
      <c r="M339" s="104">
        <f t="shared" si="13"/>
        <v>2042</v>
      </c>
    </row>
    <row r="340" spans="8:13">
      <c r="H340" s="31">
        <v>52201</v>
      </c>
      <c r="I340" s="35">
        <v>0</v>
      </c>
      <c r="J340" s="35">
        <v>0</v>
      </c>
      <c r="K340" s="35">
        <v>0</v>
      </c>
      <c r="L340" s="35">
        <v>0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27" t="s">
        <v>159</v>
      </c>
      <c r="C1" s="427"/>
      <c r="D1" s="427"/>
      <c r="E1" s="427"/>
      <c r="F1" s="427"/>
      <c r="G1" s="427"/>
      <c r="H1" s="427"/>
      <c r="I1" s="427"/>
      <c r="J1" s="427"/>
      <c r="K1" s="427"/>
      <c r="M1" s="360"/>
    </row>
    <row r="2" spans="1:14">
      <c r="B2" s="166"/>
      <c r="C2" s="166"/>
      <c r="D2" s="166"/>
      <c r="E2" s="166"/>
      <c r="F2" s="166"/>
      <c r="G2" s="166"/>
      <c r="H2" s="166"/>
      <c r="I2" s="166"/>
      <c r="J2" s="166"/>
      <c r="K2" s="166"/>
      <c r="M2" s="166"/>
    </row>
    <row r="3" spans="1:14">
      <c r="A3" s="357" t="s">
        <v>103</v>
      </c>
      <c r="B3" s="358">
        <v>2024</v>
      </c>
      <c r="C3" s="358">
        <v>2030</v>
      </c>
      <c r="D3" s="358">
        <v>2024</v>
      </c>
      <c r="E3" s="358">
        <v>2024</v>
      </c>
      <c r="F3" s="358">
        <v>2024</v>
      </c>
      <c r="G3" s="358">
        <v>2024</v>
      </c>
      <c r="H3" s="358">
        <v>2029</v>
      </c>
      <c r="I3" s="358">
        <v>2024</v>
      </c>
      <c r="J3" s="358">
        <v>2030</v>
      </c>
      <c r="K3" s="358">
        <v>2026</v>
      </c>
      <c r="L3" s="358">
        <v>2029</v>
      </c>
      <c r="M3" s="358">
        <v>2032</v>
      </c>
    </row>
    <row r="4" spans="1:14" ht="51">
      <c r="B4" s="214" t="s">
        <v>158</v>
      </c>
      <c r="C4" s="214" t="s">
        <v>167</v>
      </c>
      <c r="D4" s="214" t="s">
        <v>166</v>
      </c>
      <c r="E4" s="214" t="s">
        <v>165</v>
      </c>
      <c r="F4" s="214" t="s">
        <v>163</v>
      </c>
      <c r="G4" s="214" t="s">
        <v>164</v>
      </c>
      <c r="H4" s="214" t="s">
        <v>164</v>
      </c>
      <c r="I4" s="214" t="s">
        <v>162</v>
      </c>
      <c r="J4" s="214" t="s">
        <v>162</v>
      </c>
      <c r="K4" s="214" t="s">
        <v>168</v>
      </c>
      <c r="L4" s="214" t="s">
        <v>173</v>
      </c>
      <c r="M4" s="214" t="s">
        <v>172</v>
      </c>
    </row>
    <row r="5" spans="1:14" hidden="1">
      <c r="A5" s="136">
        <v>2018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idden="1">
      <c r="A6" s="136">
        <f>A5+1</f>
        <v>2019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4" hidden="1">
      <c r="A7" s="136">
        <f t="shared" ref="A7:A46" si="0">A6+1</f>
        <v>2020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4" hidden="1">
      <c r="A8" s="136">
        <f t="shared" si="0"/>
        <v>2021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4" hidden="1">
      <c r="A9" s="136">
        <f t="shared" si="0"/>
        <v>2022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4" hidden="1">
      <c r="A10" s="136">
        <f t="shared" si="0"/>
        <v>2023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4">
      <c r="A11" s="136">
        <f t="shared" si="0"/>
        <v>2024</v>
      </c>
      <c r="B11" s="131">
        <f>INDEX('Table 3 WYAE Wind_2024'!$J$10:$J$36,MATCH($A11,'Table 3 WYAE Wind_2024'!$B$10:$B$36,0),1)</f>
        <v>23.315627401653863</v>
      </c>
      <c r="C11" s="131"/>
      <c r="D11" s="131">
        <f>INDEX('Table 3 PV wS YK_2024'!$I$10:$I$33,MATCH($A11,'Table 3 PV wS YK_2024'!$B$10:$B$33,0),1)</f>
        <v>41.370936617103837</v>
      </c>
      <c r="E11" s="131">
        <f>INDEX('Table 3 PV wS SO_2024'!$I$10:$I$33,MATCH($A11,'Table 3 PV wS SO_2024'!$B$10:$B$33,0),1)</f>
        <v>36.095212146578916</v>
      </c>
      <c r="F11" s="131">
        <f>INDEX('Table 3 PV wS UTN_2024'!$I$10:$I$33,MATCH($A11,'Table 3 PV wS UTN_2024'!$B$10:$B$33,0),1)</f>
        <v>35.311651551290318</v>
      </c>
      <c r="G11" s="131">
        <f>INDEX('Table 3 PV wS JB_2024'!$I$10:$I$33,MATCH($A11,'Table 3 PV wS JB_2024'!$B$10:$B$33,0),1)</f>
        <v>34.292818696854724</v>
      </c>
      <c r="H11" s="131"/>
      <c r="I11" s="131">
        <f>INDEX('Table 3 PV wS UTS_2024'!$I$10:$I$36,MATCH($A11,'Table 3 PV wS UTS_2024'!$B$10:$B$36,0),1)</f>
        <v>32.325205487980433</v>
      </c>
      <c r="J11" s="131"/>
      <c r="K11" s="131"/>
      <c r="L11" s="131"/>
      <c r="M11" s="131"/>
    </row>
    <row r="12" spans="1:14">
      <c r="A12" s="136">
        <f t="shared" si="0"/>
        <v>2025</v>
      </c>
      <c r="B12" s="131">
        <f>INDEX('Table 3 WYAE Wind_2024'!$J$10:$J$36,MATCH($A12,'Table 3 WYAE Wind_2024'!$B$10:$B$36,0),1)</f>
        <v>23.8533723800148</v>
      </c>
      <c r="C12" s="131"/>
      <c r="D12" s="131">
        <f>INDEX('Table 3 PV wS YK_2024'!$I$10:$I$33,MATCH($A12,'Table 3 PV wS YK_2024'!$B$10:$B$33,0),1)</f>
        <v>42.320864067439416</v>
      </c>
      <c r="E12" s="131">
        <f>INDEX('Table 3 PV wS SO_2024'!$I$10:$I$33,MATCH($A12,'Table 3 PV wS SO_2024'!$B$10:$B$33,0),1)</f>
        <v>36.925572313700172</v>
      </c>
      <c r="F12" s="131">
        <f>INDEX('Table 3 PV wS UTN_2024'!$I$10:$I$33,MATCH($A12,'Table 3 PV wS UTN_2024'!$B$10:$B$33,0),1)</f>
        <v>36.123879306421522</v>
      </c>
      <c r="G12" s="131">
        <f>INDEX('Table 3 PV wS JB_2024'!$I$10:$I$33,MATCH($A12,'Table 3 PV wS JB_2024'!$B$10:$B$33,0),1)</f>
        <v>35.080932659779428</v>
      </c>
      <c r="H12" s="131"/>
      <c r="I12" s="131">
        <f>INDEX('Table 3 PV wS UTS_2024'!$I$10:$I$36,MATCH($A12,'Table 3 PV wS UTS_2024'!$B$10:$B$36,0),1)</f>
        <v>33.069898138391288</v>
      </c>
      <c r="J12" s="131"/>
      <c r="K12" s="131"/>
      <c r="L12" s="131"/>
      <c r="M12" s="131"/>
    </row>
    <row r="13" spans="1:14">
      <c r="A13" s="136">
        <f t="shared" si="0"/>
        <v>2026</v>
      </c>
      <c r="B13" s="131">
        <f>INDEX('Table 3 WYAE Wind_2024'!$J$10:$J$36,MATCH($A13,'Table 3 WYAE Wind_2024'!$B$10:$B$36,0),1)</f>
        <v>24.399695071076486</v>
      </c>
      <c r="C13" s="131"/>
      <c r="D13" s="131">
        <f>INDEX('Table 3 PV wS YK_2024'!$I$10:$I$33,MATCH($A13,'Table 3 PV wS YK_2024'!$B$10:$B$33,0),1)</f>
        <v>43.295574288724971</v>
      </c>
      <c r="E13" s="131">
        <f>INDEX('Table 3 PV wS SO_2024'!$I$10:$I$33,MATCH($A13,'Table 3 PV wS SO_2024'!$B$10:$B$33,0),1)</f>
        <v>37.775010377750107</v>
      </c>
      <c r="F13" s="131">
        <f>INDEX('Table 3 PV wS UTN_2024'!$I$10:$I$33,MATCH($A13,'Table 3 PV wS UTN_2024'!$B$10:$B$33,0),1)</f>
        <v>36.954444090474674</v>
      </c>
      <c r="G13" s="131">
        <f>INDEX('Table 3 PV wS JB_2024'!$I$10:$I$33,MATCH($A13,'Table 3 PV wS JB_2024'!$B$10:$B$33,0),1)</f>
        <v>35.888742244269487</v>
      </c>
      <c r="H13" s="131"/>
      <c r="I13" s="131">
        <f>INDEX('Table 3 PV wS UTS_2024'!$I$10:$I$36,MATCH($A13,'Table 3 PV wS UTS_2024'!$B$10:$B$36,0),1)</f>
        <v>33.832103969090269</v>
      </c>
      <c r="J13" s="131"/>
      <c r="K13" s="131">
        <f>INDEX('Table 3 185 MW (NTN) 2026)'!$K$14:$K$41,MATCH($A13,'Table 3 185 MW (NTN) 2026)'!$B$14:$B$41,0),1)</f>
        <v>66.03</v>
      </c>
      <c r="L13" s="131"/>
      <c r="M13" s="131"/>
      <c r="N13" t="s">
        <v>169</v>
      </c>
    </row>
    <row r="14" spans="1:14">
      <c r="A14" s="136">
        <f t="shared" si="0"/>
        <v>2027</v>
      </c>
      <c r="B14" s="131">
        <f>INDEX('Table 3 WYAE Wind_2024'!$J$10:$J$36,MATCH($A14,'Table 3 WYAE Wind_2024'!$B$10:$B$36,0),1)</f>
        <v>25.962254705849489</v>
      </c>
      <c r="C14" s="131"/>
      <c r="D14" s="131">
        <f>INDEX('Table 3 PV wS YK_2024'!$I$10:$I$33,MATCH($A14,'Table 3 PV wS YK_2024'!$B$10:$B$33,0),1)</f>
        <v>44.292237442922378</v>
      </c>
      <c r="E14" s="131">
        <f>INDEX('Table 3 PV wS SO_2024'!$I$10:$I$33,MATCH($A14,'Table 3 PV wS SO_2024'!$B$10:$B$33,0),1)</f>
        <v>38.643666497547784</v>
      </c>
      <c r="F14" s="131">
        <f>INDEX('Table 3 PV wS UTN_2024'!$I$10:$I$33,MATCH($A14,'Table 3 PV wS UTN_2024'!$B$10:$B$33,0),1)</f>
        <v>37.803971540830418</v>
      </c>
      <c r="G14" s="131">
        <f>INDEX('Table 3 PV wS JB_2024'!$I$10:$I$33,MATCH($A14,'Table 3 PV wS JB_2024'!$B$10:$B$33,0),1)</f>
        <v>36.711721961801608</v>
      </c>
      <c r="H14" s="131"/>
      <c r="I14" s="131">
        <f>INDEX('Table 3 PV wS UTS_2024'!$I$10:$I$36,MATCH($A14,'Table 3 PV wS UTS_2024'!$B$10:$B$36,0),1)</f>
        <v>34.611872146118721</v>
      </c>
      <c r="J14" s="131"/>
      <c r="K14" s="131">
        <f>INDEX('Table 3 185 MW (NTN) 2026)'!$K$14:$K$41,MATCH($A14,'Table 3 185 MW (NTN) 2026)'!$B$14:$B$41,0),1)</f>
        <v>69.5</v>
      </c>
      <c r="L14" s="131"/>
      <c r="M14" s="131"/>
      <c r="N14" s="283">
        <v>2.2750000000000006E-2</v>
      </c>
    </row>
    <row r="15" spans="1:14">
      <c r="A15" s="136">
        <f t="shared" si="0"/>
        <v>2028</v>
      </c>
      <c r="B15" s="131">
        <f>INDEX('Table 3 WYAE Wind_2024'!$J$10:$J$36,MATCH($A15,'Table 3 WYAE Wind_2024'!$B$10:$B$36,0),1)</f>
        <v>26.540942191012803</v>
      </c>
      <c r="C15" s="131"/>
      <c r="D15" s="131">
        <f>INDEX('Table 3 PV wS YK_2024'!$I$10:$I$33,MATCH($A15,'Table 3 PV wS YK_2024'!$B$10:$B$33,0),1)</f>
        <v>45.310853530031615</v>
      </c>
      <c r="E15" s="131">
        <f>INDEX('Table 3 PV wS SO_2024'!$I$10:$I$33,MATCH($A15,'Table 3 PV wS SO_2024'!$B$10:$B$33,0),1)</f>
        <v>39.531540673093183</v>
      </c>
      <c r="F15" s="131">
        <f>INDEX('Table 3 PV wS UTN_2024'!$I$10:$I$33,MATCH($A15,'Table 3 PV wS UTN_2024'!$B$10:$B$33,0),1)</f>
        <v>38.672461657488739</v>
      </c>
      <c r="G15" s="131">
        <f>INDEX('Table 3 PV wS JB_2024'!$I$10:$I$33,MATCH($A15,'Table 3 PV wS JB_2024'!$B$10:$B$33,0),1)</f>
        <v>37.557456878896829</v>
      </c>
      <c r="H15" s="131"/>
      <c r="I15" s="131">
        <f>INDEX('Table 3 PV wS UTS_2024'!$I$10:$I$36,MATCH($A15,'Table 3 PV wS UTS_2024'!$B$10:$B$36,0),1)</f>
        <v>35.409202669476642</v>
      </c>
      <c r="J15" s="131"/>
      <c r="K15" s="131">
        <f>INDEX('Table 3 185 MW (NTN) 2026)'!$K$14:$K$41,MATCH($A15,'Table 3 185 MW (NTN) 2026)'!$B$14:$B$41,0),1)</f>
        <v>72.97</v>
      </c>
      <c r="L15" s="131"/>
      <c r="M15" s="131"/>
    </row>
    <row r="16" spans="1:14">
      <c r="A16" s="136">
        <f t="shared" si="0"/>
        <v>2029</v>
      </c>
      <c r="B16" s="131">
        <f>INDEX('Table 3 WYAE Wind_2024'!$J$10:$J$36,MATCH($A16,'Table 3 WYAE Wind_2024'!$B$10:$B$36,0),1)</f>
        <v>27.123166560191589</v>
      </c>
      <c r="C16" s="131"/>
      <c r="D16" s="131">
        <f>INDEX('Table 3 PV wS YK_2024'!$I$10:$I$33,MATCH($A16,'Table 3 PV wS YK_2024'!$B$10:$B$33,0),1)</f>
        <v>46.351422550052689</v>
      </c>
      <c r="E16" s="131">
        <f>INDEX('Table 3 PV wS SO_2024'!$I$10:$I$33,MATCH($A16,'Table 3 PV wS SO_2024'!$B$10:$B$33,0),1)</f>
        <v>40.438632904386338</v>
      </c>
      <c r="F16" s="131">
        <f>INDEX('Table 3 PV wS UTN_2024'!$I$10:$I$33,MATCH($A16,'Table 3 PV wS UTN_2024'!$B$10:$B$33,0),1)</f>
        <v>39.559914440449646</v>
      </c>
      <c r="G16" s="131">
        <f>INDEX('Table 3 PV wS JB_2024'!$I$10:$I$33,MATCH($A16,'Table 3 PV wS JB_2024'!$B$10:$B$33,0),1)</f>
        <v>38.41836192903412</v>
      </c>
      <c r="H16" s="131">
        <f>INDEX('Table 3 PV wS JB_2029'!$I$10:$I$33,MATCH($A16,'Table 3 PV wS JB_2029'!$B$10:$B$33,0),1)</f>
        <v>35.220848487321206</v>
      </c>
      <c r="I16" s="131">
        <f>INDEX('Table 3 PV wS UTS_2024'!$I$10:$I$36,MATCH($A16,'Table 3 PV wS UTS_2024'!$B$10:$B$36,0),1)</f>
        <v>36.224095539164033</v>
      </c>
      <c r="J16" s="131"/>
      <c r="K16" s="131">
        <f>INDEX('Table 3 185 MW (NTN) 2026)'!$K$14:$K$41,MATCH($A16,'Table 3 185 MW (NTN) 2026)'!$B$14:$B$41,0),1)</f>
        <v>76.180000000000007</v>
      </c>
      <c r="L16" s="131">
        <f>INDEX('Table 3 YK Wind wS_2029'!$I$10:$I$33,MATCH($A16,'Table 3 YK Wind wS_2029'!$B$10:$B$33,0),1)</f>
        <v>56.868924791790221</v>
      </c>
      <c r="M16" s="131"/>
    </row>
    <row r="17" spans="1:13">
      <c r="A17" s="136">
        <f t="shared" si="0"/>
        <v>2030</v>
      </c>
      <c r="B17" s="131">
        <f>INDEX('Table 3 WYAE Wind_2024'!$J$10:$J$36,MATCH($A17,'Table 3 WYAE Wind_2024'!$B$10:$B$36,0),1)</f>
        <v>27.709763311130654</v>
      </c>
      <c r="C17" s="131">
        <f>IF($A17&lt;C$3,0,INDEX('Table 3 ID Wind_2030'!$I$10:$I$33,MATCH($A17,'Table 3 ID Wind_2030'!$B$10:$B$33,0),1))</f>
        <v>41.937525924556674</v>
      </c>
      <c r="D17" s="131">
        <f>INDEX('Table 3 PV wS YK_2024'!$I$10:$I$33,MATCH($A17,'Table 3 PV wS YK_2024'!$B$10:$B$33,0),1)</f>
        <v>47.370038637161926</v>
      </c>
      <c r="E17" s="131">
        <f>INDEX('Table 3 PV wS SO_2024'!$I$10:$I$33,MATCH($A17,'Table 3 PV wS SO_2024'!$B$10:$B$33,0),1)</f>
        <v>41.330350691081286</v>
      </c>
      <c r="F17" s="131">
        <f>INDEX('Table 3 PV wS UTN_2024'!$I$10:$I$33,MATCH($A17,'Table 3 PV wS UTN_2024'!$B$10:$B$33,0),1)</f>
        <v>40.428404557107967</v>
      </c>
      <c r="G17" s="131">
        <f>INDEX('Table 3 PV wS JB_2024'!$I$10:$I$33,MATCH($A17,'Table 3 PV wS JB_2024'!$B$10:$B$33,0),1)</f>
        <v>39.264096846129341</v>
      </c>
      <c r="H17" s="131">
        <f>INDEX('Table 3 PV wS JB_2029'!$I$10:$I$33,MATCH($A17,'Table 3 PV wS JB_2029'!$B$10:$B$33,0),1)</f>
        <v>35.994933175563951</v>
      </c>
      <c r="I17" s="131">
        <f>INDEX('Table 3 PV wS UTS_2024'!$I$10:$I$36,MATCH($A17,'Table 3 PV wS UTS_2024'!$B$10:$B$36,0),1)</f>
        <v>37.021426062521954</v>
      </c>
      <c r="J17" s="131">
        <f>INDEX('Table 3 PV wS UTS_2030'!$I$10:$I$36,MATCH($A17,'Table 3 PV wS UTS_2030'!$B$10:$B$36,0),1)</f>
        <v>47.489040093431555</v>
      </c>
      <c r="K17" s="131">
        <f>INDEX('Table 3 185 MW (NTN) 2026)'!$K$14:$K$41,MATCH($A17,'Table 3 185 MW (NTN) 2026)'!$B$14:$B$41,0),1)</f>
        <v>79.47</v>
      </c>
      <c r="L17" s="131">
        <f>INDEX('Table 3 YK Wind wS_2029'!$I$10:$I$33,MATCH($A17,'Table 3 YK Wind wS_2029'!$B$10:$B$33,0),1)</f>
        <v>58.107540671772171</v>
      </c>
      <c r="M17" s="131"/>
    </row>
    <row r="18" spans="1:13">
      <c r="A18" s="136">
        <f t="shared" si="0"/>
        <v>2031</v>
      </c>
      <c r="B18" s="131">
        <f>INDEX('Table 3 WYAE Wind_2024'!$J$10:$J$36,MATCH($A18,'Table 3 WYAE Wind_2024'!$B$10:$B$36,0),1)</f>
        <v>28.302487912460023</v>
      </c>
      <c r="C18" s="131">
        <f>IF($A18&lt;C$3,0,INDEX('Table 3 ID Wind_2030'!$I$10:$I$33,MATCH($A18,'Table 3 ID Wind_2030'!$B$10:$B$33,0),1))</f>
        <v>42.868232939473344</v>
      </c>
      <c r="D18" s="131">
        <f>INDEX('Table 3 PV wS YK_2024'!$I$10:$I$33,MATCH($A18,'Table 3 PV wS YK_2024'!$B$10:$B$33,0),1)</f>
        <v>48.410607657182986</v>
      </c>
      <c r="E18" s="131">
        <f>INDEX('Table 3 PV wS SO_2024'!$I$10:$I$33,MATCH($A18,'Table 3 PV wS SO_2024'!$B$10:$B$33,0),1)</f>
        <v>42.237442922374427</v>
      </c>
      <c r="F18" s="131">
        <f>INDEX('Table 3 PV wS UTN_2024'!$I$10:$I$33,MATCH($A18,'Table 3 PV wS UTN_2024'!$B$10:$B$33,0),1)</f>
        <v>41.315857340068874</v>
      </c>
      <c r="G18" s="131">
        <f>INDEX('Table 3 PV wS JB_2024'!$I$10:$I$33,MATCH($A18,'Table 3 PV wS JB_2024'!$B$10:$B$33,0),1)</f>
        <v>40.125001896266625</v>
      </c>
      <c r="H18" s="131">
        <f>INDEX('Table 3 PV wS JB_2029'!$I$10:$I$33,MATCH($A18,'Table 3 PV wS JB_2029'!$B$10:$B$33,0),1)</f>
        <v>36.783780093751432</v>
      </c>
      <c r="I18" s="131">
        <f>INDEX('Table 3 PV wS UTS_2024'!$I$10:$I$36,MATCH($A18,'Table 3 PV wS UTS_2024'!$B$10:$B$36,0),1)</f>
        <v>37.836318932209345</v>
      </c>
      <c r="J18" s="131">
        <f>INDEX('Table 3 PV wS UTS_2030'!$I$10:$I$36,MATCH($A18,'Table 3 PV wS UTS_2030'!$B$10:$B$36,0),1)</f>
        <v>48.531787846856346</v>
      </c>
      <c r="K18" s="131">
        <f>INDEX('Table 3 185 MW (NTN) 2026)'!$K$14:$K$41,MATCH($A18,'Table 3 185 MW (NTN) 2026)'!$B$14:$B$41,0),1)</f>
        <v>82.18</v>
      </c>
      <c r="L18" s="131">
        <f>INDEX('Table 3 YK Wind wS_2029'!$I$10:$I$33,MATCH($A18,'Table 3 YK Wind wS_2029'!$B$10:$B$33,0),1)</f>
        <v>59.404397647845471</v>
      </c>
      <c r="M18" s="131"/>
    </row>
    <row r="19" spans="1:13">
      <c r="A19" s="136">
        <f t="shared" si="0"/>
        <v>2032</v>
      </c>
      <c r="B19" s="131">
        <f>INDEX('Table 3 WYAE Wind_2024'!$J$10:$J$36,MATCH($A19,'Table 3 WYAE Wind_2024'!$B$10:$B$36,0),1)</f>
        <v>28.908858491125908</v>
      </c>
      <c r="C19" s="131">
        <f>IF($A19&lt;C$3,0,INDEX('Table 3 ID Wind_2030'!$I$10:$I$33,MATCH($A19,'Table 3 ID Wind_2030'!$B$10:$B$33,0),1))</f>
        <v>43.819058860432612</v>
      </c>
      <c r="D19" s="131">
        <f>INDEX('Table 3 PV wS YK_2024'!$I$10:$I$33,MATCH($A19,'Table 3 PV wS YK_2024'!$B$10:$B$33,0),1)</f>
        <v>49.477520196698279</v>
      </c>
      <c r="E19" s="131">
        <f>INDEX('Table 3 PV wS SO_2024'!$I$10:$I$33,MATCH($A19,'Table 3 PV wS SO_2024'!$B$10:$B$33,0),1)</f>
        <v>43.16759682056486</v>
      </c>
      <c r="F19" s="131">
        <f>INDEX('Table 3 PV wS UTN_2024'!$I$10:$I$33,MATCH($A19,'Table 3 PV wS UTN_2024'!$B$10:$B$33,0),1)</f>
        <v>42.226065322592881</v>
      </c>
      <c r="G19" s="131">
        <f>INDEX('Table 3 PV wS JB_2024'!$I$10:$I$33,MATCH($A19,'Table 3 PV wS JB_2024'!$B$10:$B$33,0),1)</f>
        <v>41.00866214596703</v>
      </c>
      <c r="H19" s="131">
        <f>INDEX('Table 3 PV wS JB_2029'!$I$10:$I$33,MATCH($A19,'Table 3 PV wS JB_2029'!$B$10:$B$33,0),1)</f>
        <v>37.591589678241483</v>
      </c>
      <c r="I19" s="131">
        <f>INDEX('Table 3 PV wS UTS_2024'!$I$10:$I$36,MATCH($A19,'Table 3 PV wS UTS_2024'!$B$10:$B$36,0),1)</f>
        <v>38.668774148226198</v>
      </c>
      <c r="J19" s="131">
        <f>INDEX('Table 3 PV wS UTS_2030'!$I$10:$I$36,MATCH($A19,'Table 3 PV wS UTS_2030'!$B$10:$B$36,0),1)</f>
        <v>49.599578503688093</v>
      </c>
      <c r="K19" s="131">
        <f>INDEX('Table 3 185 MW (NTN) 2026)'!$K$14:$K$41,MATCH($A19,'Table 3 185 MW (NTN) 2026)'!$B$14:$B$41,0),1)</f>
        <v>85.02</v>
      </c>
      <c r="L19" s="131">
        <f>INDEX('Table 3 YK Wind wS_2029'!$I$10:$I$33,MATCH($A19,'Table 3 YK Wind wS_2029'!$B$10:$B$33,0),1)</f>
        <v>60.719716389602041</v>
      </c>
      <c r="M19" s="131">
        <f>INDEX('Table 3 ID Wind wS_2032'!$I$10:$I$33,MATCH($A19,'Table 3 ID Wind wS_2032'!$B$10:$B$33,0),1)</f>
        <v>47.599337901173556</v>
      </c>
    </row>
    <row r="20" spans="1:13">
      <c r="A20" s="136">
        <f t="shared" si="0"/>
        <v>2033</v>
      </c>
      <c r="B20" s="131">
        <f>INDEX('Table 3 WYAE Wind_2024'!$J$10:$J$36,MATCH($A20,'Table 3 WYAE Wind_2024'!$B$10:$B$36,0),1)</f>
        <v>29.516846845195701</v>
      </c>
      <c r="C20" s="131">
        <f>IF($A20&lt;C$3,0,INDEX('Table 3 ID Wind_2030'!$I$10:$I$33,MATCH($A20,'Table 3 ID Wind_2030'!$B$10:$B$33,0),1))</f>
        <v>44.763496446928194</v>
      </c>
      <c r="D20" s="131">
        <f>INDEX('Table 3 PV wS YK_2024'!$I$10:$I$33,MATCH($A20,'Table 3 PV wS YK_2024'!$B$10:$B$33,0),1)</f>
        <v>50.513698630136986</v>
      </c>
      <c r="E20" s="131">
        <f>INDEX('Table 3 PV wS SO_2024'!$I$10:$I$33,MATCH($A20,'Table 3 PV wS SO_2024'!$B$10:$B$33,0),1)</f>
        <v>44.074689051858002</v>
      </c>
      <c r="F20" s="131">
        <f>INDEX('Table 3 PV wS UTN_2024'!$I$10:$I$33,MATCH($A20,'Table 3 PV wS UTN_2024'!$B$10:$B$33,0),1)</f>
        <v>43.109725572293272</v>
      </c>
      <c r="G20" s="131">
        <f>INDEX('Table 3 PV wS JB_2024'!$I$10:$I$33,MATCH($A20,'Table 3 PV wS JB_2024'!$B$10:$B$33,0),1)</f>
        <v>41.869567196104313</v>
      </c>
      <c r="H20" s="131">
        <f>INDEX('Table 3 PV wS JB_2029'!$I$10:$I$33,MATCH($A20,'Table 3 PV wS JB_2029'!$B$10:$B$33,0),1)</f>
        <v>38.38043659642895</v>
      </c>
      <c r="I20" s="131">
        <f>INDEX('Table 3 PV wS UTS_2024'!$I$10:$I$36,MATCH($A20,'Table 3 PV wS UTS_2024'!$B$10:$B$36,0),1)</f>
        <v>39.480154548647697</v>
      </c>
      <c r="J20" s="131">
        <f>INDEX('Table 3 PV wS UTS_2030'!$I$10:$I$36,MATCH($A20,'Table 3 PV wS UTS_2030'!$B$10:$B$36,0),1)</f>
        <v>50.639269406392692</v>
      </c>
      <c r="K20" s="131">
        <f>INDEX('Table 3 185 MW (NTN) 2026)'!$K$14:$K$41,MATCH($A20,'Table 3 185 MW (NTN) 2026)'!$B$14:$B$41,0),1)</f>
        <v>87.73</v>
      </c>
      <c r="L20" s="131">
        <f>INDEX('Table 3 YK Wind wS_2029'!$I$10:$I$33,MATCH($A20,'Table 3 YK Wind wS_2029'!$B$10:$B$33,0),1)</f>
        <v>62.013496404728123</v>
      </c>
      <c r="M20" s="131">
        <f>INDEX('Table 3 ID Wind wS_2032'!$I$10:$I$33,MATCH($A20,'Table 3 ID Wind wS_2032'!$B$10:$B$33,0),1)</f>
        <v>48.615330894750088</v>
      </c>
    </row>
    <row r="21" spans="1:13">
      <c r="A21" s="136">
        <f t="shared" si="0"/>
        <v>2034</v>
      </c>
      <c r="B21" s="131">
        <f>INDEX('Table 3 WYAE Wind_2024'!$J$10:$J$36,MATCH($A21,'Table 3 WYAE Wind_2024'!$B$10:$B$36,0),1)</f>
        <v>55.660963049655784</v>
      </c>
      <c r="C21" s="131">
        <f>IF($A21&lt;C$3,0,INDEX('Table 3 ID Wind_2030'!$I$10:$I$33,MATCH($A21,'Table 3 ID Wind_2030'!$B$10:$B$33,0),1))</f>
        <v>45.726753337470264</v>
      </c>
      <c r="D21" s="131">
        <f>INDEX('Table 3 PV wS YK_2024'!$I$10:$I$33,MATCH($A21,'Table 3 PV wS YK_2024'!$B$10:$B$33,0),1)</f>
        <v>51.57622058306989</v>
      </c>
      <c r="E21" s="131">
        <f>INDEX('Table 3 PV wS SO_2024'!$I$10:$I$33,MATCH($A21,'Table 3 PV wS SO_2024'!$B$10:$B$33,0),1)</f>
        <v>45.000999338898879</v>
      </c>
      <c r="F21" s="131">
        <f>INDEX('Table 3 PV wS UTN_2024'!$I$10:$I$33,MATCH($A21,'Table 3 PV wS UTN_2024'!$B$10:$B$33,0),1)</f>
        <v>44.016141021556756</v>
      </c>
      <c r="G21" s="131">
        <f>INDEX('Table 3 PV wS JB_2024'!$I$10:$I$33,MATCH($A21,'Table 3 PV wS JB_2024'!$B$10:$B$33,0),1)</f>
        <v>42.749434912544189</v>
      </c>
      <c r="H21" s="131">
        <f>INDEX('Table 3 PV wS JB_2029'!$I$10:$I$33,MATCH($A21,'Table 3 PV wS JB_2029'!$B$10:$B$33,0),1)</f>
        <v>39.188246180919002</v>
      </c>
      <c r="I21" s="131">
        <f>INDEX('Table 3 PV wS UTS_2024'!$I$10:$I$36,MATCH($A21,'Table 3 PV wS UTS_2024'!$B$10:$B$36,0),1)</f>
        <v>40.309097295398665</v>
      </c>
      <c r="J21" s="131">
        <f>INDEX('Table 3 PV wS UTS_2030'!$I$10:$I$36,MATCH($A21,'Table 3 PV wS UTS_2030'!$B$10:$B$36,0),1)</f>
        <v>51.703547593958561</v>
      </c>
      <c r="K21" s="131">
        <f>INDEX('Table 3 185 MW (NTN) 2026)'!$K$14:$K$41,MATCH($A21,'Table 3 185 MW (NTN) 2026)'!$B$14:$B$41,0),1)</f>
        <v>90.77</v>
      </c>
      <c r="L21" s="131">
        <f>INDEX('Table 3 YK Wind wS_2029'!$I$10:$I$33,MATCH($A21,'Table 3 YK Wind wS_2029'!$B$10:$B$33,0),1)</f>
        <v>63.325738185537489</v>
      </c>
      <c r="M21" s="131">
        <f>INDEX('Table 3 ID Wind wS_2032'!$I$10:$I$33,MATCH($A21,'Table 3 ID Wind wS_2032'!$B$10:$B$33,0),1)</f>
        <v>49.652001830037804</v>
      </c>
    </row>
    <row r="22" spans="1:13">
      <c r="A22" s="136">
        <f t="shared" si="0"/>
        <v>2035</v>
      </c>
      <c r="B22" s="131">
        <f>INDEX('Table 3 WYAE Wind_2024'!$J$10:$J$36,MATCH($A22,'Table 3 WYAE Wind_2024'!$B$10:$B$36,0),1)</f>
        <v>56.826106991747309</v>
      </c>
      <c r="C22" s="131">
        <f>IF($A22&lt;C$3,0,INDEX('Table 3 ID Wind_2030'!$I$10:$I$33,MATCH($A22,'Table 3 ID Wind_2030'!$B$10:$B$33,0),1))</f>
        <v>46.711314542073559</v>
      </c>
      <c r="D22" s="131">
        <f>INDEX('Table 3 PV wS YK_2024'!$I$10:$I$33,MATCH($A22,'Table 3 PV wS YK_2024'!$B$10:$B$33,0),1)</f>
        <v>52.656304882332279</v>
      </c>
      <c r="E22" s="131">
        <f>INDEX('Table 3 PV wS SO_2024'!$I$10:$I$33,MATCH($A22,'Table 3 PV wS SO_2024'!$B$10:$B$33,0),1)</f>
        <v>45.946527681687499</v>
      </c>
      <c r="F22" s="131">
        <f>INDEX('Table 3 PV wS UTN_2024'!$I$10:$I$33,MATCH($A22,'Table 3 PV wS UTN_2024'!$B$10:$B$33,0),1)</f>
        <v>44.941519137122832</v>
      </c>
      <c r="G22" s="131">
        <f>INDEX('Table 3 PV wS JB_2024'!$I$10:$I$33,MATCH($A22,'Table 3 PV wS JB_2024'!$B$10:$B$33,0),1)</f>
        <v>43.644472762026133</v>
      </c>
      <c r="H22" s="131">
        <f>INDEX('Table 3 PV wS JB_2029'!$I$10:$I$33,MATCH($A22,'Table 3 PV wS JB_2029'!$B$10:$B$33,0),1)</f>
        <v>40.01122589845113</v>
      </c>
      <c r="I22" s="131">
        <f>INDEX('Table 3 PV wS UTS_2024'!$I$10:$I$36,MATCH($A22,'Table 3 PV wS UTS_2024'!$B$10:$B$36,0),1)</f>
        <v>41.155602388479096</v>
      </c>
      <c r="J22" s="131">
        <f>INDEX('Table 3 PV wS UTS_2030'!$I$10:$I$36,MATCH($A22,'Table 3 PV wS UTS_2030'!$B$10:$B$36,0),1)</f>
        <v>52.78890059711977</v>
      </c>
      <c r="K22" s="131">
        <f>INDEX('Table 3 185 MW (NTN) 2026)'!$K$14:$K$41,MATCH($A22,'Table 3 185 MW (NTN) 2026)'!$B$14:$B$41,0),1)</f>
        <v>94.01</v>
      </c>
      <c r="L22" s="131">
        <f>INDEX('Table 3 YK Wind wS_2029'!$I$10:$I$33,MATCH($A22,'Table 3 YK Wind wS_2029'!$B$10:$B$33,0),1)</f>
        <v>64.366441732030111</v>
      </c>
      <c r="M22" s="131">
        <f>INDEX('Table 3 ID Wind wS_2032'!$I$10:$I$33,MATCH($A22,'Table 3 ID Wind wS_2032'!$B$10:$B$33,0),1)</f>
        <v>50.710211491956017</v>
      </c>
    </row>
    <row r="23" spans="1:13">
      <c r="A23" s="136">
        <f t="shared" si="0"/>
        <v>2036</v>
      </c>
      <c r="B23" s="131">
        <f>INDEX('Table 3 WYAE Wind_2024'!$J$10:$J$36,MATCH($A23,'Table 3 WYAE Wind_2024'!$B$10:$B$36,0),1)</f>
        <v>58.019969750603941</v>
      </c>
      <c r="C23" s="131">
        <f>IF($A23&lt;C$3,0,INDEX('Table 3 ID Wind_2030'!$I$10:$I$33,MATCH($A23,'Table 3 ID Wind_2030'!$B$10:$B$33,0),1))</f>
        <v>47.717358829919668</v>
      </c>
      <c r="D23" s="131">
        <f>INDEX('Table 3 PV wS YK_2024'!$I$10:$I$33,MATCH($A23,'Table 3 PV wS YK_2024'!$B$10:$B$33,0),1)</f>
        <v>53.762732701088865</v>
      </c>
      <c r="E23" s="131">
        <f>INDEX('Table 3 PV wS SO_2024'!$I$10:$I$33,MATCH($A23,'Table 3 PV wS SO_2024'!$B$10:$B$33,0),1)</f>
        <v>46.911274080223862</v>
      </c>
      <c r="F23" s="131">
        <f>INDEX('Table 3 PV wS UTN_2024'!$I$10:$I$33,MATCH($A23,'Table 3 PV wS UTN_2024'!$B$10:$B$33,0),1)</f>
        <v>45.8858599189915</v>
      </c>
      <c r="G23" s="131">
        <f>INDEX('Table 3 PV wS JB_2024'!$I$10:$I$33,MATCH($A23,'Table 3 PV wS JB_2024'!$B$10:$B$33,0),1)</f>
        <v>44.562265811071164</v>
      </c>
      <c r="H23" s="131">
        <f>INDEX('Table 3 PV wS JB_2029'!$I$10:$I$33,MATCH($A23,'Table 3 PV wS JB_2029'!$B$10:$B$33,0),1)</f>
        <v>40.853168282285836</v>
      </c>
      <c r="I23" s="131">
        <f>INDEX('Table 3 PV wS UTS_2024'!$I$10:$I$36,MATCH($A23,'Table 3 PV wS UTS_2024'!$B$10:$B$36,0),1)</f>
        <v>42.019669827889011</v>
      </c>
      <c r="J23" s="131">
        <f>INDEX('Table 3 PV wS UTS_2030'!$I$10:$I$36,MATCH($A23,'Table 3 PV wS UTS_2030'!$B$10:$B$36,0),1)</f>
        <v>53.895328415876364</v>
      </c>
      <c r="K23" s="131">
        <f>INDEX('Table 3 185 MW (NTN) 2026)'!$K$14:$K$41,MATCH($A23,'Table 3 185 MW (NTN) 2026)'!$B$14:$B$41,0),1)</f>
        <v>96.89</v>
      </c>
      <c r="L23" s="131">
        <f>INDEX('Table 3 YK Wind wS_2029'!$I$10:$I$33,MATCH($A23,'Table 3 YK Wind wS_2029'!$B$10:$B$33,0),1)</f>
        <v>65.422530083258806</v>
      </c>
      <c r="M23" s="131">
        <f>INDEX('Table 3 ID Wind wS_2032'!$I$10:$I$33,MATCH($A23,'Table 3 ID Wind wS_2032'!$B$10:$B$33,0),1)</f>
        <v>51.788900264814259</v>
      </c>
    </row>
    <row r="24" spans="1:13">
      <c r="A24" s="136">
        <f t="shared" si="0"/>
        <v>2037</v>
      </c>
      <c r="B24" s="131">
        <f>INDEX('Table 3 WYAE Wind_2024'!$J$10:$J$36,MATCH($A24,'Table 3 WYAE Wind_2024'!$B$10:$B$36,0),1)</f>
        <v>59.237505760127348</v>
      </c>
      <c r="C24" s="131">
        <f>IF($A24&lt;C$3,0,INDEX('Table 3 ID Wind_2030'!$I$10:$I$33,MATCH($A24,'Table 3 ID Wind_2030'!$B$10:$B$33,0),1))</f>
        <v>48.742043652630684</v>
      </c>
      <c r="D24" s="131">
        <f>INDEX('Table 3 PV wS YK_2024'!$I$10:$I$33,MATCH($A24,'Table 3 PV wS YK_2024'!$B$10:$B$33,0),1)</f>
        <v>54.891113452757288</v>
      </c>
      <c r="E24" s="131">
        <f>INDEX('Table 3 PV wS SO_2024'!$I$10:$I$33,MATCH($A24,'Table 3 PV wS SO_2024'!$B$10:$B$33,0),1)</f>
        <v>47.895238534507946</v>
      </c>
      <c r="F24" s="131">
        <f>INDEX('Table 3 PV wS UTN_2024'!$I$10:$I$33,MATCH($A24,'Table 3 PV wS UTN_2024'!$B$10:$B$33,0),1)</f>
        <v>46.849163367162731</v>
      </c>
      <c r="G24" s="131">
        <f>INDEX('Table 3 PV wS JB_2024'!$I$10:$I$33,MATCH($A24,'Table 3 PV wS JB_2024'!$B$10:$B$33,0),1)</f>
        <v>45.495228993158271</v>
      </c>
      <c r="H24" s="131">
        <f>INDEX('Table 3 PV wS JB_2029'!$I$10:$I$33,MATCH($A24,'Table 3 PV wS JB_2029'!$B$10:$B$33,0),1)</f>
        <v>41.710280799162611</v>
      </c>
      <c r="I24" s="131">
        <f>INDEX('Table 3 PV wS UTS_2024'!$I$10:$I$36,MATCH($A24,'Table 3 PV wS UTS_2024'!$B$10:$B$36,0),1)</f>
        <v>42.901299613628382</v>
      </c>
      <c r="J24" s="131">
        <f>INDEX('Table 3 PV wS UTS_2030'!$I$10:$I$36,MATCH($A24,'Table 3 PV wS UTS_2030'!$B$10:$B$36,0),1)</f>
        <v>55.022831050228312</v>
      </c>
      <c r="K24" s="131">
        <f>INDEX('Table 3 185 MW (NTN) 2026)'!$K$14:$K$41,MATCH($A24,'Table 3 185 MW (NTN) 2026)'!$B$14:$B$41,0),1)</f>
        <v>101.15</v>
      </c>
      <c r="L24" s="131">
        <f>INDEX('Table 3 YK Wind wS_2029'!$I$10:$I$33,MATCH($A24,'Table 3 YK Wind wS_2029'!$B$10:$B$33,0),1)</f>
        <v>66.528477760856589</v>
      </c>
      <c r="M24" s="131">
        <f>INDEX('Table 3 ID Wind wS_2032'!$I$10:$I$33,MATCH($A24,'Table 3 ID Wind wS_2032'!$B$10:$B$33,0),1)</f>
        <v>52.896239415763773</v>
      </c>
    </row>
    <row r="25" spans="1:13">
      <c r="A25" s="136">
        <f t="shared" si="0"/>
        <v>2038</v>
      </c>
      <c r="B25" s="131">
        <f>INDEX('Table 3 WYAE Wind_2024'!$J$10:$J$36,MATCH($A25,'Table 3 WYAE Wind_2024'!$B$10:$B$36,0),1)</f>
        <v>60.48114234671079</v>
      </c>
      <c r="C25" s="131">
        <f>IF($A25&lt;C$3,0,INDEX('Table 3 ID Wind_2030'!$I$10:$I$33,MATCH($A25,'Table 3 ID Wind_2030'!$B$10:$B$33,0),1))</f>
        <v>49.788507534050773</v>
      </c>
      <c r="D25" s="131">
        <f>INDEX('Table 3 PV wS YK_2024'!$I$10:$I$33,MATCH($A25,'Table 3 PV wS YK_2024'!$B$10:$B$33,0),1)</f>
        <v>56.045837723919917</v>
      </c>
      <c r="E25" s="131">
        <f>INDEX('Table 3 PV wS SO_2024'!$I$10:$I$33,MATCH($A25,'Table 3 PV wS SO_2024'!$B$10:$B$33,0),1)</f>
        <v>48.902264655689315</v>
      </c>
      <c r="F25" s="131">
        <f>INDEX('Table 3 PV wS UTN_2024'!$I$10:$I$33,MATCH($A25,'Table 3 PV wS UTN_2024'!$B$10:$B$33,0),1)</f>
        <v>47.831429481636562</v>
      </c>
      <c r="G25" s="131">
        <f>INDEX('Table 3 PV wS JB_2024'!$I$10:$I$33,MATCH($A25,'Table 3 PV wS JB_2024'!$B$10:$B$33,0),1)</f>
        <v>46.450947374808486</v>
      </c>
      <c r="H25" s="131">
        <f>INDEX('Table 3 PV wS JB_2029'!$I$10:$I$33,MATCH($A25,'Table 3 PV wS JB_2029'!$B$10:$B$33,0),1)</f>
        <v>42.586355982341971</v>
      </c>
      <c r="I25" s="131">
        <f>INDEX('Table 3 PV wS UTS_2024'!$I$10:$I$36,MATCH($A25,'Table 3 PV wS UTS_2024'!$B$10:$B$36,0),1)</f>
        <v>43.800491745697229</v>
      </c>
      <c r="J25" s="131">
        <f>INDEX('Table 3 PV wS UTS_2030'!$I$10:$I$36,MATCH($A25,'Table 3 PV wS UTS_2030'!$B$10:$B$36,0),1)</f>
        <v>56.178433438707408</v>
      </c>
      <c r="K25" s="131">
        <f>INDEX('Table 3 185 MW (NTN) 2026)'!$K$14:$K$41,MATCH($A25,'Table 3 185 MW (NTN) 2026)'!$B$14:$B$41,0),1)</f>
        <v>105.15</v>
      </c>
      <c r="L25" s="131">
        <f>INDEX('Table 3 YK Wind wS_2029'!$I$10:$I$33,MATCH($A25,'Table 3 YK Wind wS_2029'!$B$10:$B$33,0),1)</f>
        <v>67.652887204137656</v>
      </c>
      <c r="M25" s="131">
        <f>INDEX('Table 3 ID Wind wS_2032'!$I$10:$I$33,MATCH($A25,'Table 3 ID Wind wS_2032'!$B$10:$B$33,0),1)</f>
        <v>54.022040332396557</v>
      </c>
    </row>
    <row r="26" spans="1:13">
      <c r="A26" s="136">
        <f t="shared" si="0"/>
        <v>2039</v>
      </c>
      <c r="B26" s="354">
        <f>B25*(1+$N$14)</f>
        <v>61.85708833509846</v>
      </c>
      <c r="C26" s="354">
        <f t="shared" ref="C26:C40" si="1">C25*(1+$N$14)</f>
        <v>50.921196080450429</v>
      </c>
      <c r="D26" s="354">
        <f t="shared" ref="D26:D40" si="2">D25*(1+$N$14)</f>
        <v>57.3208805321391</v>
      </c>
      <c r="E26" s="354">
        <f t="shared" ref="E26:E40" si="3">E25*(1+$N$14)</f>
        <v>50.014791176606252</v>
      </c>
      <c r="F26" s="354">
        <f t="shared" ref="F26:F40" si="4">F25*(1+$N$14)</f>
        <v>48.919594502343799</v>
      </c>
      <c r="G26" s="354">
        <f t="shared" ref="G26:G40" si="5">G25*(1+$N$14)</f>
        <v>47.507706427585383</v>
      </c>
      <c r="H26" s="354">
        <f t="shared" ref="H26:H40" si="6">H25*(1+$N$14)</f>
        <v>43.55519558094025</v>
      </c>
      <c r="I26" s="354">
        <f t="shared" ref="I26:I40" si="7">I25*(1+$N$14)</f>
        <v>44.796952932911843</v>
      </c>
      <c r="J26" s="354">
        <f t="shared" ref="J26:J40" si="8">J25*(1+$N$14)</f>
        <v>57.456492799438003</v>
      </c>
      <c r="K26" s="354">
        <f t="shared" ref="K26:K40" si="9">K25*(1+$N$14)</f>
        <v>107.54216250000002</v>
      </c>
      <c r="L26" s="354">
        <f t="shared" ref="L26:L40" si="10">L25*(1+$N$14)</f>
        <v>69.191990388031797</v>
      </c>
      <c r="M26" s="354">
        <f t="shared" ref="M26:M46" si="11">M25*(1+$N$14)</f>
        <v>55.251041749958581</v>
      </c>
    </row>
    <row r="27" spans="1:13">
      <c r="A27" s="136">
        <f t="shared" si="0"/>
        <v>2040</v>
      </c>
      <c r="B27" s="354">
        <f t="shared" ref="B27:B40" si="12">B26*(1+$N$14)</f>
        <v>63.264337094721952</v>
      </c>
      <c r="C27" s="354">
        <f t="shared" si="1"/>
        <v>52.079653291280678</v>
      </c>
      <c r="D27" s="354">
        <f t="shared" si="2"/>
        <v>58.624930564245268</v>
      </c>
      <c r="E27" s="354">
        <f t="shared" si="3"/>
        <v>51.152627675874044</v>
      </c>
      <c r="F27" s="354">
        <f t="shared" si="4"/>
        <v>50.032515277272125</v>
      </c>
      <c r="G27" s="354">
        <f t="shared" si="5"/>
        <v>48.588506748812954</v>
      </c>
      <c r="H27" s="354">
        <f t="shared" si="6"/>
        <v>44.546076280406645</v>
      </c>
      <c r="I27" s="354">
        <f t="shared" si="7"/>
        <v>45.816083612135593</v>
      </c>
      <c r="J27" s="354">
        <f t="shared" si="8"/>
        <v>58.763628010625219</v>
      </c>
      <c r="K27" s="354">
        <f t="shared" si="9"/>
        <v>109.98874669687503</v>
      </c>
      <c r="L27" s="354">
        <f t="shared" si="10"/>
        <v>70.766108169359526</v>
      </c>
      <c r="M27" s="354">
        <f t="shared" si="11"/>
        <v>56.508002949770145</v>
      </c>
    </row>
    <row r="28" spans="1:13">
      <c r="A28" s="136">
        <f t="shared" si="0"/>
        <v>2041</v>
      </c>
      <c r="B28" s="354">
        <f t="shared" si="12"/>
        <v>64.703600763626881</v>
      </c>
      <c r="C28" s="354">
        <f t="shared" si="1"/>
        <v>53.264465403657319</v>
      </c>
      <c r="D28" s="354">
        <f t="shared" si="2"/>
        <v>59.958647734581852</v>
      </c>
      <c r="E28" s="354">
        <f t="shared" si="3"/>
        <v>52.316349955500179</v>
      </c>
      <c r="F28" s="354">
        <f t="shared" si="4"/>
        <v>51.170754999830066</v>
      </c>
      <c r="G28" s="354">
        <f t="shared" si="5"/>
        <v>49.693895277348453</v>
      </c>
      <c r="H28" s="354">
        <f t="shared" si="6"/>
        <v>45.559499515785895</v>
      </c>
      <c r="I28" s="354">
        <f t="shared" si="7"/>
        <v>46.858399514311678</v>
      </c>
      <c r="J28" s="354">
        <f t="shared" si="8"/>
        <v>60.100500547866943</v>
      </c>
      <c r="K28" s="354">
        <f t="shared" si="9"/>
        <v>112.49099068422893</v>
      </c>
      <c r="L28" s="354">
        <f t="shared" si="10"/>
        <v>72.376037130212453</v>
      </c>
      <c r="M28" s="354">
        <f t="shared" si="11"/>
        <v>57.793560016877422</v>
      </c>
    </row>
    <row r="29" spans="1:13">
      <c r="A29" s="136">
        <f t="shared" si="0"/>
        <v>2042</v>
      </c>
      <c r="B29" s="354">
        <f t="shared" si="12"/>
        <v>66.175607680999391</v>
      </c>
      <c r="C29" s="354">
        <f t="shared" si="1"/>
        <v>54.476231991590524</v>
      </c>
      <c r="D29" s="354">
        <f t="shared" si="2"/>
        <v>61.322706970543592</v>
      </c>
      <c r="E29" s="354">
        <f t="shared" si="3"/>
        <v>53.506546916987809</v>
      </c>
      <c r="F29" s="354">
        <f t="shared" si="4"/>
        <v>52.334889676076202</v>
      </c>
      <c r="G29" s="354">
        <f t="shared" si="5"/>
        <v>50.824431394908132</v>
      </c>
      <c r="H29" s="354">
        <f t="shared" si="6"/>
        <v>46.595978129770025</v>
      </c>
      <c r="I29" s="354">
        <f t="shared" si="7"/>
        <v>47.924428103262272</v>
      </c>
      <c r="J29" s="354">
        <f t="shared" si="8"/>
        <v>61.467786935330921</v>
      </c>
      <c r="K29" s="354">
        <f t="shared" si="9"/>
        <v>115.05016072229515</v>
      </c>
      <c r="L29" s="354">
        <f t="shared" si="10"/>
        <v>74.022591974924794</v>
      </c>
      <c r="M29" s="354">
        <f t="shared" si="11"/>
        <v>59.108363507261387</v>
      </c>
    </row>
    <row r="30" spans="1:13">
      <c r="A30" s="136">
        <f t="shared" si="0"/>
        <v>2043</v>
      </c>
      <c r="B30" s="354">
        <f t="shared" si="12"/>
        <v>67.681102755742131</v>
      </c>
      <c r="C30" s="354">
        <f t="shared" si="1"/>
        <v>55.715566269399211</v>
      </c>
      <c r="D30" s="354">
        <f t="shared" si="2"/>
        <v>62.717798554123462</v>
      </c>
      <c r="E30" s="354">
        <f t="shared" si="3"/>
        <v>54.723820859349281</v>
      </c>
      <c r="F30" s="354">
        <f t="shared" si="4"/>
        <v>53.525508416206939</v>
      </c>
      <c r="G30" s="354">
        <f t="shared" si="5"/>
        <v>51.980687209142296</v>
      </c>
      <c r="H30" s="354">
        <f t="shared" si="6"/>
        <v>47.656036632222296</v>
      </c>
      <c r="I30" s="354">
        <f t="shared" si="7"/>
        <v>49.014708842611491</v>
      </c>
      <c r="J30" s="354">
        <f t="shared" si="8"/>
        <v>62.866179088109703</v>
      </c>
      <c r="K30" s="354">
        <f t="shared" si="9"/>
        <v>117.66755187872737</v>
      </c>
      <c r="L30" s="354">
        <f t="shared" si="10"/>
        <v>75.706605942354329</v>
      </c>
      <c r="M30" s="354">
        <f t="shared" si="11"/>
        <v>60.453078777051587</v>
      </c>
    </row>
    <row r="31" spans="1:13">
      <c r="A31" s="136">
        <f t="shared" si="0"/>
        <v>2044</v>
      </c>
      <c r="B31" s="354">
        <f t="shared" si="12"/>
        <v>69.220847843435266</v>
      </c>
      <c r="C31" s="354">
        <f t="shared" si="1"/>
        <v>56.983095402028049</v>
      </c>
      <c r="D31" s="354">
        <f t="shared" si="2"/>
        <v>64.14462847122978</v>
      </c>
      <c r="E31" s="354">
        <f t="shared" si="3"/>
        <v>55.968787783899479</v>
      </c>
      <c r="F31" s="354">
        <f t="shared" si="4"/>
        <v>54.743213732675649</v>
      </c>
      <c r="G31" s="354">
        <f t="shared" si="5"/>
        <v>53.163247843150288</v>
      </c>
      <c r="H31" s="354">
        <f t="shared" si="6"/>
        <v>48.740211465605356</v>
      </c>
      <c r="I31" s="354">
        <f t="shared" si="7"/>
        <v>50.129793468780903</v>
      </c>
      <c r="J31" s="354">
        <f t="shared" si="8"/>
        <v>64.296384662364204</v>
      </c>
      <c r="K31" s="354">
        <f t="shared" si="9"/>
        <v>120.34448868396842</v>
      </c>
      <c r="L31" s="354">
        <f t="shared" si="10"/>
        <v>77.42893122754289</v>
      </c>
      <c r="M31" s="354">
        <f t="shared" si="11"/>
        <v>61.828386319229516</v>
      </c>
    </row>
    <row r="32" spans="1:13">
      <c r="A32" s="136">
        <f t="shared" si="0"/>
        <v>2045</v>
      </c>
      <c r="B32" s="354">
        <f t="shared" si="12"/>
        <v>70.795622131873415</v>
      </c>
      <c r="C32" s="354">
        <f t="shared" si="1"/>
        <v>58.279460822424191</v>
      </c>
      <c r="D32" s="354">
        <f t="shared" si="2"/>
        <v>65.603918768950265</v>
      </c>
      <c r="E32" s="354">
        <f t="shared" si="3"/>
        <v>57.242077705983192</v>
      </c>
      <c r="F32" s="354">
        <f t="shared" si="4"/>
        <v>55.988621845094023</v>
      </c>
      <c r="G32" s="354">
        <f t="shared" si="5"/>
        <v>54.372711731581958</v>
      </c>
      <c r="H32" s="354">
        <f t="shared" si="6"/>
        <v>49.849051276447881</v>
      </c>
      <c r="I32" s="354">
        <f t="shared" si="7"/>
        <v>51.27024627019567</v>
      </c>
      <c r="J32" s="354">
        <f t="shared" si="8"/>
        <v>65.759127413432992</v>
      </c>
      <c r="K32" s="354">
        <f t="shared" si="9"/>
        <v>123.08232580152871</v>
      </c>
      <c r="L32" s="354">
        <f t="shared" si="10"/>
        <v>79.190439412969496</v>
      </c>
      <c r="M32" s="354">
        <f t="shared" si="11"/>
        <v>63.234982107991989</v>
      </c>
    </row>
    <row r="33" spans="1:13">
      <c r="A33" s="136">
        <f t="shared" si="0"/>
        <v>2046</v>
      </c>
      <c r="B33" s="354">
        <f t="shared" si="12"/>
        <v>72.406222535373544</v>
      </c>
      <c r="C33" s="354">
        <f t="shared" si="1"/>
        <v>59.605318556134343</v>
      </c>
      <c r="D33" s="354">
        <f t="shared" si="2"/>
        <v>67.096407920943889</v>
      </c>
      <c r="E33" s="354">
        <f t="shared" si="3"/>
        <v>58.544334973794314</v>
      </c>
      <c r="F33" s="354">
        <f t="shared" si="4"/>
        <v>57.262362992069917</v>
      </c>
      <c r="G33" s="354">
        <f t="shared" si="5"/>
        <v>55.609690923475448</v>
      </c>
      <c r="H33" s="354">
        <f t="shared" si="6"/>
        <v>50.983117192987073</v>
      </c>
      <c r="I33" s="354">
        <f t="shared" si="7"/>
        <v>52.436644372842622</v>
      </c>
      <c r="J33" s="354">
        <f t="shared" si="8"/>
        <v>67.255147562088595</v>
      </c>
      <c r="K33" s="354">
        <f t="shared" si="9"/>
        <v>125.8824487135135</v>
      </c>
      <c r="L33" s="354">
        <f t="shared" si="10"/>
        <v>80.99202190961455</v>
      </c>
      <c r="M33" s="354">
        <f t="shared" si="11"/>
        <v>64.673577950948811</v>
      </c>
    </row>
    <row r="34" spans="1:13">
      <c r="A34" s="136">
        <f t="shared" si="0"/>
        <v>2047</v>
      </c>
      <c r="B34" s="354">
        <f t="shared" si="12"/>
        <v>74.053464098053297</v>
      </c>
      <c r="C34" s="354">
        <f t="shared" si="1"/>
        <v>60.9613395532864</v>
      </c>
      <c r="D34" s="354">
        <f t="shared" si="2"/>
        <v>68.622851201145366</v>
      </c>
      <c r="E34" s="354">
        <f t="shared" si="3"/>
        <v>59.87621859444814</v>
      </c>
      <c r="F34" s="354">
        <f t="shared" si="4"/>
        <v>58.565081750139512</v>
      </c>
      <c r="G34" s="354">
        <f t="shared" si="5"/>
        <v>56.874811391984515</v>
      </c>
      <c r="H34" s="354">
        <f t="shared" si="6"/>
        <v>52.142983109127535</v>
      </c>
      <c r="I34" s="354">
        <f t="shared" si="7"/>
        <v>53.629578032324794</v>
      </c>
      <c r="J34" s="354">
        <f t="shared" si="8"/>
        <v>68.785202169126109</v>
      </c>
      <c r="K34" s="354">
        <f t="shared" si="9"/>
        <v>128.74627442174594</v>
      </c>
      <c r="L34" s="354">
        <f t="shared" si="10"/>
        <v>82.83459040805829</v>
      </c>
      <c r="M34" s="354">
        <f t="shared" si="11"/>
        <v>66.144901849332896</v>
      </c>
    </row>
    <row r="35" spans="1:13">
      <c r="A35" s="136">
        <f t="shared" si="0"/>
        <v>2048</v>
      </c>
      <c r="B35" s="354">
        <f t="shared" si="12"/>
        <v>75.738180406284016</v>
      </c>
      <c r="C35" s="354">
        <f t="shared" si="1"/>
        <v>62.348210028123667</v>
      </c>
      <c r="D35" s="354">
        <f t="shared" si="2"/>
        <v>70.184021065971422</v>
      </c>
      <c r="E35" s="354">
        <f t="shared" si="3"/>
        <v>61.238402567471837</v>
      </c>
      <c r="F35" s="354">
        <f t="shared" si="4"/>
        <v>59.897437359955191</v>
      </c>
      <c r="G35" s="354">
        <f t="shared" si="5"/>
        <v>58.168713351152164</v>
      </c>
      <c r="H35" s="354">
        <f t="shared" si="6"/>
        <v>53.32923597486019</v>
      </c>
      <c r="I35" s="354">
        <f t="shared" si="7"/>
        <v>54.849650932560188</v>
      </c>
      <c r="J35" s="354">
        <f t="shared" si="8"/>
        <v>70.350065518473727</v>
      </c>
      <c r="K35" s="354">
        <f t="shared" si="9"/>
        <v>131.67525216484066</v>
      </c>
      <c r="L35" s="354">
        <f t="shared" si="10"/>
        <v>84.719077339841618</v>
      </c>
      <c r="M35" s="354">
        <f t="shared" si="11"/>
        <v>67.649698366405218</v>
      </c>
    </row>
    <row r="36" spans="1:13">
      <c r="A36" s="136">
        <f t="shared" si="0"/>
        <v>2049</v>
      </c>
      <c r="B36" s="354">
        <f t="shared" si="12"/>
        <v>77.461224010526976</v>
      </c>
      <c r="C36" s="354">
        <f t="shared" si="1"/>
        <v>63.766631806263483</v>
      </c>
      <c r="D36" s="354">
        <f t="shared" si="2"/>
        <v>71.78070754522227</v>
      </c>
      <c r="E36" s="354">
        <f t="shared" si="3"/>
        <v>62.631576225881822</v>
      </c>
      <c r="F36" s="354">
        <f t="shared" si="4"/>
        <v>61.260104059894175</v>
      </c>
      <c r="G36" s="354">
        <f t="shared" si="5"/>
        <v>59.492051579890877</v>
      </c>
      <c r="H36" s="354">
        <f t="shared" si="6"/>
        <v>54.542476093288265</v>
      </c>
      <c r="I36" s="354">
        <f t="shared" si="7"/>
        <v>56.097480491275938</v>
      </c>
      <c r="J36" s="354">
        <f t="shared" si="8"/>
        <v>71.950529509019006</v>
      </c>
      <c r="K36" s="354">
        <f t="shared" si="9"/>
        <v>134.67086415159079</v>
      </c>
      <c r="L36" s="354">
        <f t="shared" si="10"/>
        <v>86.646436349323025</v>
      </c>
      <c r="M36" s="354">
        <f t="shared" si="11"/>
        <v>69.18872900424094</v>
      </c>
    </row>
    <row r="37" spans="1:13">
      <c r="A37" s="136">
        <f t="shared" si="0"/>
        <v>2050</v>
      </c>
      <c r="B37" s="354">
        <f t="shared" si="12"/>
        <v>79.223466856766464</v>
      </c>
      <c r="C37" s="354">
        <f t="shared" si="1"/>
        <v>65.217322679855982</v>
      </c>
      <c r="D37" s="354">
        <f t="shared" si="2"/>
        <v>73.413718641876088</v>
      </c>
      <c r="E37" s="354">
        <f t="shared" si="3"/>
        <v>64.056444585020643</v>
      </c>
      <c r="F37" s="354">
        <f t="shared" si="4"/>
        <v>62.653771427256771</v>
      </c>
      <c r="G37" s="354">
        <f t="shared" si="5"/>
        <v>60.845495753333395</v>
      </c>
      <c r="H37" s="354">
        <f t="shared" si="6"/>
        <v>55.783317424410576</v>
      </c>
      <c r="I37" s="354">
        <f t="shared" si="7"/>
        <v>57.373698172452471</v>
      </c>
      <c r="J37" s="354">
        <f t="shared" si="8"/>
        <v>73.587404055349197</v>
      </c>
      <c r="K37" s="354">
        <f t="shared" si="9"/>
        <v>137.73462631103948</v>
      </c>
      <c r="L37" s="354">
        <f t="shared" si="10"/>
        <v>88.617642776270131</v>
      </c>
      <c r="M37" s="354">
        <f t="shared" si="11"/>
        <v>70.762772589087419</v>
      </c>
    </row>
    <row r="38" spans="1:13">
      <c r="A38" s="136">
        <f t="shared" si="0"/>
        <v>2051</v>
      </c>
      <c r="B38" s="354">
        <f t="shared" si="12"/>
        <v>81.025800727757911</v>
      </c>
      <c r="C38" s="354">
        <f t="shared" si="1"/>
        <v>66.701016770822704</v>
      </c>
      <c r="D38" s="354">
        <f t="shared" si="2"/>
        <v>75.083880740978771</v>
      </c>
      <c r="E38" s="354">
        <f t="shared" si="3"/>
        <v>65.51372869932986</v>
      </c>
      <c r="F38" s="354">
        <f t="shared" si="4"/>
        <v>64.079144727226861</v>
      </c>
      <c r="G38" s="354">
        <f t="shared" si="5"/>
        <v>62.229730781721734</v>
      </c>
      <c r="H38" s="354">
        <f t="shared" si="6"/>
        <v>57.052387895815919</v>
      </c>
      <c r="I38" s="354">
        <f t="shared" si="7"/>
        <v>58.678949805875767</v>
      </c>
      <c r="J38" s="354">
        <f t="shared" si="8"/>
        <v>75.261517497608395</v>
      </c>
      <c r="K38" s="354">
        <f t="shared" si="9"/>
        <v>140.86808905961564</v>
      </c>
      <c r="L38" s="354">
        <f t="shared" si="10"/>
        <v>90.633694149430283</v>
      </c>
      <c r="M38" s="354">
        <f t="shared" si="11"/>
        <v>72.372625665489167</v>
      </c>
    </row>
    <row r="39" spans="1:13">
      <c r="A39" s="136">
        <f t="shared" si="0"/>
        <v>2052</v>
      </c>
      <c r="B39" s="354">
        <f t="shared" si="12"/>
        <v>82.869137694314404</v>
      </c>
      <c r="C39" s="354">
        <f t="shared" si="1"/>
        <v>68.218464902358917</v>
      </c>
      <c r="D39" s="354">
        <f t="shared" si="2"/>
        <v>76.79203902783604</v>
      </c>
      <c r="E39" s="354">
        <f t="shared" si="3"/>
        <v>67.00416602723962</v>
      </c>
      <c r="F39" s="354">
        <f t="shared" si="4"/>
        <v>65.53694526977128</v>
      </c>
      <c r="G39" s="354">
        <f t="shared" si="5"/>
        <v>63.645457157005907</v>
      </c>
      <c r="H39" s="354">
        <f t="shared" si="6"/>
        <v>58.350329720445735</v>
      </c>
      <c r="I39" s="354">
        <f t="shared" si="7"/>
        <v>60.013895913959445</v>
      </c>
      <c r="J39" s="354">
        <f t="shared" si="8"/>
        <v>76.97371702067899</v>
      </c>
      <c r="K39" s="354">
        <f t="shared" si="9"/>
        <v>144.07283808572191</v>
      </c>
      <c r="L39" s="354">
        <f t="shared" si="10"/>
        <v>92.695610691329833</v>
      </c>
      <c r="M39" s="354">
        <f t="shared" si="11"/>
        <v>74.01910289937905</v>
      </c>
    </row>
    <row r="40" spans="1:13">
      <c r="A40" s="136">
        <f t="shared" si="0"/>
        <v>2053</v>
      </c>
      <c r="B40" s="354">
        <f t="shared" si="12"/>
        <v>84.754410576860067</v>
      </c>
      <c r="C40" s="354">
        <f t="shared" si="1"/>
        <v>69.770434978887593</v>
      </c>
      <c r="D40" s="354">
        <f t="shared" si="2"/>
        <v>78.539057915719312</v>
      </c>
      <c r="E40" s="354">
        <f t="shared" si="3"/>
        <v>68.528510804359328</v>
      </c>
      <c r="F40" s="354">
        <f t="shared" si="4"/>
        <v>67.027910774658579</v>
      </c>
      <c r="G40" s="354">
        <f t="shared" si="5"/>
        <v>65.093391307327792</v>
      </c>
      <c r="H40" s="354">
        <f t="shared" si="6"/>
        <v>59.677799721585878</v>
      </c>
      <c r="I40" s="354">
        <f t="shared" si="7"/>
        <v>61.379212046002024</v>
      </c>
      <c r="J40" s="354">
        <f t="shared" si="8"/>
        <v>78.724869082899446</v>
      </c>
      <c r="K40" s="354">
        <f t="shared" si="9"/>
        <v>147.3504951521721</v>
      </c>
      <c r="L40" s="354">
        <f t="shared" si="10"/>
        <v>94.804435834557594</v>
      </c>
      <c r="M40" s="354">
        <f t="shared" si="11"/>
        <v>75.703037490339923</v>
      </c>
    </row>
    <row r="41" spans="1:13">
      <c r="A41" s="136">
        <f t="shared" si="0"/>
        <v>2054</v>
      </c>
      <c r="B41" s="354"/>
      <c r="C41" s="354">
        <f t="shared" ref="C41:C46" si="13">C40*(1+$N$14)</f>
        <v>71.357712374657282</v>
      </c>
      <c r="D41" s="354"/>
      <c r="E41" s="354"/>
      <c r="F41" s="354"/>
      <c r="G41" s="354"/>
      <c r="H41" s="354">
        <f t="shared" ref="H41:H45" si="14">H40*(1+$N$14)</f>
        <v>61.035469665251959</v>
      </c>
      <c r="I41" s="354"/>
      <c r="J41" s="354">
        <f t="shared" ref="J41:J46" si="15">J40*(1+$N$14)</f>
        <v>80.515859854535407</v>
      </c>
      <c r="K41" s="354">
        <f>K40*(1+$N$14)</f>
        <v>150.70271891688401</v>
      </c>
      <c r="L41" s="354">
        <f>L40*(1+$N$14)</f>
        <v>96.961236749793784</v>
      </c>
      <c r="M41" s="354">
        <f t="shared" si="11"/>
        <v>77.42528159324516</v>
      </c>
    </row>
    <row r="42" spans="1:13">
      <c r="A42" s="136">
        <f t="shared" si="0"/>
        <v>2055</v>
      </c>
      <c r="B42" s="354"/>
      <c r="C42" s="354">
        <f t="shared" si="13"/>
        <v>72.981100331180741</v>
      </c>
      <c r="D42" s="354"/>
      <c r="E42" s="354"/>
      <c r="F42" s="354"/>
      <c r="G42" s="354"/>
      <c r="H42" s="354">
        <f t="shared" si="14"/>
        <v>62.424026600136443</v>
      </c>
      <c r="I42" s="354"/>
      <c r="J42" s="354">
        <f t="shared" si="15"/>
        <v>82.347595666226084</v>
      </c>
      <c r="K42" s="354">
        <f>K41*(1+$N$14)</f>
        <v>154.13120577224313</v>
      </c>
      <c r="L42" s="354">
        <f>L41*(1+$N$14)</f>
        <v>99.1671048858516</v>
      </c>
      <c r="M42" s="354">
        <f t="shared" si="11"/>
        <v>79.186706749491492</v>
      </c>
    </row>
    <row r="43" spans="1:13">
      <c r="A43" s="136">
        <f t="shared" si="0"/>
        <v>2056</v>
      </c>
      <c r="B43" s="354"/>
      <c r="C43" s="354">
        <f t="shared" si="13"/>
        <v>74.641420363715113</v>
      </c>
      <c r="D43" s="354"/>
      <c r="E43" s="354"/>
      <c r="F43" s="354"/>
      <c r="G43" s="354"/>
      <c r="H43" s="354">
        <f t="shared" si="14"/>
        <v>63.84417320528955</v>
      </c>
      <c r="I43" s="354"/>
      <c r="J43" s="354">
        <f t="shared" si="15"/>
        <v>84.221003467632727</v>
      </c>
      <c r="K43" s="359"/>
      <c r="L43" s="354">
        <f>L42*(1+$N$14)</f>
        <v>101.42315652200473</v>
      </c>
      <c r="M43" s="354">
        <f t="shared" si="11"/>
        <v>80.988204328042428</v>
      </c>
    </row>
    <row r="44" spans="1:13">
      <c r="A44" s="136">
        <f t="shared" si="0"/>
        <v>2057</v>
      </c>
      <c r="B44" s="354"/>
      <c r="C44" s="354">
        <f t="shared" si="13"/>
        <v>76.339512676989642</v>
      </c>
      <c r="D44" s="354"/>
      <c r="E44" s="354"/>
      <c r="F44" s="354"/>
      <c r="G44" s="354"/>
      <c r="H44" s="354">
        <f t="shared" si="14"/>
        <v>65.296628145709889</v>
      </c>
      <c r="I44" s="354"/>
      <c r="J44" s="354">
        <f t="shared" si="15"/>
        <v>86.137031296521371</v>
      </c>
      <c r="K44" s="359"/>
      <c r="L44" s="354">
        <f>L43*(1+$N$14)</f>
        <v>103.73053333288034</v>
      </c>
      <c r="M44" s="354">
        <f t="shared" si="11"/>
        <v>82.830685976505393</v>
      </c>
    </row>
    <row r="45" spans="1:13">
      <c r="A45" s="136">
        <f t="shared" si="0"/>
        <v>2058</v>
      </c>
      <c r="B45" s="354"/>
      <c r="C45" s="354">
        <f t="shared" si="13"/>
        <v>78.076236590391161</v>
      </c>
      <c r="D45" s="354"/>
      <c r="E45" s="354"/>
      <c r="F45" s="354"/>
      <c r="G45" s="354"/>
      <c r="H45" s="354">
        <f t="shared" si="14"/>
        <v>66.782126436024797</v>
      </c>
      <c r="I45" s="354"/>
      <c r="J45" s="354">
        <f t="shared" si="15"/>
        <v>88.096648758517233</v>
      </c>
      <c r="K45" s="359"/>
      <c r="L45" s="354">
        <f>L44*(1+$N$14)</f>
        <v>106.09040296620337</v>
      </c>
      <c r="M45" s="354">
        <f t="shared" si="11"/>
        <v>84.715084082470895</v>
      </c>
    </row>
    <row r="46" spans="1:13">
      <c r="A46" s="136">
        <f t="shared" si="0"/>
        <v>2059</v>
      </c>
      <c r="B46" s="354"/>
      <c r="C46" s="354">
        <f t="shared" si="13"/>
        <v>79.852470972822559</v>
      </c>
      <c r="D46" s="354"/>
      <c r="E46" s="354"/>
      <c r="F46" s="354"/>
      <c r="G46" s="354"/>
      <c r="H46" s="354"/>
      <c r="I46" s="354"/>
      <c r="J46" s="354">
        <f t="shared" si="15"/>
        <v>90.100847517773502</v>
      </c>
      <c r="K46" s="359"/>
      <c r="L46" s="359"/>
      <c r="M46" s="354">
        <f t="shared" si="11"/>
        <v>86.642352245347112</v>
      </c>
    </row>
    <row r="47" spans="1:13">
      <c r="A47" s="136">
        <f t="shared" ref="A47:A48" si="16">A46+1</f>
        <v>2060</v>
      </c>
      <c r="B47" s="354"/>
      <c r="C47" s="354">
        <f t="shared" ref="C47:C48" si="17">C46*(1+$N$14)</f>
        <v>81.669114687454282</v>
      </c>
      <c r="D47" s="354"/>
      <c r="E47" s="354"/>
      <c r="F47" s="354"/>
      <c r="G47" s="354"/>
      <c r="H47" s="354"/>
      <c r="I47" s="354"/>
      <c r="J47" s="354"/>
      <c r="K47" s="359"/>
      <c r="L47" s="359"/>
      <c r="M47" s="354">
        <f t="shared" ref="M47:M48" si="18">M46*(1+$N$14)</f>
        <v>88.613465758928768</v>
      </c>
    </row>
    <row r="48" spans="1:13">
      <c r="A48" s="136">
        <f t="shared" si="16"/>
        <v>2061</v>
      </c>
      <c r="B48" s="354"/>
      <c r="C48" s="354">
        <f t="shared" si="17"/>
        <v>83.527087046593877</v>
      </c>
      <c r="D48" s="354"/>
      <c r="E48" s="354"/>
      <c r="F48" s="354"/>
      <c r="G48" s="354"/>
      <c r="H48" s="354"/>
      <c r="I48" s="354"/>
      <c r="J48" s="354"/>
      <c r="K48" s="359"/>
      <c r="L48" s="359"/>
      <c r="M48" s="354">
        <f t="shared" si="18"/>
        <v>90.629422104944396</v>
      </c>
    </row>
    <row r="49" spans="1:13" ht="12" customHeight="1">
      <c r="A49" s="136"/>
    </row>
    <row r="50" spans="1:13" ht="12" customHeight="1">
      <c r="A50" s="355" t="s">
        <v>161</v>
      </c>
      <c r="B50" s="356">
        <f>PMT(Discount_Rate,30,-NPV(Discount_Rate,Table3ACsummary!B$11:B$40))</f>
        <v>43.465683484186577</v>
      </c>
      <c r="C50" s="356">
        <f>PMT(Discount_Rate,30,-NPV(Discount_Rate,Table3ACsummary!C$17:C$46))</f>
        <v>52.807878029412443</v>
      </c>
      <c r="D50" s="356">
        <f>PMT(Discount_Rate,30,-NPV(Discount_Rate,Table3ACsummary!D$11:D$40))</f>
        <v>52.145597189498531</v>
      </c>
      <c r="E50" s="356">
        <f>PMT(Discount_Rate,30,-NPV(Discount_Rate,Table3ACsummary!E$11:E$40))</f>
        <v>45.497716777909446</v>
      </c>
      <c r="F50" s="356">
        <f>PMT(Discount_Rate,30,-NPV(Discount_Rate,Table3ACsummary!F$11:F$40))</f>
        <v>44.50467856131965</v>
      </c>
      <c r="G50" s="356">
        <f>PMT(Discount_Rate,30,-NPV(Discount_Rate,Table3ACsummary!G$11:G$40))</f>
        <v>43.220800868168766</v>
      </c>
      <c r="H50" s="356">
        <f>PMT(Discount_Rate,30,-NPV(Discount_Rate,Table3ACsummary!H$16:H$45))</f>
        <v>44.230736236429529</v>
      </c>
      <c r="I50" s="356">
        <f>PMT(Discount_Rate,30,-NPV(Discount_Rate,Table3ACsummary!I$11:I$40))</f>
        <v>40.751866566864287</v>
      </c>
      <c r="J50" s="356">
        <f>PMT(Discount_Rate,30,-NPV(Discount_Rate,Table3ACsummary!J$11:J$40))</f>
        <v>53.13551596625387</v>
      </c>
      <c r="K50" s="356">
        <f>PMT(Discount_Rate,30,-NPV(Discount_Rate,Table3ACsummary!K$13:K$42))</f>
        <v>96.314613589620421</v>
      </c>
      <c r="L50" s="356">
        <f>PMT(Discount_Rate,30,-NPV(Discount_Rate,Table3ACsummary!L$16:L$45))</f>
        <v>70.716490719399445</v>
      </c>
      <c r="M50" s="356">
        <f>PMT(Discount_Rate,30,-NPV(Discount_Rate,Table3ACsummary!M$19:M$48))</f>
        <v>59.89860592221865</v>
      </c>
    </row>
    <row r="51" spans="1:13" ht="12" customHeight="1">
      <c r="A51" s="136"/>
    </row>
    <row r="52" spans="1:13">
      <c r="A52" s="136"/>
    </row>
    <row r="53" spans="1:13">
      <c r="A53" s="136"/>
    </row>
    <row r="54" spans="1:13">
      <c r="A54" s="136"/>
    </row>
    <row r="55" spans="1:13">
      <c r="A55" s="136"/>
    </row>
    <row r="56" spans="1:13">
      <c r="A56" s="136"/>
    </row>
    <row r="57" spans="1:13">
      <c r="A57" s="136"/>
    </row>
    <row r="58" spans="1:13">
      <c r="A58" s="136"/>
    </row>
    <row r="59" spans="1:13">
      <c r="A59" s="136"/>
    </row>
    <row r="60" spans="1:13">
      <c r="A60" s="136"/>
    </row>
    <row r="61" spans="1:13">
      <c r="A61" s="136"/>
    </row>
    <row r="62" spans="1:13">
      <c r="A62" s="136"/>
    </row>
    <row r="63" spans="1:13">
      <c r="A63" s="136"/>
    </row>
    <row r="64" spans="1:13">
      <c r="A64" s="136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324"/>
  <sheetViews>
    <sheetView tabSelected="1" topLeftCell="A2" zoomScale="70" zoomScaleNormal="70" workbookViewId="0">
      <pane xSplit="2" ySplit="11" topLeftCell="C233" activePane="bottomRight" state="frozen"/>
      <selection activeCell="A2" sqref="A2"/>
      <selection pane="topRight" activeCell="C2" sqref="C2"/>
      <selection pane="bottomLeft" activeCell="A13" sqref="A13"/>
      <selection pane="bottomRight" activeCell="B252" sqref="B252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5"/>
    </row>
    <row r="4" spans="1:19" ht="38.25">
      <c r="B4" s="83" t="str">
        <f ca="1">'Table 1'!B5</f>
        <v>Utah 2020.Q1 - 100.0 MW and 100.0% CF</v>
      </c>
      <c r="C4" s="83"/>
      <c r="D4" s="83"/>
      <c r="E4" s="83"/>
      <c r="F4" s="83"/>
      <c r="G4" s="83"/>
      <c r="K4" s="56">
        <f>MIN(K13:K24)</f>
        <v>43831</v>
      </c>
      <c r="M4" s="57" t="s">
        <v>270</v>
      </c>
      <c r="P4" s="220" t="s">
        <v>232</v>
      </c>
      <c r="Q4" s="220" t="s">
        <v>233</v>
      </c>
      <c r="R4" s="220" t="s">
        <v>234</v>
      </c>
      <c r="S4" s="220" t="s">
        <v>235</v>
      </c>
    </row>
    <row r="5" spans="1:19">
      <c r="B5" s="83" t="str">
        <f>TEXT($K$5,"MMMM YYYY")&amp;"  through  "&amp;TEXT($K$6,"MMMM YYYY")</f>
        <v>January 2020  through  December 2039</v>
      </c>
      <c r="C5" s="83"/>
      <c r="D5" s="83"/>
      <c r="E5" s="83"/>
      <c r="F5" s="83"/>
      <c r="G5" s="83"/>
      <c r="J5" s="56" t="s">
        <v>38</v>
      </c>
      <c r="K5" s="190">
        <f>MIN(K13:K24)</f>
        <v>43831</v>
      </c>
      <c r="M5" s="56" t="s">
        <v>39</v>
      </c>
      <c r="O5" s="3" t="s">
        <v>80</v>
      </c>
      <c r="P5" s="5">
        <f>13+12</f>
        <v>25</v>
      </c>
      <c r="Q5" s="5">
        <f>13+12*3</f>
        <v>49</v>
      </c>
      <c r="R5" s="5">
        <v>13</v>
      </c>
      <c r="S5" s="5">
        <f>R5+24</f>
        <v>37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90">
        <f>EDATE(K5,20*12-1)</f>
        <v>51105</v>
      </c>
      <c r="M6" s="57">
        <v>100</v>
      </c>
      <c r="N6" s="56" t="s">
        <v>32</v>
      </c>
      <c r="O6" s="5" t="s">
        <v>81</v>
      </c>
      <c r="P6">
        <f>P5+15*12-1</f>
        <v>204</v>
      </c>
      <c r="Q6">
        <f>Q5+15*12-1</f>
        <v>228</v>
      </c>
      <c r="R6">
        <f>R5+15*12-1</f>
        <v>192</v>
      </c>
      <c r="S6">
        <f>S5+179</f>
        <v>216</v>
      </c>
    </row>
    <row r="7" spans="1:19">
      <c r="A7" s="107" t="str">
        <f>Q4</f>
        <v>15 Year Starting 2023</v>
      </c>
      <c r="B7" s="174"/>
      <c r="C7" s="58">
        <f ca="1">NPV($K$9,INDIRECT("C"&amp;$Q$5&amp;":C"&amp;$Q$6))</f>
        <v>182263288.77199736</v>
      </c>
      <c r="D7" s="58">
        <f ca="1">NPV($K$9,INDIRECT("d"&amp;$Q$5&amp;":d"&amp;$Q$6))</f>
        <v>86590285.206973523</v>
      </c>
      <c r="E7" s="58">
        <f ca="1">NPV($K$9,INDIRECT("E"&amp;$Q$5&amp;":E"&amp;$Q$6))</f>
        <v>268853573.97897077</v>
      </c>
      <c r="F7" s="390">
        <f ca="1">NPV($K$9,INDIRECT("f"&amp;$Q$5&amp;":f"&amp;$Q$6))</f>
        <v>8275277.0087881275</v>
      </c>
      <c r="G7" s="91">
        <f ca="1">($C7+D7)/$F7</f>
        <v>32.488770308650146</v>
      </c>
      <c r="M7" s="111">
        <f ca="1">SUM(OFFSET(F12,MATCH(K5,B13:B24,0),0,12))/(EDATE(K5,12)-K5)/24/Study_MW</f>
        <v>1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>15 Year Starting 2022</v>
      </c>
      <c r="C9" s="58">
        <f ca="1">NPV($K$9,INDIRECT("C"&amp;$S$5&amp;":C"&amp;$S$6))</f>
        <v>174236069.06583232</v>
      </c>
      <c r="D9" s="58">
        <f ca="1">NPV($K$9,INDIRECT("d"&amp;$S$5&amp;":d"&amp;$S$6))</f>
        <v>75801502.182779476</v>
      </c>
      <c r="E9" s="58">
        <f ca="1">NPV($K$9,INDIRECT("e"&amp;$S$5&amp;":e"&amp;$S$6))</f>
        <v>250037571.24861175</v>
      </c>
      <c r="F9" s="390">
        <f ca="1">NPV($K$9,INDIRECT("f"&amp;$S$5&amp;":f"&amp;$S$6))</f>
        <v>8274874.928917408</v>
      </c>
      <c r="G9" s="91">
        <f ca="1">($C9+D9)/$F9</f>
        <v>30.216477396513827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 t="str">
        <f>R4</f>
        <v>15 Year Starting 2020</v>
      </c>
      <c r="C10" s="58">
        <f ca="1">NPV($K$9,INDIRECT("C"&amp;$R$5&amp;":C"&amp;$R$6))</f>
        <v>157120530.24441329</v>
      </c>
      <c r="D10" s="58">
        <f ca="1">NPV($K$9,INDIRECT("d"&amp;$R$5&amp;":d"&amp;$R$6))</f>
        <v>56583954.030175619</v>
      </c>
      <c r="E10" s="58">
        <f ca="1">NPV($K$9,INDIRECT("e"&amp;$R$5&amp;":e"&amp;$R$6))</f>
        <v>213704484.27458876</v>
      </c>
      <c r="F10" s="390">
        <f ca="1">NPV($K$9,INDIRECT("f"&amp;$R$5&amp;":f"&amp;$R$6))</f>
        <v>8275706.912585902</v>
      </c>
      <c r="G10" s="91">
        <f ca="1">($C10+D10)/$F10</f>
        <v>25.823109316447855</v>
      </c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100.0% CF</v>
      </c>
      <c r="E12" s="66" t="s">
        <v>50</v>
      </c>
      <c r="F12" s="67" t="s">
        <v>46</v>
      </c>
      <c r="G12" s="65" t="str">
        <f>D12</f>
        <v>100.0%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43831</v>
      </c>
      <c r="C13" s="69">
        <v>1011569.3785318434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1011569.3785318434</v>
      </c>
      <c r="F13" s="69">
        <v>74400</v>
      </c>
      <c r="G13" s="72">
        <f t="shared" ref="G13:G17" si="1">IF(ISNUMBER($F13),E13/$F13,"")</f>
        <v>13.596362614675314</v>
      </c>
      <c r="I13" s="60">
        <v>1</v>
      </c>
      <c r="J13" s="73">
        <f>YEAR(B13)</f>
        <v>2020</v>
      </c>
      <c r="K13" s="74">
        <f t="shared" ref="K13:K24" si="2">IF(ISNUMBER(F13),B13,"")</f>
        <v>43831</v>
      </c>
      <c r="L13" s="56">
        <v>358</v>
      </c>
      <c r="M13" s="56" t="s">
        <v>49</v>
      </c>
    </row>
    <row r="14" spans="1:19">
      <c r="B14" s="78">
        <f t="shared" ref="B14:B77" si="3">EDATE(B13,1)</f>
        <v>43862</v>
      </c>
      <c r="C14" s="75">
        <v>850359.08686515689</v>
      </c>
      <c r="D14" s="71">
        <f>IF(ISNUMBER($F14),VLOOKUP($J14,'Table 1'!$B$13:$C$33,2,FALSE)/12*1000*Study_MW,"")</f>
        <v>0</v>
      </c>
      <c r="E14" s="71">
        <f t="shared" si="0"/>
        <v>850359.08686515689</v>
      </c>
      <c r="F14" s="75">
        <v>69600</v>
      </c>
      <c r="G14" s="76">
        <f t="shared" si="1"/>
        <v>12.217802972200531</v>
      </c>
      <c r="I14" s="77">
        <f>I13+1</f>
        <v>2</v>
      </c>
      <c r="J14" s="73">
        <f t="shared" ref="J14:J77" si="4">YEAR(B14)</f>
        <v>2020</v>
      </c>
      <c r="K14" s="78">
        <f t="shared" si="2"/>
        <v>43862</v>
      </c>
      <c r="L14" s="56">
        <v>456</v>
      </c>
      <c r="M14" s="90" t="s">
        <v>268</v>
      </c>
    </row>
    <row r="15" spans="1:19">
      <c r="B15" s="78">
        <f t="shared" si="3"/>
        <v>43891</v>
      </c>
      <c r="C15" s="75">
        <v>920119.04513978958</v>
      </c>
      <c r="D15" s="71">
        <f>IF(ISNUMBER($F15),VLOOKUP($J15,'Table 1'!$B$13:$C$33,2,FALSE)/12*1000*Study_MW,"")</f>
        <v>0</v>
      </c>
      <c r="E15" s="71">
        <f t="shared" si="0"/>
        <v>920119.04513978958</v>
      </c>
      <c r="F15" s="75">
        <v>74400</v>
      </c>
      <c r="G15" s="76">
        <f t="shared" si="1"/>
        <v>12.367191466932656</v>
      </c>
      <c r="I15" s="77">
        <f t="shared" ref="I15:I24" si="5">I14+1</f>
        <v>3</v>
      </c>
      <c r="J15" s="73">
        <f t="shared" si="4"/>
        <v>2020</v>
      </c>
      <c r="K15" s="78">
        <f t="shared" si="2"/>
        <v>43891</v>
      </c>
    </row>
    <row r="16" spans="1:19">
      <c r="B16" s="78">
        <f t="shared" si="3"/>
        <v>43922</v>
      </c>
      <c r="C16" s="75">
        <v>840514.6466293335</v>
      </c>
      <c r="D16" s="71">
        <f>IF(ISNUMBER($F16),VLOOKUP($J16,'Table 1'!$B$13:$C$33,2,FALSE)/12*1000*Study_MW,"")</f>
        <v>0</v>
      </c>
      <c r="E16" s="71">
        <f t="shared" si="0"/>
        <v>840514.6466293335</v>
      </c>
      <c r="F16" s="75">
        <v>72000</v>
      </c>
      <c r="G16" s="76">
        <f t="shared" si="1"/>
        <v>11.67381453651852</v>
      </c>
      <c r="I16" s="77">
        <f t="shared" si="5"/>
        <v>4</v>
      </c>
      <c r="J16" s="73">
        <f t="shared" si="4"/>
        <v>2020</v>
      </c>
      <c r="K16" s="78">
        <f t="shared" si="2"/>
        <v>43922</v>
      </c>
      <c r="L16" s="73">
        <f>YEAR(B13)</f>
        <v>2020</v>
      </c>
      <c r="M16" s="56">
        <f>SUMIF($J$13:$J$264,L16,$C$13:$C$264)</f>
        <v>12493207.554352343</v>
      </c>
      <c r="N16" s="56">
        <f>SUMIF($J$13:$J$264,L16,$D$13:$D$264)</f>
        <v>0</v>
      </c>
      <c r="O16" s="56">
        <f t="shared" ref="O16:O25" si="6">SUMIF($J$13:$J$264,L16,$F$13:$F$264)</f>
        <v>878400</v>
      </c>
      <c r="P16" s="114">
        <f t="shared" ref="P16:P25" si="7">(M16+N16)/O16</f>
        <v>14.22268619575631</v>
      </c>
      <c r="Q16" s="167">
        <f>M16/O16</f>
        <v>14.22268619575631</v>
      </c>
      <c r="R16" s="167">
        <f>IFERROR(N16/O16,0)</f>
        <v>0</v>
      </c>
    </row>
    <row r="17" spans="2:20">
      <c r="B17" s="78">
        <f t="shared" si="3"/>
        <v>43952</v>
      </c>
      <c r="C17" s="75">
        <v>856632.85217027366</v>
      </c>
      <c r="D17" s="71">
        <f>IF(ISNUMBER($F17),VLOOKUP($J17,'Table 1'!$B$13:$C$33,2,FALSE)/12*1000*Study_MW,"")</f>
        <v>0</v>
      </c>
      <c r="E17" s="71">
        <f t="shared" si="0"/>
        <v>856632.85217027366</v>
      </c>
      <c r="F17" s="75">
        <v>74400</v>
      </c>
      <c r="G17" s="76">
        <f t="shared" si="1"/>
        <v>11.513882421643464</v>
      </c>
      <c r="I17" s="77">
        <f t="shared" si="5"/>
        <v>5</v>
      </c>
      <c r="J17" s="73">
        <f t="shared" si="4"/>
        <v>2020</v>
      </c>
      <c r="K17" s="78">
        <f t="shared" si="2"/>
        <v>43952</v>
      </c>
      <c r="L17" s="73">
        <f>L16+1</f>
        <v>2021</v>
      </c>
      <c r="M17" s="56">
        <f>SUMIF($J$13:$J$264,L17,$C$13:$C$264)</f>
        <v>14618493.649853945</v>
      </c>
      <c r="N17" s="56">
        <f t="shared" ref="N17:N36" si="8">SUMIF($J$13:$J$264,L17,$D$13:$D$264)</f>
        <v>0</v>
      </c>
      <c r="O17" s="56">
        <f t="shared" si="6"/>
        <v>876000</v>
      </c>
      <c r="P17" s="114">
        <f t="shared" si="7"/>
        <v>16.687778139102676</v>
      </c>
      <c r="Q17" s="167">
        <f t="shared" ref="Q17:Q33" si="9">M17/O17</f>
        <v>16.687778139102676</v>
      </c>
      <c r="R17" s="167">
        <f t="shared" ref="R17:R33" si="10">IFERROR(N17/O17,0)</f>
        <v>0</v>
      </c>
    </row>
    <row r="18" spans="2:20">
      <c r="B18" s="78">
        <f t="shared" si="3"/>
        <v>43983</v>
      </c>
      <c r="C18" s="75">
        <v>941317.2905535996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941317.2905535996</v>
      </c>
      <c r="F18" s="75">
        <v>72000</v>
      </c>
      <c r="G18" s="76">
        <f t="shared" ref="G18:G19" si="12">IF(ISNUMBER($F18),E18/$F18,"")</f>
        <v>13.073851257688883</v>
      </c>
      <c r="I18" s="77">
        <f t="shared" si="5"/>
        <v>6</v>
      </c>
      <c r="J18" s="73">
        <f t="shared" si="4"/>
        <v>2020</v>
      </c>
      <c r="K18" s="78">
        <f t="shared" si="2"/>
        <v>43983</v>
      </c>
      <c r="L18" s="73">
        <f t="shared" ref="L18:L42" si="13">L17+1</f>
        <v>2022</v>
      </c>
      <c r="M18" s="56">
        <f t="shared" ref="M18:M36" si="14">SUMIF($J$13:$J$264,L18,$C$13:$C$264)</f>
        <v>15521480.722304031</v>
      </c>
      <c r="N18" s="56">
        <f t="shared" si="8"/>
        <v>0</v>
      </c>
      <c r="O18" s="56">
        <f t="shared" si="6"/>
        <v>876000</v>
      </c>
      <c r="P18" s="114">
        <f t="shared" si="7"/>
        <v>17.718585299433826</v>
      </c>
      <c r="Q18" s="167">
        <f t="shared" si="9"/>
        <v>17.718585299433826</v>
      </c>
      <c r="R18" s="167">
        <f t="shared" si="10"/>
        <v>0</v>
      </c>
    </row>
    <row r="19" spans="2:20">
      <c r="B19" s="78">
        <f t="shared" si="3"/>
        <v>44013</v>
      </c>
      <c r="C19" s="75">
        <v>2054782.1145017743</v>
      </c>
      <c r="D19" s="71">
        <f>IF(ISNUMBER($F19),VLOOKUP($J19,'Table 1'!$B$13:$C$33,2,FALSE)/12*1000*Study_MW,"")</f>
        <v>0</v>
      </c>
      <c r="E19" s="71">
        <f t="shared" si="11"/>
        <v>2054782.1145017743</v>
      </c>
      <c r="F19" s="75">
        <v>74400</v>
      </c>
      <c r="G19" s="76">
        <f t="shared" si="12"/>
        <v>27.618039173410946</v>
      </c>
      <c r="I19" s="77">
        <f t="shared" si="5"/>
        <v>7</v>
      </c>
      <c r="J19" s="73">
        <f t="shared" si="4"/>
        <v>2020</v>
      </c>
      <c r="K19" s="78">
        <f t="shared" si="2"/>
        <v>44013</v>
      </c>
      <c r="L19" s="73">
        <f t="shared" si="13"/>
        <v>2023</v>
      </c>
      <c r="M19" s="56">
        <f t="shared" si="14"/>
        <v>14772756.686786532</v>
      </c>
      <c r="N19" s="56">
        <f t="shared" si="8"/>
        <v>0</v>
      </c>
      <c r="O19" s="56">
        <f t="shared" si="6"/>
        <v>876000</v>
      </c>
      <c r="P19" s="114">
        <f t="shared" si="7"/>
        <v>16.863877496331657</v>
      </c>
      <c r="Q19" s="167">
        <f t="shared" si="9"/>
        <v>16.863877496331657</v>
      </c>
      <c r="R19" s="167">
        <f t="shared" si="10"/>
        <v>0</v>
      </c>
    </row>
    <row r="20" spans="2:20">
      <c r="B20" s="78">
        <f t="shared" si="3"/>
        <v>44044</v>
      </c>
      <c r="C20" s="75">
        <v>1517817.9862094522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1517817.9862094522</v>
      </c>
      <c r="F20" s="75">
        <v>74400</v>
      </c>
      <c r="G20" s="76">
        <f t="shared" ref="G20:G77" si="16">IF(ISNUMBER($F20),E20/$F20,"")</f>
        <v>20.400779384535646</v>
      </c>
      <c r="I20" s="77">
        <f t="shared" si="5"/>
        <v>8</v>
      </c>
      <c r="J20" s="73">
        <f t="shared" si="4"/>
        <v>2020</v>
      </c>
      <c r="K20" s="78">
        <f t="shared" si="2"/>
        <v>44044</v>
      </c>
      <c r="L20" s="73">
        <f t="shared" si="13"/>
        <v>2024</v>
      </c>
      <c r="M20" s="56">
        <f t="shared" si="14"/>
        <v>10609417.482143685</v>
      </c>
      <c r="N20" s="56">
        <f t="shared" si="8"/>
        <v>0</v>
      </c>
      <c r="O20" s="56">
        <f t="shared" si="6"/>
        <v>878400</v>
      </c>
      <c r="P20" s="114">
        <f t="shared" si="7"/>
        <v>12.078116441420407</v>
      </c>
      <c r="Q20" s="167">
        <f t="shared" si="9"/>
        <v>12.078116441420407</v>
      </c>
      <c r="R20" s="167">
        <f t="shared" si="10"/>
        <v>0</v>
      </c>
    </row>
    <row r="21" spans="2:20">
      <c r="B21" s="78">
        <f t="shared" si="3"/>
        <v>44075</v>
      </c>
      <c r="C21" s="75">
        <v>885637.58895926178</v>
      </c>
      <c r="D21" s="71">
        <f>IF(ISNUMBER($F21),VLOOKUP($J21,'Table 1'!$B$13:$C$33,2,FALSE)/12*1000*Study_MW,"")</f>
        <v>0</v>
      </c>
      <c r="E21" s="71">
        <f t="shared" si="15"/>
        <v>885637.58895926178</v>
      </c>
      <c r="F21" s="75">
        <v>72000</v>
      </c>
      <c r="G21" s="76">
        <f t="shared" si="16"/>
        <v>12.300522068878635</v>
      </c>
      <c r="I21" s="77">
        <f t="shared" si="5"/>
        <v>9</v>
      </c>
      <c r="J21" s="73">
        <f t="shared" si="4"/>
        <v>2020</v>
      </c>
      <c r="K21" s="78">
        <f t="shared" si="2"/>
        <v>44075</v>
      </c>
      <c r="L21" s="73">
        <f t="shared" si="13"/>
        <v>2025</v>
      </c>
      <c r="M21" s="56">
        <f t="shared" si="14"/>
        <v>11132660.78315337</v>
      </c>
      <c r="N21" s="56">
        <f t="shared" si="8"/>
        <v>0</v>
      </c>
      <c r="O21" s="56">
        <f t="shared" si="6"/>
        <v>876000</v>
      </c>
      <c r="P21" s="114">
        <f t="shared" si="7"/>
        <v>12.708516875745856</v>
      </c>
      <c r="Q21" s="167">
        <f t="shared" si="9"/>
        <v>12.708516875745856</v>
      </c>
      <c r="R21" s="167">
        <f t="shared" si="10"/>
        <v>0</v>
      </c>
    </row>
    <row r="22" spans="2:20">
      <c r="B22" s="78">
        <f t="shared" si="3"/>
        <v>44105</v>
      </c>
      <c r="C22" s="75">
        <v>821253.97280107439</v>
      </c>
      <c r="D22" s="71">
        <f>IF(ISNUMBER($F22),VLOOKUP($J22,'Table 1'!$B$13:$C$33,2,FALSE)/12*1000*Study_MW,"")</f>
        <v>0</v>
      </c>
      <c r="E22" s="71">
        <f t="shared" si="15"/>
        <v>821253.97280107439</v>
      </c>
      <c r="F22" s="75">
        <v>74400</v>
      </c>
      <c r="G22" s="76">
        <f t="shared" si="16"/>
        <v>11.038359849476807</v>
      </c>
      <c r="I22" s="77">
        <f t="shared" si="5"/>
        <v>10</v>
      </c>
      <c r="J22" s="73">
        <f t="shared" si="4"/>
        <v>2020</v>
      </c>
      <c r="K22" s="78">
        <f t="shared" si="2"/>
        <v>44105</v>
      </c>
      <c r="L22" s="73">
        <f t="shared" si="13"/>
        <v>2026</v>
      </c>
      <c r="M22" s="56">
        <f t="shared" si="14"/>
        <v>14658403.408099443</v>
      </c>
      <c r="N22" s="56">
        <f t="shared" si="8"/>
        <v>11562647.13943501</v>
      </c>
      <c r="O22" s="56">
        <f t="shared" si="6"/>
        <v>876000</v>
      </c>
      <c r="P22" s="114">
        <f t="shared" si="7"/>
        <v>29.932706104491384</v>
      </c>
      <c r="Q22" s="167">
        <f t="shared" si="9"/>
        <v>16.733337223857813</v>
      </c>
      <c r="R22" s="167">
        <f t="shared" si="10"/>
        <v>13.199368880633573</v>
      </c>
    </row>
    <row r="23" spans="2:20">
      <c r="B23" s="78">
        <f t="shared" si="3"/>
        <v>44136</v>
      </c>
      <c r="C23" s="75">
        <v>838690.7202334106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838690.7202334106</v>
      </c>
      <c r="F23" s="75">
        <v>72000</v>
      </c>
      <c r="G23" s="76">
        <f t="shared" ref="G23" si="18">IF(ISNUMBER($F23),E23/$F23,"")</f>
        <v>11.648482225464036</v>
      </c>
      <c r="I23" s="77">
        <f t="shared" si="5"/>
        <v>11</v>
      </c>
      <c r="J23" s="73">
        <f t="shared" si="4"/>
        <v>2020</v>
      </c>
      <c r="K23" s="78">
        <f t="shared" si="2"/>
        <v>44136</v>
      </c>
      <c r="L23" s="73">
        <f t="shared" si="13"/>
        <v>2027</v>
      </c>
      <c r="M23" s="56">
        <f t="shared" si="14"/>
        <v>16168480.930639923</v>
      </c>
      <c r="N23" s="56">
        <f t="shared" si="8"/>
        <v>11828437.831789263</v>
      </c>
      <c r="O23" s="56">
        <f t="shared" si="6"/>
        <v>876000</v>
      </c>
      <c r="P23" s="114">
        <f t="shared" si="7"/>
        <v>31.959952925147473</v>
      </c>
      <c r="Q23" s="167">
        <f t="shared" si="9"/>
        <v>18.45717001214603</v>
      </c>
      <c r="R23" s="167">
        <f t="shared" si="10"/>
        <v>13.502782913001441</v>
      </c>
      <c r="T23" s="41">
        <v>1.9E-2</v>
      </c>
    </row>
    <row r="24" spans="2:20">
      <c r="B24" s="82">
        <f t="shared" si="3"/>
        <v>44166</v>
      </c>
      <c r="C24" s="79">
        <v>954512.87175737321</v>
      </c>
      <c r="D24" s="80">
        <f>IF(F24&lt;&gt;0,VLOOKUP($J24,'Table 1'!$B$13:$C$33,2,FALSE)/12*1000*Study_MW,0)</f>
        <v>0</v>
      </c>
      <c r="E24" s="80">
        <f t="shared" ref="E24" si="19">IF(ISNUMBER(C24+D24),C24+D24,"")</f>
        <v>954512.87175737321</v>
      </c>
      <c r="F24" s="79">
        <v>74400</v>
      </c>
      <c r="G24" s="81">
        <f t="shared" ref="G24" si="20">IF(ISNUMBER($F24),E24/$F24,"")</f>
        <v>12.829474082760393</v>
      </c>
      <c r="I24" s="64">
        <f t="shared" si="5"/>
        <v>12</v>
      </c>
      <c r="J24" s="73">
        <f t="shared" si="4"/>
        <v>2020</v>
      </c>
      <c r="K24" s="82">
        <f t="shared" si="2"/>
        <v>44166</v>
      </c>
      <c r="L24" s="73">
        <f t="shared" si="13"/>
        <v>2028</v>
      </c>
      <c r="M24" s="56">
        <f t="shared" si="14"/>
        <v>19194983.829996437</v>
      </c>
      <c r="N24" s="56">
        <f t="shared" si="8"/>
        <v>12101790.585379934</v>
      </c>
      <c r="O24" s="56">
        <f t="shared" si="6"/>
        <v>878400</v>
      </c>
      <c r="P24" s="114">
        <f t="shared" si="7"/>
        <v>35.629296920965814</v>
      </c>
      <c r="Q24" s="167">
        <f t="shared" si="9"/>
        <v>21.852212921216346</v>
      </c>
      <c r="R24" s="167">
        <f t="shared" si="10"/>
        <v>13.77708399974947</v>
      </c>
    </row>
    <row r="25" spans="2:20">
      <c r="B25" s="74">
        <f t="shared" si="3"/>
        <v>44197</v>
      </c>
      <c r="C25" s="69">
        <v>1894597.8587151766</v>
      </c>
      <c r="D25" s="70">
        <f>IF(F25&lt;&gt;0,VLOOKUP($J25,'Table 1'!$B$13:$C$33,2,FALSE)/12*1000*Study_MW,0)</f>
        <v>0</v>
      </c>
      <c r="E25" s="70">
        <f t="shared" ref="E25:E77" si="21">C25+D25</f>
        <v>1894597.8587151766</v>
      </c>
      <c r="F25" s="69">
        <v>74400</v>
      </c>
      <c r="G25" s="72">
        <f t="shared" si="16"/>
        <v>25.465024982730867</v>
      </c>
      <c r="I25" s="60">
        <f>I13+13</f>
        <v>14</v>
      </c>
      <c r="J25" s="73">
        <f t="shared" si="4"/>
        <v>2021</v>
      </c>
      <c r="K25" s="74">
        <f>IF(ISNUMBER(F25),IF(F25&lt;&gt;0,B25,""),"")</f>
        <v>44197</v>
      </c>
      <c r="L25" s="73">
        <f t="shared" si="13"/>
        <v>2029</v>
      </c>
      <c r="M25" s="56">
        <f t="shared" si="14"/>
        <v>19994335.014201909</v>
      </c>
      <c r="N25" s="56">
        <f t="shared" si="8"/>
        <v>12380300.938094951</v>
      </c>
      <c r="O25" s="56">
        <f t="shared" si="6"/>
        <v>876000</v>
      </c>
      <c r="P25" s="114">
        <f t="shared" si="7"/>
        <v>36.957346977507832</v>
      </c>
      <c r="Q25" s="167">
        <f t="shared" si="9"/>
        <v>22.824583349545559</v>
      </c>
      <c r="R25" s="167">
        <f t="shared" si="10"/>
        <v>14.132763627962273</v>
      </c>
    </row>
    <row r="26" spans="2:20">
      <c r="B26" s="78">
        <f t="shared" si="3"/>
        <v>44228</v>
      </c>
      <c r="C26" s="75">
        <v>950361.94420683384</v>
      </c>
      <c r="D26" s="71">
        <f>IF(F26&lt;&gt;0,VLOOKUP($J26,'Table 1'!$B$13:$C$33,2,FALSE)/12*1000*Study_MW,0)</f>
        <v>0</v>
      </c>
      <c r="E26" s="71">
        <f t="shared" si="21"/>
        <v>950361.94420683384</v>
      </c>
      <c r="F26" s="75">
        <v>67200</v>
      </c>
      <c r="G26" s="76">
        <f t="shared" si="16"/>
        <v>14.142290836411219</v>
      </c>
      <c r="I26" s="77">
        <f t="shared" ref="I26:I89" si="22">I14+13</f>
        <v>15</v>
      </c>
      <c r="J26" s="73">
        <f t="shared" si="4"/>
        <v>2021</v>
      </c>
      <c r="K26" s="78">
        <f t="shared" ref="K26:K89" si="23">IF(ISNUMBER(F26),IF(F26&lt;&gt;0,B26,""),"")</f>
        <v>44228</v>
      </c>
      <c r="L26" s="73">
        <f t="shared" si="13"/>
        <v>2030</v>
      </c>
      <c r="M26" s="56">
        <f t="shared" si="14"/>
        <v>19072931.270758107</v>
      </c>
      <c r="N26" s="56">
        <f t="shared" si="8"/>
        <v>12653653.691685611</v>
      </c>
      <c r="O26" s="56">
        <f>SUMIF($J$13:$J$264,L26,$F$13:$F$264)</f>
        <v>876000</v>
      </c>
      <c r="P26" s="114">
        <f>(M26+N26)/O26</f>
        <v>36.217562742515661</v>
      </c>
      <c r="Q26" s="167">
        <f t="shared" si="9"/>
        <v>21.772752592189619</v>
      </c>
      <c r="R26" s="167">
        <f t="shared" si="10"/>
        <v>14.44481015032604</v>
      </c>
    </row>
    <row r="27" spans="2:20">
      <c r="B27" s="78">
        <f t="shared" si="3"/>
        <v>44256</v>
      </c>
      <c r="C27" s="75">
        <v>1013901.5279603601</v>
      </c>
      <c r="D27" s="71">
        <f>IF(F27&lt;&gt;0,VLOOKUP($J27,'Table 1'!$B$13:$C$33,2,FALSE)/12*1000*Study_MW,0)</f>
        <v>0</v>
      </c>
      <c r="E27" s="71">
        <f t="shared" si="21"/>
        <v>1013901.5279603601</v>
      </c>
      <c r="F27" s="75">
        <v>74400</v>
      </c>
      <c r="G27" s="76">
        <f t="shared" si="16"/>
        <v>13.627708709144624</v>
      </c>
      <c r="I27" s="77">
        <f t="shared" si="22"/>
        <v>16</v>
      </c>
      <c r="J27" s="73">
        <f t="shared" si="4"/>
        <v>2021</v>
      </c>
      <c r="K27" s="78">
        <f t="shared" si="23"/>
        <v>44256</v>
      </c>
      <c r="L27" s="73">
        <f t="shared" si="13"/>
        <v>2031</v>
      </c>
      <c r="M27" s="56">
        <f t="shared" si="14"/>
        <v>21140650.568955719</v>
      </c>
      <c r="N27" s="56">
        <f t="shared" si="8"/>
        <v>12932164.044400627</v>
      </c>
      <c r="O27" s="56">
        <f t="shared" ref="O27:O31" si="24">SUMIF($J$13:$J$264,L27,$F$13:$F$264)</f>
        <v>876000</v>
      </c>
      <c r="P27" s="114">
        <f t="shared" ref="P27:P31" si="25">(M27+N27)/O27</f>
        <v>38.895907092872541</v>
      </c>
      <c r="Q27" s="167">
        <f t="shared" si="9"/>
        <v>24.133162749949452</v>
      </c>
      <c r="R27" s="167">
        <f t="shared" si="10"/>
        <v>14.76274434292309</v>
      </c>
    </row>
    <row r="28" spans="2:20">
      <c r="B28" s="78">
        <f t="shared" si="3"/>
        <v>44287</v>
      </c>
      <c r="C28" s="75">
        <v>857162.81211034954</v>
      </c>
      <c r="D28" s="71">
        <f>IF(F28&lt;&gt;0,VLOOKUP($J28,'Table 1'!$B$13:$C$33,2,FALSE)/12*1000*Study_MW,0)</f>
        <v>0</v>
      </c>
      <c r="E28" s="71">
        <f t="shared" si="21"/>
        <v>857162.81211034954</v>
      </c>
      <c r="F28" s="75">
        <v>72000</v>
      </c>
      <c r="G28" s="76">
        <f t="shared" si="16"/>
        <v>11.905039057088189</v>
      </c>
      <c r="I28" s="77">
        <f t="shared" si="22"/>
        <v>17</v>
      </c>
      <c r="J28" s="73">
        <f t="shared" si="4"/>
        <v>2021</v>
      </c>
      <c r="K28" s="78">
        <f t="shared" si="23"/>
        <v>44287</v>
      </c>
      <c r="L28" s="73">
        <f t="shared" si="13"/>
        <v>2032</v>
      </c>
      <c r="M28" s="56">
        <f t="shared" si="14"/>
        <v>25104383.064872831</v>
      </c>
      <c r="N28" s="56">
        <f t="shared" si="8"/>
        <v>13218926.555714607</v>
      </c>
      <c r="O28" s="56">
        <f t="shared" si="24"/>
        <v>878400</v>
      </c>
      <c r="P28" s="114">
        <f t="shared" si="25"/>
        <v>43.628540096297172</v>
      </c>
      <c r="Q28" s="167">
        <f t="shared" si="9"/>
        <v>28.579671066567432</v>
      </c>
      <c r="R28" s="167">
        <f t="shared" si="10"/>
        <v>15.048869029729744</v>
      </c>
    </row>
    <row r="29" spans="2:20">
      <c r="B29" s="78">
        <f t="shared" si="3"/>
        <v>44317</v>
      </c>
      <c r="C29" s="75">
        <v>878805.61994242668</v>
      </c>
      <c r="D29" s="71">
        <f>IF(F29&lt;&gt;0,VLOOKUP($J29,'Table 1'!$B$13:$C$33,2,FALSE)/12*1000*Study_MW,0)</f>
        <v>0</v>
      </c>
      <c r="E29" s="71">
        <f t="shared" si="21"/>
        <v>878805.61994242668</v>
      </c>
      <c r="F29" s="75">
        <v>74400</v>
      </c>
      <c r="G29" s="76">
        <f t="shared" si="16"/>
        <v>11.811903493849821</v>
      </c>
      <c r="I29" s="77">
        <f t="shared" si="22"/>
        <v>18</v>
      </c>
      <c r="J29" s="73">
        <f t="shared" si="4"/>
        <v>2021</v>
      </c>
      <c r="K29" s="78">
        <f t="shared" si="23"/>
        <v>44317</v>
      </c>
      <c r="L29" s="73">
        <f t="shared" si="13"/>
        <v>2033</v>
      </c>
      <c r="M29" s="56">
        <f t="shared" si="14"/>
        <v>26493382.770941585</v>
      </c>
      <c r="N29" s="56">
        <f t="shared" si="8"/>
        <v>13494342.348955015</v>
      </c>
      <c r="O29" s="56">
        <f t="shared" si="24"/>
        <v>876000</v>
      </c>
      <c r="P29" s="114">
        <f t="shared" si="25"/>
        <v>45.648088036411643</v>
      </c>
      <c r="Q29" s="167">
        <f t="shared" si="9"/>
        <v>30.243587638061172</v>
      </c>
      <c r="R29" s="167">
        <f t="shared" si="10"/>
        <v>15.404500398350473</v>
      </c>
    </row>
    <row r="30" spans="2:20">
      <c r="B30" s="78">
        <f t="shared" si="3"/>
        <v>44348</v>
      </c>
      <c r="C30" s="75">
        <v>871221.38020439446</v>
      </c>
      <c r="D30" s="71">
        <f>IF(F30&lt;&gt;0,VLOOKUP($J30,'Table 1'!$B$13:$C$33,2,FALSE)/12*1000*Study_MW,0)</f>
        <v>0</v>
      </c>
      <c r="E30" s="71">
        <f t="shared" si="21"/>
        <v>871221.38020439446</v>
      </c>
      <c r="F30" s="75">
        <v>72000</v>
      </c>
      <c r="G30" s="76">
        <f t="shared" si="16"/>
        <v>12.100296947283256</v>
      </c>
      <c r="I30" s="77">
        <f t="shared" si="22"/>
        <v>19</v>
      </c>
      <c r="J30" s="73">
        <f t="shared" si="4"/>
        <v>2021</v>
      </c>
      <c r="K30" s="78">
        <f t="shared" si="23"/>
        <v>44348</v>
      </c>
      <c r="L30" s="73">
        <f t="shared" si="13"/>
        <v>2034</v>
      </c>
      <c r="M30" s="56">
        <f t="shared" si="14"/>
        <v>27582549.746187225</v>
      </c>
      <c r="N30" s="56">
        <f t="shared" si="8"/>
        <v>13779041.82061925</v>
      </c>
      <c r="O30" s="56">
        <f t="shared" si="24"/>
        <v>876000</v>
      </c>
      <c r="P30" s="114">
        <f t="shared" si="25"/>
        <v>47.216428729231133</v>
      </c>
      <c r="Q30" s="167">
        <f t="shared" si="9"/>
        <v>31.486928934003682</v>
      </c>
      <c r="R30" s="167">
        <f t="shared" si="10"/>
        <v>15.729499795227454</v>
      </c>
    </row>
    <row r="31" spans="2:20">
      <c r="B31" s="78">
        <f t="shared" si="3"/>
        <v>44378</v>
      </c>
      <c r="C31" s="75">
        <v>2355662.552808851</v>
      </c>
      <c r="D31" s="71">
        <f>IF(F31&lt;&gt;0,VLOOKUP($J31,'Table 1'!$B$13:$C$33,2,FALSE)/12*1000*Study_MW,0)</f>
        <v>0</v>
      </c>
      <c r="E31" s="71">
        <f t="shared" si="21"/>
        <v>2355662.552808851</v>
      </c>
      <c r="F31" s="75">
        <v>74400</v>
      </c>
      <c r="G31" s="76">
        <f t="shared" si="16"/>
        <v>31.662131086140469</v>
      </c>
      <c r="I31" s="77">
        <f t="shared" si="22"/>
        <v>20</v>
      </c>
      <c r="J31" s="73">
        <f t="shared" si="4"/>
        <v>2021</v>
      </c>
      <c r="K31" s="78">
        <f t="shared" si="23"/>
        <v>44378</v>
      </c>
      <c r="L31" s="73">
        <f t="shared" si="13"/>
        <v>2035</v>
      </c>
      <c r="M31" s="56">
        <f t="shared" si="14"/>
        <v>29129833.487264886</v>
      </c>
      <c r="N31" s="56">
        <f t="shared" si="8"/>
        <v>14066835.851758109</v>
      </c>
      <c r="O31" s="56">
        <f t="shared" si="24"/>
        <v>876000</v>
      </c>
      <c r="P31" s="114">
        <f t="shared" si="25"/>
        <v>49.31126636874771</v>
      </c>
      <c r="Q31" s="167">
        <f t="shared" si="9"/>
        <v>33.253234574503296</v>
      </c>
      <c r="R31" s="167">
        <f t="shared" si="10"/>
        <v>16.058031794244418</v>
      </c>
    </row>
    <row r="32" spans="2:20">
      <c r="B32" s="78">
        <f t="shared" si="3"/>
        <v>44409</v>
      </c>
      <c r="C32" s="75">
        <v>1465368.3254595101</v>
      </c>
      <c r="D32" s="71">
        <f>IF(F32&lt;&gt;0,VLOOKUP($J32,'Table 1'!$B$13:$C$33,2,FALSE)/12*1000*Study_MW,0)</f>
        <v>0</v>
      </c>
      <c r="E32" s="71">
        <f t="shared" si="21"/>
        <v>1465368.3254595101</v>
      </c>
      <c r="F32" s="75">
        <v>74400</v>
      </c>
      <c r="G32" s="76">
        <f t="shared" si="16"/>
        <v>19.695810826068683</v>
      </c>
      <c r="I32" s="77">
        <f t="shared" si="22"/>
        <v>21</v>
      </c>
      <c r="J32" s="73">
        <f t="shared" si="4"/>
        <v>2021</v>
      </c>
      <c r="K32" s="78">
        <f t="shared" si="23"/>
        <v>44409</v>
      </c>
      <c r="L32" s="73">
        <f t="shared" si="13"/>
        <v>2036</v>
      </c>
      <c r="M32" s="56">
        <f t="shared" si="14"/>
        <v>31062460.035415888</v>
      </c>
      <c r="N32" s="56">
        <f t="shared" si="8"/>
        <v>14363913.561320791</v>
      </c>
      <c r="O32" s="56">
        <f t="shared" ref="O32:O35" si="26">SUMIF($J$13:$J$264,L32,$F$13:$F$264)</f>
        <v>878400</v>
      </c>
      <c r="P32" s="114">
        <f t="shared" ref="P32:P34" si="27">(M32+N32)/O32</f>
        <v>51.714906189363248</v>
      </c>
      <c r="Q32" s="167">
        <f t="shared" si="9"/>
        <v>35.362545577659255</v>
      </c>
      <c r="R32" s="167">
        <f t="shared" si="10"/>
        <v>16.352360611703997</v>
      </c>
    </row>
    <row r="33" spans="2:20">
      <c r="B33" s="78">
        <f t="shared" si="3"/>
        <v>44440</v>
      </c>
      <c r="C33" s="75">
        <v>1203902.0649916977</v>
      </c>
      <c r="D33" s="71">
        <f>IF(F33&lt;&gt;0,VLOOKUP($J33,'Table 1'!$B$13:$C$33,2,FALSE)/12*1000*Study_MW,0)</f>
        <v>0</v>
      </c>
      <c r="E33" s="71">
        <f t="shared" si="21"/>
        <v>1203902.0649916977</v>
      </c>
      <c r="F33" s="75">
        <v>72000</v>
      </c>
      <c r="G33" s="76">
        <f t="shared" si="16"/>
        <v>16.72086201377358</v>
      </c>
      <c r="I33" s="77">
        <f t="shared" si="22"/>
        <v>22</v>
      </c>
      <c r="J33" s="73">
        <f t="shared" si="4"/>
        <v>2021</v>
      </c>
      <c r="K33" s="78">
        <f t="shared" si="23"/>
        <v>44440</v>
      </c>
      <c r="L33" s="73">
        <f t="shared" si="13"/>
        <v>2037</v>
      </c>
      <c r="M33" s="56">
        <f t="shared" si="14"/>
        <v>31755343.093090519</v>
      </c>
      <c r="N33" s="56">
        <f t="shared" si="8"/>
        <v>14664085.830358094</v>
      </c>
      <c r="O33" s="56">
        <f t="shared" si="26"/>
        <v>876000</v>
      </c>
      <c r="P33" s="114">
        <f t="shared" si="27"/>
        <v>52.99021566603723</v>
      </c>
      <c r="Q33" s="167">
        <f t="shared" si="9"/>
        <v>36.25039165877913</v>
      </c>
      <c r="R33" s="167">
        <f t="shared" si="10"/>
        <v>16.739824007258097</v>
      </c>
    </row>
    <row r="34" spans="2:20">
      <c r="B34" s="78">
        <f t="shared" si="3"/>
        <v>44470</v>
      </c>
      <c r="C34" s="75">
        <v>980773.59007199109</v>
      </c>
      <c r="D34" s="71">
        <f>IF(F34&lt;&gt;0,VLOOKUP($J34,'Table 1'!$B$13:$C$33,2,FALSE)/12*1000*Study_MW,0)</f>
        <v>0</v>
      </c>
      <c r="E34" s="71">
        <f t="shared" si="21"/>
        <v>980773.59007199109</v>
      </c>
      <c r="F34" s="75">
        <v>74400</v>
      </c>
      <c r="G34" s="76">
        <f t="shared" si="16"/>
        <v>13.182440726774074</v>
      </c>
      <c r="I34" s="77">
        <f t="shared" si="22"/>
        <v>23</v>
      </c>
      <c r="J34" s="73">
        <f t="shared" si="4"/>
        <v>2021</v>
      </c>
      <c r="K34" s="78">
        <f t="shared" si="23"/>
        <v>44470</v>
      </c>
      <c r="L34" s="73">
        <f t="shared" si="13"/>
        <v>2038</v>
      </c>
      <c r="M34" s="56">
        <f t="shared" si="14"/>
        <v>33172348.315827936</v>
      </c>
      <c r="N34" s="56">
        <f t="shared" si="8"/>
        <v>14972510.257994348</v>
      </c>
      <c r="O34" s="56">
        <f t="shared" si="26"/>
        <v>876000</v>
      </c>
      <c r="P34" s="114">
        <f t="shared" si="27"/>
        <v>54.959884216692103</v>
      </c>
      <c r="Q34" s="167">
        <f t="shared" ref="Q34" si="28">M34/O34</f>
        <v>37.867977529483944</v>
      </c>
      <c r="R34" s="167">
        <f t="shared" ref="R34" si="29">IFERROR(N34/O34,0)</f>
        <v>17.091906687208159</v>
      </c>
    </row>
    <row r="35" spans="2:20">
      <c r="B35" s="78">
        <f t="shared" si="3"/>
        <v>44501</v>
      </c>
      <c r="C35" s="75">
        <v>969786.65299580991</v>
      </c>
      <c r="D35" s="71">
        <f>IF(F35&lt;&gt;0,VLOOKUP($J35,'Table 1'!$B$13:$C$33,2,FALSE)/12*1000*Study_MW,0)</f>
        <v>0</v>
      </c>
      <c r="E35" s="71">
        <f t="shared" si="21"/>
        <v>969786.65299580991</v>
      </c>
      <c r="F35" s="75">
        <v>72000</v>
      </c>
      <c r="G35" s="76">
        <f t="shared" si="16"/>
        <v>13.469259069386249</v>
      </c>
      <c r="I35" s="77">
        <f t="shared" si="22"/>
        <v>24</v>
      </c>
      <c r="J35" s="73">
        <f t="shared" si="4"/>
        <v>2021</v>
      </c>
      <c r="K35" s="78">
        <f t="shared" si="23"/>
        <v>44501</v>
      </c>
      <c r="L35" s="73">
        <f t="shared" si="13"/>
        <v>2039</v>
      </c>
      <c r="M35" s="56">
        <f t="shared" si="14"/>
        <v>33868967.630460322</v>
      </c>
      <c r="N35" s="56">
        <f t="shared" si="8"/>
        <v>15285060.76493009</v>
      </c>
      <c r="O35" s="56">
        <f t="shared" si="26"/>
        <v>876000</v>
      </c>
      <c r="P35" s="114">
        <f t="shared" ref="P35" si="30">(M35+N35)/O35</f>
        <v>56.111904560947963</v>
      </c>
      <c r="Q35" s="167">
        <f t="shared" ref="Q35" si="31">M35/O35</f>
        <v>38.663205057603108</v>
      </c>
      <c r="R35" s="167">
        <f t="shared" ref="R35" si="32">IFERROR(N35/O35,0)</f>
        <v>17.448699503344852</v>
      </c>
    </row>
    <row r="36" spans="2:20">
      <c r="B36" s="82">
        <f t="shared" si="3"/>
        <v>44531</v>
      </c>
      <c r="C36" s="79">
        <v>1176949.3203865439</v>
      </c>
      <c r="D36" s="80">
        <f>IF(F36&lt;&gt;0,VLOOKUP($J36,'Table 1'!$B$13:$C$33,2,FALSE)/12*1000*Study_MW,0)</f>
        <v>0</v>
      </c>
      <c r="E36" s="80">
        <f t="shared" si="21"/>
        <v>1176949.3203865439</v>
      </c>
      <c r="F36" s="79">
        <v>74400</v>
      </c>
      <c r="G36" s="81">
        <f t="shared" si="16"/>
        <v>15.819211295518063</v>
      </c>
      <c r="I36" s="64">
        <f t="shared" si="22"/>
        <v>25</v>
      </c>
      <c r="J36" s="73">
        <f t="shared" si="4"/>
        <v>2021</v>
      </c>
      <c r="K36" s="82">
        <f t="shared" si="23"/>
        <v>44531</v>
      </c>
      <c r="L36" s="73">
        <f t="shared" si="13"/>
        <v>2040</v>
      </c>
      <c r="M36" s="56">
        <f t="shared" si="14"/>
        <v>34580215.950699985</v>
      </c>
      <c r="N36" s="56">
        <f t="shared" si="8"/>
        <v>15608957.989939412</v>
      </c>
      <c r="O36" s="56">
        <f t="shared" ref="O36" si="33">SUMIF($J$13:$J$264,L36,$F$13:$F$264)</f>
        <v>876000</v>
      </c>
      <c r="P36" s="114">
        <f t="shared" ref="P36" si="34">(M36+N36)/O36</f>
        <v>57.293577557807531</v>
      </c>
      <c r="Q36" s="167">
        <f t="shared" ref="Q36" si="35">M36/O36</f>
        <v>39.475132363812769</v>
      </c>
      <c r="R36" s="167">
        <f t="shared" ref="R36" si="36">IFERROR(N36/O36,0)</f>
        <v>17.818445193994762</v>
      </c>
    </row>
    <row r="37" spans="2:20" outlineLevel="1">
      <c r="B37" s="74">
        <f t="shared" si="3"/>
        <v>44562</v>
      </c>
      <c r="C37" s="69">
        <v>1831621.4012277126</v>
      </c>
      <c r="D37" s="70">
        <f>IF(F37&lt;&gt;0,VLOOKUP($J37,'Table 1'!$B$13:$C$33,2,FALSE)/12*1000*Study_MW,0)</f>
        <v>0</v>
      </c>
      <c r="E37" s="70">
        <f t="shared" si="21"/>
        <v>1831621.4012277126</v>
      </c>
      <c r="F37" s="69">
        <v>74400</v>
      </c>
      <c r="G37" s="72">
        <f t="shared" si="16"/>
        <v>24.618567220802589</v>
      </c>
      <c r="I37" s="60">
        <f>I25+13</f>
        <v>27</v>
      </c>
      <c r="J37" s="73">
        <f t="shared" si="4"/>
        <v>2022</v>
      </c>
      <c r="K37" s="74">
        <f t="shared" si="23"/>
        <v>44562</v>
      </c>
      <c r="L37" s="73">
        <f t="shared" si="13"/>
        <v>2041</v>
      </c>
      <c r="M37" s="56">
        <f>SUMIF($J$13:$J$288,L37,$C$13:$C$288)</f>
        <v>35216538.882027775</v>
      </c>
      <c r="N37" s="56">
        <f>SUMIF($J$13:$J$288,L37,$D$13:$D$288)</f>
        <v>15935949.774423338</v>
      </c>
      <c r="O37" s="56">
        <f>SUMIF($J$13:$J$288,L37,$F$13:$F$288)</f>
        <v>873682.75862068962</v>
      </c>
      <c r="P37" s="114">
        <f t="shared" ref="P37" si="37">(M37+N37)/O37</f>
        <v>58.5481264815242</v>
      </c>
      <c r="Q37" s="167">
        <f t="shared" ref="Q37" si="38">M37/O37</f>
        <v>40.308153657083984</v>
      </c>
      <c r="R37" s="167">
        <f t="shared" ref="R37" si="39">IFERROR(N37/O37,0)</f>
        <v>18.239972824440216</v>
      </c>
    </row>
    <row r="38" spans="2:20" outlineLevel="1">
      <c r="B38" s="78">
        <f t="shared" si="3"/>
        <v>44593</v>
      </c>
      <c r="C38" s="75">
        <v>1101348.3450432569</v>
      </c>
      <c r="D38" s="71">
        <f>IF(F38&lt;&gt;0,VLOOKUP($J38,'Table 1'!$B$13:$C$33,2,FALSE)/12*1000*Study_MW,0)</f>
        <v>0</v>
      </c>
      <c r="E38" s="71">
        <f t="shared" si="21"/>
        <v>1101348.3450432569</v>
      </c>
      <c r="F38" s="75">
        <v>67200</v>
      </c>
      <c r="G38" s="76">
        <f t="shared" si="16"/>
        <v>16.389112277429419</v>
      </c>
      <c r="I38" s="77">
        <f t="shared" si="22"/>
        <v>28</v>
      </c>
      <c r="J38" s="73">
        <f t="shared" si="4"/>
        <v>2022</v>
      </c>
      <c r="K38" s="78">
        <f t="shared" si="23"/>
        <v>44593</v>
      </c>
      <c r="L38" s="73">
        <f t="shared" si="13"/>
        <v>2042</v>
      </c>
      <c r="M38" s="56">
        <f t="shared" ref="M38" si="40">SUMIF($J$13:$J$288,L38,$C$13:$C$288)</f>
        <v>35956086.198550358</v>
      </c>
      <c r="N38" s="56">
        <f t="shared" ref="N38" si="41">SUMIF($J$13:$J$288,L38,$D$13:$D$288)</f>
        <v>16271193.717506224</v>
      </c>
      <c r="O38" s="56">
        <f t="shared" ref="O38" si="42">SUMIF($J$13:$J$288,L38,$F$13:$F$288)</f>
        <v>873682.75862068962</v>
      </c>
      <c r="P38" s="114">
        <f t="shared" ref="P38:P41" si="43">(M38+N38)/O38</f>
        <v>59.77831129288785</v>
      </c>
      <c r="Q38" s="167">
        <f t="shared" ref="Q38:Q41" si="44">M38/O38</f>
        <v>41.154624883882747</v>
      </c>
      <c r="R38" s="167">
        <f t="shared" ref="R38:R41" si="45">IFERROR(N38/O38,0)</f>
        <v>18.623686409005103</v>
      </c>
    </row>
    <row r="39" spans="2:20" outlineLevel="1">
      <c r="B39" s="78">
        <f t="shared" si="3"/>
        <v>44621</v>
      </c>
      <c r="C39" s="75">
        <v>1044482.3112108707</v>
      </c>
      <c r="D39" s="71">
        <f>IF(F39&lt;&gt;0,VLOOKUP($J39,'Table 1'!$B$13:$C$33,2,FALSE)/12*1000*Study_MW,0)</f>
        <v>0</v>
      </c>
      <c r="E39" s="71">
        <f t="shared" si="21"/>
        <v>1044482.3112108707</v>
      </c>
      <c r="F39" s="75">
        <v>74400</v>
      </c>
      <c r="G39" s="76">
        <f t="shared" si="16"/>
        <v>14.038740742081597</v>
      </c>
      <c r="I39" s="77">
        <f t="shared" si="22"/>
        <v>29</v>
      </c>
      <c r="J39" s="73">
        <f t="shared" si="4"/>
        <v>2022</v>
      </c>
      <c r="K39" s="78">
        <f t="shared" si="23"/>
        <v>44621</v>
      </c>
      <c r="L39" s="73">
        <f t="shared" si="13"/>
        <v>2043</v>
      </c>
      <c r="M39" s="56">
        <f>SUMIF($J$13:$J$400,L39,$C$13:$C$400)</f>
        <v>36711164.008719906</v>
      </c>
      <c r="N39" s="56">
        <f>SUMIF($J$13:$J$400,L39,$D$13:$D$400)</f>
        <v>0</v>
      </c>
      <c r="O39" s="56">
        <f>SUMIF($J$13:$J$400,L39,$F$13:$F$400)</f>
        <v>873682.75862068962</v>
      </c>
      <c r="P39" s="114">
        <f t="shared" si="43"/>
        <v>42.018872006444276</v>
      </c>
      <c r="Q39" s="167">
        <f t="shared" si="44"/>
        <v>42.018872006444276</v>
      </c>
      <c r="R39" s="167">
        <f t="shared" si="45"/>
        <v>0</v>
      </c>
    </row>
    <row r="40" spans="2:20" outlineLevel="1">
      <c r="B40" s="78">
        <f t="shared" si="3"/>
        <v>44652</v>
      </c>
      <c r="C40" s="75">
        <v>924053.33101348579</v>
      </c>
      <c r="D40" s="71">
        <f>IF(F40&lt;&gt;0,VLOOKUP($J40,'Table 1'!$B$13:$C$33,2,FALSE)/12*1000*Study_MW,0)</f>
        <v>0</v>
      </c>
      <c r="E40" s="71">
        <f t="shared" si="21"/>
        <v>924053.33101348579</v>
      </c>
      <c r="F40" s="75">
        <v>72000</v>
      </c>
      <c r="G40" s="76">
        <f t="shared" si="16"/>
        <v>12.834074041853968</v>
      </c>
      <c r="I40" s="77">
        <f t="shared" si="22"/>
        <v>30</v>
      </c>
      <c r="J40" s="73">
        <f t="shared" si="4"/>
        <v>2022</v>
      </c>
      <c r="K40" s="78">
        <f t="shared" si="23"/>
        <v>44652</v>
      </c>
      <c r="L40" s="73">
        <f t="shared" si="13"/>
        <v>2044</v>
      </c>
      <c r="M40" s="56">
        <f t="shared" ref="M40:M41" si="46">SUMIF($J$13:$J$400,L40,$C$13:$C$400)</f>
        <v>37518809.616911747</v>
      </c>
      <c r="N40" s="56">
        <f t="shared" ref="N40:N41" si="47">SUMIF($J$13:$J$400,L40,$D$13:$D$400)</f>
        <v>0</v>
      </c>
      <c r="O40" s="56">
        <f t="shared" ref="O40:O41" si="48">SUMIF($J$13:$J$400,L40,$F$13:$F$400)</f>
        <v>873682.75862068962</v>
      </c>
      <c r="P40" s="114">
        <f t="shared" si="43"/>
        <v>42.943287190586055</v>
      </c>
      <c r="Q40" s="167">
        <f t="shared" si="44"/>
        <v>42.943287190586055</v>
      </c>
      <c r="R40" s="167">
        <f t="shared" si="45"/>
        <v>0</v>
      </c>
      <c r="S40" s="58"/>
      <c r="T40" s="91"/>
    </row>
    <row r="41" spans="2:20" outlineLevel="1">
      <c r="B41" s="78">
        <f t="shared" si="3"/>
        <v>44682</v>
      </c>
      <c r="C41" s="75">
        <v>953261.54144845903</v>
      </c>
      <c r="D41" s="71">
        <f>IF(F41&lt;&gt;0,VLOOKUP($J41,'Table 1'!$B$13:$C$33,2,FALSE)/12*1000*Study_MW,0)</f>
        <v>0</v>
      </c>
      <c r="E41" s="71">
        <f t="shared" si="21"/>
        <v>953261.54144845903</v>
      </c>
      <c r="F41" s="75">
        <v>74400</v>
      </c>
      <c r="G41" s="76">
        <f t="shared" si="16"/>
        <v>12.812655126995416</v>
      </c>
      <c r="I41" s="77">
        <f t="shared" si="22"/>
        <v>31</v>
      </c>
      <c r="J41" s="73">
        <f t="shared" si="4"/>
        <v>2022</v>
      </c>
      <c r="K41" s="78">
        <f t="shared" si="23"/>
        <v>44682</v>
      </c>
      <c r="L41" s="73">
        <f t="shared" si="13"/>
        <v>2045</v>
      </c>
      <c r="M41" s="56">
        <f t="shared" si="46"/>
        <v>34433226.771316789</v>
      </c>
      <c r="N41" s="56">
        <f t="shared" si="47"/>
        <v>0</v>
      </c>
      <c r="O41" s="56">
        <f t="shared" si="48"/>
        <v>799282.75862068962</v>
      </c>
      <c r="P41" s="114">
        <f t="shared" si="43"/>
        <v>43.080157053228191</v>
      </c>
      <c r="Q41" s="167">
        <f t="shared" si="44"/>
        <v>43.080157053228191</v>
      </c>
      <c r="R41" s="167">
        <f t="shared" si="45"/>
        <v>0</v>
      </c>
      <c r="S41" s="58"/>
      <c r="T41" s="91"/>
    </row>
    <row r="42" spans="2:20" outlineLevel="1">
      <c r="B42" s="78">
        <f t="shared" si="3"/>
        <v>44713</v>
      </c>
      <c r="C42" s="75">
        <v>985378.69249264896</v>
      </c>
      <c r="D42" s="71">
        <f>IF(F42&lt;&gt;0,VLOOKUP($J42,'Table 1'!$B$13:$C$33,2,FALSE)/12*1000*Study_MW,0)</f>
        <v>0</v>
      </c>
      <c r="E42" s="71">
        <f t="shared" si="21"/>
        <v>985378.69249264896</v>
      </c>
      <c r="F42" s="75">
        <v>72000</v>
      </c>
      <c r="G42" s="76">
        <f t="shared" si="16"/>
        <v>13.685815173509013</v>
      </c>
      <c r="I42" s="77">
        <f t="shared" si="22"/>
        <v>32</v>
      </c>
      <c r="J42" s="73">
        <f t="shared" si="4"/>
        <v>2022</v>
      </c>
      <c r="K42" s="78">
        <f t="shared" si="23"/>
        <v>44713</v>
      </c>
      <c r="L42" s="73">
        <f t="shared" si="13"/>
        <v>2046</v>
      </c>
      <c r="P42" s="114"/>
      <c r="Q42" s="167"/>
      <c r="R42" s="167"/>
    </row>
    <row r="43" spans="2:20" outlineLevel="1">
      <c r="B43" s="78">
        <f t="shared" si="3"/>
        <v>44743</v>
      </c>
      <c r="C43" s="75">
        <v>2486783.2727667391</v>
      </c>
      <c r="D43" s="71">
        <f>IF(F43&lt;&gt;0,VLOOKUP($J43,'Table 1'!$B$13:$C$33,2,FALSE)/12*1000*Study_MW,0)</f>
        <v>0</v>
      </c>
      <c r="E43" s="71">
        <f t="shared" si="21"/>
        <v>2486783.2727667391</v>
      </c>
      <c r="F43" s="75">
        <v>74400</v>
      </c>
      <c r="G43" s="76">
        <f t="shared" si="16"/>
        <v>33.424506354391653</v>
      </c>
      <c r="I43" s="77">
        <f t="shared" si="22"/>
        <v>33</v>
      </c>
      <c r="J43" s="73">
        <f t="shared" si="4"/>
        <v>2022</v>
      </c>
      <c r="K43" s="78">
        <f t="shared" si="23"/>
        <v>44743</v>
      </c>
    </row>
    <row r="44" spans="2:20" outlineLevel="1">
      <c r="B44" s="78">
        <f t="shared" si="3"/>
        <v>44774</v>
      </c>
      <c r="C44" s="75">
        <v>1595327.7117571235</v>
      </c>
      <c r="D44" s="71">
        <f>IF(F44&lt;&gt;0,VLOOKUP($J44,'Table 1'!$B$13:$C$33,2,FALSE)/12*1000*Study_MW,0)</f>
        <v>0</v>
      </c>
      <c r="E44" s="71">
        <f t="shared" si="21"/>
        <v>1595327.7117571235</v>
      </c>
      <c r="F44" s="75">
        <v>74400</v>
      </c>
      <c r="G44" s="76">
        <f t="shared" si="16"/>
        <v>21.44257677092908</v>
      </c>
      <c r="I44" s="77">
        <f t="shared" si="22"/>
        <v>34</v>
      </c>
      <c r="J44" s="73">
        <f t="shared" si="4"/>
        <v>2022</v>
      </c>
      <c r="K44" s="78">
        <f t="shared" si="23"/>
        <v>44774</v>
      </c>
    </row>
    <row r="45" spans="2:20" outlineLevel="1">
      <c r="B45" s="78">
        <f t="shared" si="3"/>
        <v>44805</v>
      </c>
      <c r="C45" s="75">
        <v>1316611.0537091196</v>
      </c>
      <c r="D45" s="71">
        <f>IF(F45&lt;&gt;0,VLOOKUP($J45,'Table 1'!$B$13:$C$33,2,FALSE)/12*1000*Study_MW,0)</f>
        <v>0</v>
      </c>
      <c r="E45" s="71">
        <f t="shared" si="21"/>
        <v>1316611.0537091196</v>
      </c>
      <c r="F45" s="75">
        <v>72000</v>
      </c>
      <c r="G45" s="76">
        <f t="shared" si="16"/>
        <v>18.286264634848884</v>
      </c>
      <c r="I45" s="77">
        <f t="shared" si="22"/>
        <v>35</v>
      </c>
      <c r="J45" s="73">
        <f t="shared" si="4"/>
        <v>2022</v>
      </c>
      <c r="K45" s="78">
        <f t="shared" si="23"/>
        <v>44805</v>
      </c>
    </row>
    <row r="46" spans="2:20" outlineLevel="1">
      <c r="B46" s="78">
        <f t="shared" si="3"/>
        <v>44835</v>
      </c>
      <c r="C46" s="75">
        <v>1051755.3817966133</v>
      </c>
      <c r="D46" s="71">
        <f>IF(F46&lt;&gt;0,VLOOKUP($J46,'Table 1'!$B$13:$C$33,2,FALSE)/12*1000*Study_MW,0)</f>
        <v>0</v>
      </c>
      <c r="E46" s="71">
        <f t="shared" si="21"/>
        <v>1051755.3817966133</v>
      </c>
      <c r="F46" s="75">
        <v>74400</v>
      </c>
      <c r="G46" s="76">
        <f t="shared" si="16"/>
        <v>14.136497067158782</v>
      </c>
      <c r="I46" s="77">
        <f t="shared" si="22"/>
        <v>36</v>
      </c>
      <c r="J46" s="73">
        <f t="shared" si="4"/>
        <v>2022</v>
      </c>
      <c r="K46" s="78">
        <f t="shared" si="23"/>
        <v>44835</v>
      </c>
    </row>
    <row r="47" spans="2:20" outlineLevel="1">
      <c r="B47" s="78">
        <f t="shared" si="3"/>
        <v>44866</v>
      </c>
      <c r="C47" s="75">
        <v>1012353.5201892853</v>
      </c>
      <c r="D47" s="71">
        <f>IF(F47&lt;&gt;0,VLOOKUP($J47,'Table 1'!$B$13:$C$33,2,FALSE)/12*1000*Study_MW,0)</f>
        <v>0</v>
      </c>
      <c r="E47" s="71">
        <f t="shared" si="21"/>
        <v>1012353.5201892853</v>
      </c>
      <c r="F47" s="75">
        <v>72000</v>
      </c>
      <c r="G47" s="76">
        <f t="shared" si="16"/>
        <v>14.060465558184518</v>
      </c>
      <c r="I47" s="77">
        <f t="shared" si="22"/>
        <v>37</v>
      </c>
      <c r="J47" s="73">
        <f t="shared" si="4"/>
        <v>2022</v>
      </c>
      <c r="K47" s="78">
        <f t="shared" si="23"/>
        <v>44866</v>
      </c>
    </row>
    <row r="48" spans="2:20" outlineLevel="1">
      <c r="B48" s="82">
        <f t="shared" si="3"/>
        <v>44896</v>
      </c>
      <c r="C48" s="79">
        <v>1218504.1596487164</v>
      </c>
      <c r="D48" s="80">
        <f>IF(F48&lt;&gt;0,VLOOKUP($J48,'Table 1'!$B$13:$C$33,2,FALSE)/12*1000*Study_MW,0)</f>
        <v>0</v>
      </c>
      <c r="E48" s="80">
        <f t="shared" si="21"/>
        <v>1218504.1596487164</v>
      </c>
      <c r="F48" s="79">
        <v>74400</v>
      </c>
      <c r="G48" s="81">
        <f t="shared" si="16"/>
        <v>16.377744081299952</v>
      </c>
      <c r="I48" s="64">
        <f t="shared" si="22"/>
        <v>38</v>
      </c>
      <c r="J48" s="73">
        <f t="shared" si="4"/>
        <v>2022</v>
      </c>
      <c r="K48" s="82">
        <f t="shared" si="23"/>
        <v>44896</v>
      </c>
    </row>
    <row r="49" spans="2:11" outlineLevel="1">
      <c r="B49" s="74">
        <f t="shared" si="3"/>
        <v>44927</v>
      </c>
      <c r="C49" s="69">
        <v>1216551.6933063567</v>
      </c>
      <c r="D49" s="70">
        <f>IF(F49&lt;&gt;0,VLOOKUP($J49,'Table 1'!$B$13:$C$33,2,FALSE)/12*1000*Study_MW,0)</f>
        <v>0</v>
      </c>
      <c r="E49" s="70">
        <f t="shared" si="21"/>
        <v>1216551.6933063567</v>
      </c>
      <c r="F49" s="69">
        <v>74400</v>
      </c>
      <c r="G49" s="72">
        <f t="shared" si="16"/>
        <v>16.351501254117697</v>
      </c>
      <c r="I49" s="60">
        <f>I37+13</f>
        <v>40</v>
      </c>
      <c r="J49" s="73">
        <f t="shared" si="4"/>
        <v>2023</v>
      </c>
      <c r="K49" s="74">
        <f t="shared" si="23"/>
        <v>44927</v>
      </c>
    </row>
    <row r="50" spans="2:11" outlineLevel="1">
      <c r="B50" s="78">
        <f t="shared" si="3"/>
        <v>44958</v>
      </c>
      <c r="C50" s="75">
        <v>1128390.1487153322</v>
      </c>
      <c r="D50" s="71">
        <f>IF(F50&lt;&gt;0,VLOOKUP($J50,'Table 1'!$B$13:$C$33,2,FALSE)/12*1000*Study_MW,0)</f>
        <v>0</v>
      </c>
      <c r="E50" s="71">
        <f t="shared" si="21"/>
        <v>1128390.1487153322</v>
      </c>
      <c r="F50" s="75">
        <v>67200</v>
      </c>
      <c r="G50" s="76">
        <f t="shared" si="16"/>
        <v>16.791520070168634</v>
      </c>
      <c r="I50" s="77">
        <f t="shared" si="22"/>
        <v>41</v>
      </c>
      <c r="J50" s="73">
        <f t="shared" si="4"/>
        <v>2023</v>
      </c>
      <c r="K50" s="78">
        <f t="shared" si="23"/>
        <v>44958</v>
      </c>
    </row>
    <row r="51" spans="2:11" outlineLevel="1">
      <c r="B51" s="78">
        <f t="shared" si="3"/>
        <v>44986</v>
      </c>
      <c r="C51" s="75">
        <v>1057472.5353258699</v>
      </c>
      <c r="D51" s="71">
        <f>IF(F51&lt;&gt;0,VLOOKUP($J51,'Table 1'!$B$13:$C$33,2,FALSE)/12*1000*Study_MW,0)</f>
        <v>0</v>
      </c>
      <c r="E51" s="71">
        <f t="shared" si="21"/>
        <v>1057472.5353258699</v>
      </c>
      <c r="F51" s="75">
        <v>74400</v>
      </c>
      <c r="G51" s="76">
        <f t="shared" si="16"/>
        <v>14.21334052857352</v>
      </c>
      <c r="I51" s="77">
        <f t="shared" si="22"/>
        <v>42</v>
      </c>
      <c r="J51" s="73">
        <f t="shared" si="4"/>
        <v>2023</v>
      </c>
      <c r="K51" s="78">
        <f t="shared" si="23"/>
        <v>44986</v>
      </c>
    </row>
    <row r="52" spans="2:11" outlineLevel="1">
      <c r="B52" s="78">
        <f t="shared" si="3"/>
        <v>45017</v>
      </c>
      <c r="C52" s="75">
        <v>915436.58084203303</v>
      </c>
      <c r="D52" s="71">
        <f>IF(F52&lt;&gt;0,VLOOKUP($J52,'Table 1'!$B$13:$C$33,2,FALSE)/12*1000*Study_MW,0)</f>
        <v>0</v>
      </c>
      <c r="E52" s="71">
        <f t="shared" si="21"/>
        <v>915436.58084203303</v>
      </c>
      <c r="F52" s="75">
        <v>72000</v>
      </c>
      <c r="G52" s="76">
        <f t="shared" si="16"/>
        <v>12.714396956139348</v>
      </c>
      <c r="I52" s="77">
        <f t="shared" si="22"/>
        <v>43</v>
      </c>
      <c r="J52" s="73">
        <f t="shared" si="4"/>
        <v>2023</v>
      </c>
      <c r="K52" s="78">
        <f t="shared" si="23"/>
        <v>45017</v>
      </c>
    </row>
    <row r="53" spans="2:11" outlineLevel="1">
      <c r="B53" s="78">
        <f t="shared" si="3"/>
        <v>45047</v>
      </c>
      <c r="C53" s="75">
        <v>972754.6970462203</v>
      </c>
      <c r="D53" s="71">
        <f>IF(F53&lt;&gt;0,VLOOKUP($J53,'Table 1'!$B$13:$C$33,2,FALSE)/12*1000*Study_MW,0)</f>
        <v>0</v>
      </c>
      <c r="E53" s="71">
        <f t="shared" si="21"/>
        <v>972754.6970462203</v>
      </c>
      <c r="F53" s="75">
        <v>74400</v>
      </c>
      <c r="G53" s="76">
        <f t="shared" si="16"/>
        <v>13.074659906535219</v>
      </c>
      <c r="I53" s="77">
        <f t="shared" si="22"/>
        <v>44</v>
      </c>
      <c r="J53" s="73">
        <f t="shared" si="4"/>
        <v>2023</v>
      </c>
      <c r="K53" s="78">
        <f t="shared" si="23"/>
        <v>45047</v>
      </c>
    </row>
    <row r="54" spans="2:11" outlineLevel="1">
      <c r="B54" s="78">
        <f t="shared" si="3"/>
        <v>45078</v>
      </c>
      <c r="C54" s="75">
        <v>974045.52343413234</v>
      </c>
      <c r="D54" s="71">
        <f>IF(F54&lt;&gt;0,VLOOKUP($J54,'Table 1'!$B$13:$C$33,2,FALSE)/12*1000*Study_MW,0)</f>
        <v>0</v>
      </c>
      <c r="E54" s="71">
        <f t="shared" si="21"/>
        <v>974045.52343413234</v>
      </c>
      <c r="F54" s="75">
        <v>72000</v>
      </c>
      <c r="G54" s="76">
        <f t="shared" si="16"/>
        <v>13.528410047696282</v>
      </c>
      <c r="I54" s="77">
        <f t="shared" si="22"/>
        <v>45</v>
      </c>
      <c r="J54" s="73">
        <f t="shared" si="4"/>
        <v>2023</v>
      </c>
      <c r="K54" s="78">
        <f t="shared" si="23"/>
        <v>45078</v>
      </c>
    </row>
    <row r="55" spans="2:11" outlineLevel="1">
      <c r="B55" s="78">
        <f t="shared" si="3"/>
        <v>45108</v>
      </c>
      <c r="C55" s="75">
        <v>2383337.9770725071</v>
      </c>
      <c r="D55" s="71">
        <f>IF(F55&lt;&gt;0,VLOOKUP($J55,'Table 1'!$B$13:$C$33,2,FALSE)/12*1000*Study_MW,0)</f>
        <v>0</v>
      </c>
      <c r="E55" s="71">
        <f t="shared" si="21"/>
        <v>2383337.9770725071</v>
      </c>
      <c r="F55" s="75">
        <v>74400</v>
      </c>
      <c r="G55" s="76">
        <f t="shared" si="16"/>
        <v>32.034112595060577</v>
      </c>
      <c r="I55" s="77">
        <f t="shared" si="22"/>
        <v>46</v>
      </c>
      <c r="J55" s="73">
        <f t="shared" si="4"/>
        <v>2023</v>
      </c>
      <c r="K55" s="78">
        <f t="shared" si="23"/>
        <v>45108</v>
      </c>
    </row>
    <row r="56" spans="2:11" outlineLevel="1">
      <c r="B56" s="78">
        <f t="shared" si="3"/>
        <v>45139</v>
      </c>
      <c r="C56" s="75">
        <v>1550864.7203549743</v>
      </c>
      <c r="D56" s="71">
        <f>IF(F56&lt;&gt;0,VLOOKUP($J56,'Table 1'!$B$13:$C$33,2,FALSE)/12*1000*Study_MW,0)</f>
        <v>0</v>
      </c>
      <c r="E56" s="71">
        <f t="shared" si="21"/>
        <v>1550864.7203549743</v>
      </c>
      <c r="F56" s="75">
        <v>74400</v>
      </c>
      <c r="G56" s="76">
        <f t="shared" si="16"/>
        <v>20.844955918749655</v>
      </c>
      <c r="I56" s="77">
        <f t="shared" si="22"/>
        <v>47</v>
      </c>
      <c r="J56" s="73">
        <f t="shared" si="4"/>
        <v>2023</v>
      </c>
      <c r="K56" s="78">
        <f t="shared" si="23"/>
        <v>45139</v>
      </c>
    </row>
    <row r="57" spans="2:11" outlineLevel="1">
      <c r="B57" s="78">
        <f t="shared" si="3"/>
        <v>45170</v>
      </c>
      <c r="C57" s="75">
        <v>1249073.1715625674</v>
      </c>
      <c r="D57" s="71">
        <f>IF(F57&lt;&gt;0,VLOOKUP($J57,'Table 1'!$B$13:$C$33,2,FALSE)/12*1000*Study_MW,0)</f>
        <v>0</v>
      </c>
      <c r="E57" s="71">
        <f t="shared" si="21"/>
        <v>1249073.1715625674</v>
      </c>
      <c r="F57" s="75">
        <v>72000</v>
      </c>
      <c r="G57" s="76">
        <f t="shared" si="16"/>
        <v>17.348238493924548</v>
      </c>
      <c r="I57" s="77">
        <f t="shared" si="22"/>
        <v>48</v>
      </c>
      <c r="J57" s="73">
        <f t="shared" si="4"/>
        <v>2023</v>
      </c>
      <c r="K57" s="78">
        <f t="shared" si="23"/>
        <v>45170</v>
      </c>
    </row>
    <row r="58" spans="2:11" outlineLevel="1">
      <c r="B58" s="78">
        <f t="shared" si="3"/>
        <v>45200</v>
      </c>
      <c r="C58" s="75">
        <v>1063500.4423717558</v>
      </c>
      <c r="D58" s="71">
        <f>IF(F58&lt;&gt;0,VLOOKUP($J58,'Table 1'!$B$13:$C$33,2,FALSE)/12*1000*Study_MW,0)</f>
        <v>0</v>
      </c>
      <c r="E58" s="71">
        <f t="shared" si="21"/>
        <v>1063500.4423717558</v>
      </c>
      <c r="F58" s="75">
        <v>74400</v>
      </c>
      <c r="G58" s="76">
        <f t="shared" si="16"/>
        <v>14.29436078456661</v>
      </c>
      <c r="I58" s="77">
        <f t="shared" si="22"/>
        <v>49</v>
      </c>
      <c r="J58" s="73">
        <f t="shared" si="4"/>
        <v>2023</v>
      </c>
      <c r="K58" s="78">
        <f t="shared" si="23"/>
        <v>45200</v>
      </c>
    </row>
    <row r="59" spans="2:11" outlineLevel="1">
      <c r="B59" s="78">
        <f t="shared" si="3"/>
        <v>45231</v>
      </c>
      <c r="C59" s="75">
        <v>1034757.4873791486</v>
      </c>
      <c r="D59" s="71">
        <f>IF(F59&lt;&gt;0,VLOOKUP($J59,'Table 1'!$B$13:$C$33,2,FALSE)/12*1000*Study_MW,0)</f>
        <v>0</v>
      </c>
      <c r="E59" s="71">
        <f t="shared" si="21"/>
        <v>1034757.4873791486</v>
      </c>
      <c r="F59" s="75">
        <v>72000</v>
      </c>
      <c r="G59" s="76">
        <f t="shared" si="16"/>
        <v>14.371631769154842</v>
      </c>
      <c r="I59" s="77">
        <f t="shared" si="22"/>
        <v>50</v>
      </c>
      <c r="J59" s="73">
        <f t="shared" si="4"/>
        <v>2023</v>
      </c>
      <c r="K59" s="78">
        <f t="shared" si="23"/>
        <v>45231</v>
      </c>
    </row>
    <row r="60" spans="2:11" outlineLevel="1">
      <c r="B60" s="82">
        <f t="shared" si="3"/>
        <v>45261</v>
      </c>
      <c r="C60" s="79">
        <v>1226571.7093756348</v>
      </c>
      <c r="D60" s="80">
        <f>IF(F60&lt;&gt;0,VLOOKUP($J60,'Table 1'!$B$13:$C$33,2,FALSE)/12*1000*Study_MW,0)</f>
        <v>0</v>
      </c>
      <c r="E60" s="80">
        <f t="shared" si="21"/>
        <v>1226571.7093756348</v>
      </c>
      <c r="F60" s="79">
        <v>74400</v>
      </c>
      <c r="G60" s="81">
        <f t="shared" si="16"/>
        <v>16.486178889457456</v>
      </c>
      <c r="I60" s="64">
        <f t="shared" si="22"/>
        <v>51</v>
      </c>
      <c r="J60" s="73">
        <f t="shared" si="4"/>
        <v>2023</v>
      </c>
      <c r="K60" s="82">
        <f t="shared" si="23"/>
        <v>45261</v>
      </c>
    </row>
    <row r="61" spans="2:11" outlineLevel="1">
      <c r="B61" s="74">
        <f t="shared" si="3"/>
        <v>45292</v>
      </c>
      <c r="C61" s="69">
        <v>1141670.6743362844</v>
      </c>
      <c r="D61" s="70">
        <f>IF(F61&lt;&gt;0,VLOOKUP($J61,'Table 1'!$B$13:$C$33,2,FALSE)/12*1000*Study_MW,0)</f>
        <v>0</v>
      </c>
      <c r="E61" s="70">
        <f t="shared" si="21"/>
        <v>1141670.6743362844</v>
      </c>
      <c r="F61" s="69">
        <v>74400</v>
      </c>
      <c r="G61" s="72">
        <f t="shared" si="16"/>
        <v>15.345035945380166</v>
      </c>
      <c r="I61" s="60">
        <f>I49+13</f>
        <v>53</v>
      </c>
      <c r="J61" s="73">
        <f t="shared" si="4"/>
        <v>2024</v>
      </c>
      <c r="K61" s="74">
        <f t="shared" si="23"/>
        <v>45292</v>
      </c>
    </row>
    <row r="62" spans="2:11" outlineLevel="1">
      <c r="B62" s="78">
        <f t="shared" si="3"/>
        <v>45323</v>
      </c>
      <c r="C62" s="75">
        <v>776335.21794250607</v>
      </c>
      <c r="D62" s="71">
        <f>IF(F62&lt;&gt;0,VLOOKUP($J62,'Table 1'!$B$13:$C$33,2,FALSE)/12*1000*Study_MW,0)</f>
        <v>0</v>
      </c>
      <c r="E62" s="71">
        <f t="shared" si="21"/>
        <v>776335.21794250607</v>
      </c>
      <c r="F62" s="75">
        <v>69600</v>
      </c>
      <c r="G62" s="76">
        <f t="shared" si="16"/>
        <v>11.154241637104972</v>
      </c>
      <c r="I62" s="77">
        <f t="shared" si="22"/>
        <v>54</v>
      </c>
      <c r="J62" s="73">
        <f t="shared" si="4"/>
        <v>2024</v>
      </c>
      <c r="K62" s="78">
        <f t="shared" si="23"/>
        <v>45323</v>
      </c>
    </row>
    <row r="63" spans="2:11" outlineLevel="1">
      <c r="B63" s="78">
        <f t="shared" si="3"/>
        <v>45352</v>
      </c>
      <c r="C63" s="75">
        <v>531320.73743119836</v>
      </c>
      <c r="D63" s="71">
        <f>IF(F63&lt;&gt;0,VLOOKUP($J63,'Table 1'!$B$13:$C$33,2,FALSE)/12*1000*Study_MW,0)</f>
        <v>0</v>
      </c>
      <c r="E63" s="71">
        <f t="shared" si="21"/>
        <v>531320.73743119836</v>
      </c>
      <c r="F63" s="75">
        <v>74400</v>
      </c>
      <c r="G63" s="76">
        <f t="shared" si="16"/>
        <v>7.1414077611720206</v>
      </c>
      <c r="I63" s="77">
        <f t="shared" si="22"/>
        <v>55</v>
      </c>
      <c r="J63" s="73">
        <f t="shared" si="4"/>
        <v>2024</v>
      </c>
      <c r="K63" s="78">
        <f t="shared" si="23"/>
        <v>45352</v>
      </c>
    </row>
    <row r="64" spans="2:11" outlineLevel="1">
      <c r="B64" s="78">
        <f t="shared" si="3"/>
        <v>45383</v>
      </c>
      <c r="C64" s="75">
        <v>434023.16861595213</v>
      </c>
      <c r="D64" s="71">
        <f>IF(F64&lt;&gt;0,VLOOKUP($J64,'Table 1'!$B$13:$C$33,2,FALSE)/12*1000*Study_MW,0)</f>
        <v>0</v>
      </c>
      <c r="E64" s="71">
        <f t="shared" si="21"/>
        <v>434023.16861595213</v>
      </c>
      <c r="F64" s="75">
        <v>72000</v>
      </c>
      <c r="G64" s="76">
        <f t="shared" si="16"/>
        <v>6.0280995641104465</v>
      </c>
      <c r="I64" s="77">
        <f t="shared" si="22"/>
        <v>56</v>
      </c>
      <c r="J64" s="73">
        <f t="shared" si="4"/>
        <v>2024</v>
      </c>
      <c r="K64" s="78">
        <f t="shared" si="23"/>
        <v>45383</v>
      </c>
    </row>
    <row r="65" spans="2:11" outlineLevel="1">
      <c r="B65" s="78">
        <f t="shared" si="3"/>
        <v>45413</v>
      </c>
      <c r="C65" s="75">
        <v>599709.86192585528</v>
      </c>
      <c r="D65" s="71">
        <f>IF(F65&lt;&gt;0,VLOOKUP($J65,'Table 1'!$B$13:$C$33,2,FALSE)/12*1000*Study_MW,0)</f>
        <v>0</v>
      </c>
      <c r="E65" s="71">
        <f t="shared" si="21"/>
        <v>599709.86192585528</v>
      </c>
      <c r="F65" s="75">
        <v>74400</v>
      </c>
      <c r="G65" s="76">
        <f t="shared" si="16"/>
        <v>8.0606164237346132</v>
      </c>
      <c r="I65" s="77">
        <f t="shared" si="22"/>
        <v>57</v>
      </c>
      <c r="J65" s="73">
        <f t="shared" si="4"/>
        <v>2024</v>
      </c>
      <c r="K65" s="78">
        <f t="shared" si="23"/>
        <v>45413</v>
      </c>
    </row>
    <row r="66" spans="2:11" outlineLevel="1">
      <c r="B66" s="78">
        <f t="shared" si="3"/>
        <v>45444</v>
      </c>
      <c r="C66" s="75">
        <v>635430.49252231419</v>
      </c>
      <c r="D66" s="71">
        <f>IF(F66&lt;&gt;0,VLOOKUP($J66,'Table 1'!$B$13:$C$33,2,FALSE)/12*1000*Study_MW,0)</f>
        <v>0</v>
      </c>
      <c r="E66" s="71">
        <f t="shared" si="21"/>
        <v>635430.49252231419</v>
      </c>
      <c r="F66" s="75">
        <v>72000</v>
      </c>
      <c r="G66" s="76">
        <f t="shared" si="16"/>
        <v>8.8254235072543636</v>
      </c>
      <c r="I66" s="77">
        <f t="shared" si="22"/>
        <v>58</v>
      </c>
      <c r="J66" s="73">
        <f t="shared" si="4"/>
        <v>2024</v>
      </c>
      <c r="K66" s="78">
        <f t="shared" si="23"/>
        <v>45444</v>
      </c>
    </row>
    <row r="67" spans="2:11" outlineLevel="1">
      <c r="B67" s="78">
        <f t="shared" si="3"/>
        <v>45474</v>
      </c>
      <c r="C67" s="75">
        <v>2434611.429229781</v>
      </c>
      <c r="D67" s="71">
        <f>IF(F67&lt;&gt;0,VLOOKUP($J67,'Table 1'!$B$13:$C$33,2,FALSE)/12*1000*Study_MW,0)</f>
        <v>0</v>
      </c>
      <c r="E67" s="71">
        <f t="shared" si="21"/>
        <v>2434611.429229781</v>
      </c>
      <c r="F67" s="75">
        <v>74400</v>
      </c>
      <c r="G67" s="76">
        <f t="shared" si="16"/>
        <v>32.723271898249742</v>
      </c>
      <c r="I67" s="77">
        <f t="shared" si="22"/>
        <v>59</v>
      </c>
      <c r="J67" s="73">
        <f t="shared" si="4"/>
        <v>2024</v>
      </c>
      <c r="K67" s="78">
        <f t="shared" si="23"/>
        <v>45474</v>
      </c>
    </row>
    <row r="68" spans="2:11" outlineLevel="1">
      <c r="B68" s="78">
        <f t="shared" si="3"/>
        <v>45505</v>
      </c>
      <c r="C68" s="75">
        <v>1155823.278215453</v>
      </c>
      <c r="D68" s="71">
        <f>IF(F68&lt;&gt;0,VLOOKUP($J68,'Table 1'!$B$13:$C$33,2,FALSE)/12*1000*Study_MW,0)</f>
        <v>0</v>
      </c>
      <c r="E68" s="71">
        <f t="shared" si="21"/>
        <v>1155823.278215453</v>
      </c>
      <c r="F68" s="75">
        <v>74400</v>
      </c>
      <c r="G68" s="76">
        <f t="shared" si="16"/>
        <v>15.5352591157991</v>
      </c>
      <c r="I68" s="77">
        <f t="shared" si="22"/>
        <v>60</v>
      </c>
      <c r="J68" s="73">
        <f t="shared" si="4"/>
        <v>2024</v>
      </c>
      <c r="K68" s="78">
        <f t="shared" si="23"/>
        <v>45505</v>
      </c>
    </row>
    <row r="69" spans="2:11" outlineLevel="1">
      <c r="B69" s="78">
        <f t="shared" si="3"/>
        <v>45536</v>
      </c>
      <c r="C69" s="75">
        <v>783354.52163290977</v>
      </c>
      <c r="D69" s="71">
        <f>IF(F69&lt;&gt;0,VLOOKUP($J69,'Table 1'!$B$13:$C$33,2,FALSE)/12*1000*Study_MW,0)</f>
        <v>0</v>
      </c>
      <c r="E69" s="71">
        <f t="shared" si="21"/>
        <v>783354.52163290977</v>
      </c>
      <c r="F69" s="75">
        <v>72000</v>
      </c>
      <c r="G69" s="76">
        <f t="shared" si="16"/>
        <v>10.879923911568191</v>
      </c>
      <c r="I69" s="77">
        <f t="shared" si="22"/>
        <v>61</v>
      </c>
      <c r="J69" s="73">
        <f t="shared" si="4"/>
        <v>2024</v>
      </c>
      <c r="K69" s="78">
        <f t="shared" si="23"/>
        <v>45536</v>
      </c>
    </row>
    <row r="70" spans="2:11" outlineLevel="1">
      <c r="B70" s="78">
        <f t="shared" si="3"/>
        <v>45566</v>
      </c>
      <c r="C70" s="75">
        <v>631770.05443257093</v>
      </c>
      <c r="D70" s="71">
        <f>IF(F70&lt;&gt;0,VLOOKUP($J70,'Table 1'!$B$13:$C$33,2,FALSE)/12*1000*Study_MW,0)</f>
        <v>0</v>
      </c>
      <c r="E70" s="71">
        <f t="shared" si="21"/>
        <v>631770.05443257093</v>
      </c>
      <c r="F70" s="75">
        <v>74400</v>
      </c>
      <c r="G70" s="76">
        <f t="shared" si="16"/>
        <v>8.4915329896850924</v>
      </c>
      <c r="I70" s="77">
        <f t="shared" si="22"/>
        <v>62</v>
      </c>
      <c r="J70" s="73">
        <f t="shared" si="4"/>
        <v>2024</v>
      </c>
      <c r="K70" s="78">
        <f t="shared" si="23"/>
        <v>45566</v>
      </c>
    </row>
    <row r="71" spans="2:11" outlineLevel="1">
      <c r="B71" s="78">
        <f t="shared" si="3"/>
        <v>45597</v>
      </c>
      <c r="C71" s="75">
        <v>689763.72469975054</v>
      </c>
      <c r="D71" s="71">
        <f>IF(F71&lt;&gt;0,VLOOKUP($J71,'Table 1'!$B$13:$C$33,2,FALSE)/12*1000*Study_MW,0)</f>
        <v>0</v>
      </c>
      <c r="E71" s="71">
        <f t="shared" si="21"/>
        <v>689763.72469975054</v>
      </c>
      <c r="F71" s="75">
        <v>72000</v>
      </c>
      <c r="G71" s="76">
        <f t="shared" si="16"/>
        <v>9.5800517319409799</v>
      </c>
      <c r="I71" s="77">
        <f t="shared" si="22"/>
        <v>63</v>
      </c>
      <c r="J71" s="73">
        <f t="shared" si="4"/>
        <v>2024</v>
      </c>
      <c r="K71" s="78">
        <f t="shared" si="23"/>
        <v>45597</v>
      </c>
    </row>
    <row r="72" spans="2:11" outlineLevel="1">
      <c r="B72" s="82">
        <f t="shared" si="3"/>
        <v>45627</v>
      </c>
      <c r="C72" s="79">
        <v>795604.32115910947</v>
      </c>
      <c r="D72" s="80">
        <f>IF(F72&lt;&gt;0,VLOOKUP($J72,'Table 1'!$B$13:$C$33,2,FALSE)/12*1000*Study_MW,0)</f>
        <v>0</v>
      </c>
      <c r="E72" s="80">
        <f t="shared" si="21"/>
        <v>795604.32115910947</v>
      </c>
      <c r="F72" s="79">
        <v>74400</v>
      </c>
      <c r="G72" s="81">
        <f t="shared" si="16"/>
        <v>10.693606467192332</v>
      </c>
      <c r="I72" s="64">
        <f t="shared" si="22"/>
        <v>64</v>
      </c>
      <c r="J72" s="73">
        <f t="shared" si="4"/>
        <v>2024</v>
      </c>
      <c r="K72" s="82">
        <f t="shared" si="23"/>
        <v>45627</v>
      </c>
    </row>
    <row r="73" spans="2:11" outlineLevel="1">
      <c r="B73" s="74">
        <f t="shared" si="3"/>
        <v>45658</v>
      </c>
      <c r="C73" s="69">
        <v>1205403.972992003</v>
      </c>
      <c r="D73" s="70">
        <f>IF(F73&lt;&gt;0,VLOOKUP($J73,'Table 1'!$B$13:$C$33,2,FALSE)/12*1000*Study_MW,0)</f>
        <v>0</v>
      </c>
      <c r="E73" s="70">
        <f t="shared" si="21"/>
        <v>1205403.972992003</v>
      </c>
      <c r="F73" s="69">
        <v>74400</v>
      </c>
      <c r="G73" s="72">
        <f t="shared" si="16"/>
        <v>16.201666303655955</v>
      </c>
      <c r="I73" s="60">
        <f>I61+13</f>
        <v>66</v>
      </c>
      <c r="J73" s="73">
        <f t="shared" si="4"/>
        <v>2025</v>
      </c>
      <c r="K73" s="74">
        <f t="shared" si="23"/>
        <v>45658</v>
      </c>
    </row>
    <row r="74" spans="2:11" outlineLevel="1">
      <c r="B74" s="78">
        <f t="shared" si="3"/>
        <v>45689</v>
      </c>
      <c r="C74" s="75">
        <v>709624.77311937511</v>
      </c>
      <c r="D74" s="71">
        <f>IF(F74&lt;&gt;0,VLOOKUP($J74,'Table 1'!$B$13:$C$33,2,FALSE)/12*1000*Study_MW,0)</f>
        <v>0</v>
      </c>
      <c r="E74" s="71">
        <f t="shared" si="21"/>
        <v>709624.77311937511</v>
      </c>
      <c r="F74" s="75">
        <v>67200</v>
      </c>
      <c r="G74" s="76">
        <f t="shared" si="16"/>
        <v>10.559892457133559</v>
      </c>
      <c r="I74" s="77">
        <f t="shared" si="22"/>
        <v>67</v>
      </c>
      <c r="J74" s="73">
        <f t="shared" si="4"/>
        <v>2025</v>
      </c>
      <c r="K74" s="78">
        <f t="shared" si="23"/>
        <v>45689</v>
      </c>
    </row>
    <row r="75" spans="2:11" outlineLevel="1">
      <c r="B75" s="78">
        <f t="shared" si="3"/>
        <v>45717</v>
      </c>
      <c r="C75" s="75">
        <v>556966.59670855105</v>
      </c>
      <c r="D75" s="71">
        <f>IF(F75&lt;&gt;0,VLOOKUP($J75,'Table 1'!$B$13:$C$33,2,FALSE)/12*1000*Study_MW,0)</f>
        <v>0</v>
      </c>
      <c r="E75" s="71">
        <f t="shared" si="21"/>
        <v>556966.59670855105</v>
      </c>
      <c r="F75" s="75">
        <v>74400</v>
      </c>
      <c r="G75" s="76">
        <f t="shared" si="16"/>
        <v>7.4861101708138582</v>
      </c>
      <c r="I75" s="77">
        <f t="shared" si="22"/>
        <v>68</v>
      </c>
      <c r="J75" s="73">
        <f t="shared" si="4"/>
        <v>2025</v>
      </c>
      <c r="K75" s="78">
        <f t="shared" si="23"/>
        <v>45717</v>
      </c>
    </row>
    <row r="76" spans="2:11" outlineLevel="1">
      <c r="B76" s="78">
        <f t="shared" si="3"/>
        <v>45748</v>
      </c>
      <c r="C76" s="75">
        <v>485105.19748303294</v>
      </c>
      <c r="D76" s="71">
        <f>IF(F76&lt;&gt;0,VLOOKUP($J76,'Table 1'!$B$13:$C$33,2,FALSE)/12*1000*Study_MW,0)</f>
        <v>0</v>
      </c>
      <c r="E76" s="71">
        <f t="shared" si="21"/>
        <v>485105.19748303294</v>
      </c>
      <c r="F76" s="75">
        <v>72000</v>
      </c>
      <c r="G76" s="76">
        <f t="shared" si="16"/>
        <v>6.7375721872643464</v>
      </c>
      <c r="I76" s="77">
        <f t="shared" si="22"/>
        <v>69</v>
      </c>
      <c r="J76" s="73">
        <f t="shared" si="4"/>
        <v>2025</v>
      </c>
      <c r="K76" s="78">
        <f t="shared" si="23"/>
        <v>45748</v>
      </c>
    </row>
    <row r="77" spans="2:11" outlineLevel="1">
      <c r="B77" s="78">
        <f t="shared" si="3"/>
        <v>45778</v>
      </c>
      <c r="C77" s="75">
        <v>631717.36989051104</v>
      </c>
      <c r="D77" s="71">
        <f>IF(F77&lt;&gt;0,VLOOKUP($J77,'Table 1'!$B$13:$C$33,2,FALSE)/12*1000*Study_MW,0)</f>
        <v>0</v>
      </c>
      <c r="E77" s="71">
        <f t="shared" si="21"/>
        <v>631717.36989051104</v>
      </c>
      <c r="F77" s="75">
        <v>74400</v>
      </c>
      <c r="G77" s="76">
        <f t="shared" si="16"/>
        <v>8.4908248641197712</v>
      </c>
      <c r="I77" s="77">
        <f t="shared" si="22"/>
        <v>70</v>
      </c>
      <c r="J77" s="73">
        <f t="shared" si="4"/>
        <v>2025</v>
      </c>
      <c r="K77" s="78">
        <f t="shared" si="23"/>
        <v>45778</v>
      </c>
    </row>
    <row r="78" spans="2:11" outlineLevel="1">
      <c r="B78" s="78">
        <f t="shared" ref="B78:B141" si="49">EDATE(B77,1)</f>
        <v>45809</v>
      </c>
      <c r="C78" s="75">
        <v>702486.13796773553</v>
      </c>
      <c r="D78" s="71">
        <f>IF(F78&lt;&gt;0,VLOOKUP($J78,'Table 1'!$B$13:$C$33,2,FALSE)/12*1000*Study_MW,0)</f>
        <v>0</v>
      </c>
      <c r="E78" s="71">
        <f t="shared" ref="E78:E141" si="50">C78+D78</f>
        <v>702486.13796773553</v>
      </c>
      <c r="F78" s="75">
        <v>72000</v>
      </c>
      <c r="G78" s="76">
        <f t="shared" ref="G78:G141" si="51">IF(ISNUMBER($F78),E78/$F78,"")</f>
        <v>9.7567519162185494</v>
      </c>
      <c r="I78" s="77">
        <f t="shared" si="22"/>
        <v>71</v>
      </c>
      <c r="J78" s="73">
        <f t="shared" ref="J78:J141" si="52">YEAR(B78)</f>
        <v>2025</v>
      </c>
      <c r="K78" s="78">
        <f t="shared" si="23"/>
        <v>45809</v>
      </c>
    </row>
    <row r="79" spans="2:11" outlineLevel="1">
      <c r="B79" s="78">
        <f t="shared" si="49"/>
        <v>45839</v>
      </c>
      <c r="C79" s="75">
        <v>2562516.7218057662</v>
      </c>
      <c r="D79" s="71">
        <f>IF(F79&lt;&gt;0,VLOOKUP($J79,'Table 1'!$B$13:$C$33,2,FALSE)/12*1000*Study_MW,0)</f>
        <v>0</v>
      </c>
      <c r="E79" s="71">
        <f t="shared" si="50"/>
        <v>2562516.7218057662</v>
      </c>
      <c r="F79" s="75">
        <v>74400</v>
      </c>
      <c r="G79" s="76">
        <f t="shared" si="51"/>
        <v>34.442429056529114</v>
      </c>
      <c r="I79" s="77">
        <f t="shared" si="22"/>
        <v>72</v>
      </c>
      <c r="J79" s="73">
        <f t="shared" si="52"/>
        <v>2025</v>
      </c>
      <c r="K79" s="78">
        <f t="shared" si="23"/>
        <v>45839</v>
      </c>
    </row>
    <row r="80" spans="2:11" outlineLevel="1">
      <c r="B80" s="78">
        <f t="shared" si="49"/>
        <v>45870</v>
      </c>
      <c r="C80" s="75">
        <v>1312817.645604834</v>
      </c>
      <c r="D80" s="71">
        <f>IF(F80&lt;&gt;0,VLOOKUP($J80,'Table 1'!$B$13:$C$33,2,FALSE)/12*1000*Study_MW,0)</f>
        <v>0</v>
      </c>
      <c r="E80" s="71">
        <f t="shared" si="50"/>
        <v>1312817.645604834</v>
      </c>
      <c r="F80" s="75">
        <v>74400</v>
      </c>
      <c r="G80" s="76">
        <f t="shared" si="51"/>
        <v>17.645398462430563</v>
      </c>
      <c r="I80" s="77">
        <f t="shared" si="22"/>
        <v>73</v>
      </c>
      <c r="J80" s="73">
        <f t="shared" si="52"/>
        <v>2025</v>
      </c>
      <c r="K80" s="78">
        <f t="shared" si="23"/>
        <v>45870</v>
      </c>
    </row>
    <row r="81" spans="2:11" outlineLevel="1">
      <c r="B81" s="78">
        <f t="shared" si="49"/>
        <v>45901</v>
      </c>
      <c r="C81" s="75">
        <v>826273.44353371859</v>
      </c>
      <c r="D81" s="71">
        <f>IF(F81&lt;&gt;0,VLOOKUP($J81,'Table 1'!$B$13:$C$33,2,FALSE)/12*1000*Study_MW,0)</f>
        <v>0</v>
      </c>
      <c r="E81" s="71">
        <f t="shared" si="50"/>
        <v>826273.44353371859</v>
      </c>
      <c r="F81" s="75">
        <v>72000</v>
      </c>
      <c r="G81" s="76">
        <f t="shared" si="51"/>
        <v>11.476020049079425</v>
      </c>
      <c r="I81" s="77">
        <f t="shared" si="22"/>
        <v>74</v>
      </c>
      <c r="J81" s="73">
        <f t="shared" si="52"/>
        <v>2025</v>
      </c>
      <c r="K81" s="78">
        <f t="shared" si="23"/>
        <v>45901</v>
      </c>
    </row>
    <row r="82" spans="2:11" outlineLevel="1">
      <c r="B82" s="78">
        <f t="shared" si="49"/>
        <v>45931</v>
      </c>
      <c r="C82" s="75">
        <v>635474.18890050054</v>
      </c>
      <c r="D82" s="71">
        <f>IF(F82&lt;&gt;0,VLOOKUP($J82,'Table 1'!$B$13:$C$33,2,FALSE)/12*1000*Study_MW,0)</f>
        <v>0</v>
      </c>
      <c r="E82" s="71">
        <f t="shared" si="50"/>
        <v>635474.18890050054</v>
      </c>
      <c r="F82" s="75">
        <v>74400</v>
      </c>
      <c r="G82" s="76">
        <f t="shared" si="51"/>
        <v>8.5413197432862979</v>
      </c>
      <c r="I82" s="77">
        <f t="shared" si="22"/>
        <v>75</v>
      </c>
      <c r="J82" s="73">
        <f t="shared" si="52"/>
        <v>2025</v>
      </c>
      <c r="K82" s="78">
        <f t="shared" si="23"/>
        <v>45931</v>
      </c>
    </row>
    <row r="83" spans="2:11" outlineLevel="1">
      <c r="B83" s="78">
        <f t="shared" si="49"/>
        <v>45962</v>
      </c>
      <c r="C83" s="75">
        <v>681948.52532814443</v>
      </c>
      <c r="D83" s="71">
        <f>IF(F83&lt;&gt;0,VLOOKUP($J83,'Table 1'!$B$13:$C$33,2,FALSE)/12*1000*Study_MW,0)</f>
        <v>0</v>
      </c>
      <c r="E83" s="71">
        <f t="shared" si="50"/>
        <v>681948.52532814443</v>
      </c>
      <c r="F83" s="75">
        <v>72000</v>
      </c>
      <c r="G83" s="76">
        <f t="shared" si="51"/>
        <v>9.4715072962242282</v>
      </c>
      <c r="I83" s="77">
        <f t="shared" si="22"/>
        <v>76</v>
      </c>
      <c r="J83" s="73">
        <f t="shared" si="52"/>
        <v>2025</v>
      </c>
      <c r="K83" s="78">
        <f t="shared" si="23"/>
        <v>45962</v>
      </c>
    </row>
    <row r="84" spans="2:11" outlineLevel="1">
      <c r="B84" s="82">
        <f t="shared" si="49"/>
        <v>45992</v>
      </c>
      <c r="C84" s="79">
        <v>822326.20981919765</v>
      </c>
      <c r="D84" s="80">
        <f>IF(F84&lt;&gt;0,VLOOKUP($J84,'Table 1'!$B$13:$C$33,2,FALSE)/12*1000*Study_MW,0)</f>
        <v>0</v>
      </c>
      <c r="E84" s="80">
        <f t="shared" si="50"/>
        <v>822326.20981919765</v>
      </c>
      <c r="F84" s="79">
        <v>74400</v>
      </c>
      <c r="G84" s="81">
        <f t="shared" si="51"/>
        <v>11.052771637354807</v>
      </c>
      <c r="I84" s="64">
        <f t="shared" si="22"/>
        <v>77</v>
      </c>
      <c r="J84" s="73">
        <f t="shared" si="52"/>
        <v>2025</v>
      </c>
      <c r="K84" s="82">
        <f t="shared" si="23"/>
        <v>45992</v>
      </c>
    </row>
    <row r="85" spans="2:11" outlineLevel="1">
      <c r="B85" s="74">
        <f t="shared" si="49"/>
        <v>46023</v>
      </c>
      <c r="C85" s="69">
        <v>1318512.0998016</v>
      </c>
      <c r="D85" s="70">
        <f>IF(F85&lt;&gt;0,VLOOKUP($J85,'Table 1'!$B$13:$C$33,2,FALSE)/12*1000*Study_MW,0)</f>
        <v>963553.92828625103</v>
      </c>
      <c r="E85" s="70">
        <f t="shared" si="50"/>
        <v>2282066.0280878511</v>
      </c>
      <c r="F85" s="69">
        <v>74400</v>
      </c>
      <c r="G85" s="72">
        <f t="shared" si="51"/>
        <v>30.672930485051761</v>
      </c>
      <c r="I85" s="60">
        <f>I73+13</f>
        <v>79</v>
      </c>
      <c r="J85" s="73">
        <f t="shared" si="52"/>
        <v>2026</v>
      </c>
      <c r="K85" s="74">
        <f t="shared" si="23"/>
        <v>46023</v>
      </c>
    </row>
    <row r="86" spans="2:11" outlineLevel="1">
      <c r="B86" s="78">
        <f t="shared" si="49"/>
        <v>46054</v>
      </c>
      <c r="C86" s="75">
        <v>1027238.43251203</v>
      </c>
      <c r="D86" s="71">
        <f>IF(F86&lt;&gt;0,VLOOKUP($J86,'Table 1'!$B$13:$C$33,2,FALSE)/12*1000*Study_MW,0)</f>
        <v>963553.92828625103</v>
      </c>
      <c r="E86" s="71">
        <f t="shared" si="50"/>
        <v>1990792.3607982812</v>
      </c>
      <c r="F86" s="75">
        <v>67200</v>
      </c>
      <c r="G86" s="76">
        <f t="shared" si="51"/>
        <v>29.624886321402993</v>
      </c>
      <c r="I86" s="77">
        <f t="shared" si="22"/>
        <v>80</v>
      </c>
      <c r="J86" s="73">
        <f t="shared" si="52"/>
        <v>2026</v>
      </c>
      <c r="K86" s="78">
        <f t="shared" si="23"/>
        <v>46054</v>
      </c>
    </row>
    <row r="87" spans="2:11" outlineLevel="1">
      <c r="B87" s="78">
        <f t="shared" si="49"/>
        <v>46082</v>
      </c>
      <c r="C87" s="75">
        <v>751043.10368931293</v>
      </c>
      <c r="D87" s="71">
        <f>IF(F87&lt;&gt;0,VLOOKUP($J87,'Table 1'!$B$13:$C$33,2,FALSE)/12*1000*Study_MW,0)</f>
        <v>963553.92828625103</v>
      </c>
      <c r="E87" s="71">
        <f t="shared" si="50"/>
        <v>1714597.0319755641</v>
      </c>
      <c r="F87" s="75">
        <v>74400</v>
      </c>
      <c r="G87" s="76">
        <f t="shared" si="51"/>
        <v>23.045659031929624</v>
      </c>
      <c r="I87" s="77">
        <f t="shared" si="22"/>
        <v>81</v>
      </c>
      <c r="J87" s="73">
        <f t="shared" si="52"/>
        <v>2026</v>
      </c>
      <c r="K87" s="78">
        <f t="shared" si="23"/>
        <v>46082</v>
      </c>
    </row>
    <row r="88" spans="2:11" outlineLevel="1">
      <c r="B88" s="78">
        <f t="shared" si="49"/>
        <v>46113</v>
      </c>
      <c r="C88" s="75">
        <v>840986.53635089099</v>
      </c>
      <c r="D88" s="71">
        <f>IF(F88&lt;&gt;0,VLOOKUP($J88,'Table 1'!$B$13:$C$33,2,FALSE)/12*1000*Study_MW,0)</f>
        <v>963553.92828625103</v>
      </c>
      <c r="E88" s="71">
        <f t="shared" si="50"/>
        <v>1804540.4646371421</v>
      </c>
      <c r="F88" s="75">
        <v>72000</v>
      </c>
      <c r="G88" s="76">
        <f t="shared" si="51"/>
        <v>25.063062008849197</v>
      </c>
      <c r="I88" s="77">
        <f t="shared" si="22"/>
        <v>82</v>
      </c>
      <c r="J88" s="73">
        <f t="shared" si="52"/>
        <v>2026</v>
      </c>
      <c r="K88" s="78">
        <f t="shared" si="23"/>
        <v>46113</v>
      </c>
    </row>
    <row r="89" spans="2:11" outlineLevel="1">
      <c r="B89" s="78">
        <f t="shared" si="49"/>
        <v>46143</v>
      </c>
      <c r="C89" s="75">
        <v>1098498.8920269161</v>
      </c>
      <c r="D89" s="71">
        <f>IF(F89&lt;&gt;0,VLOOKUP($J89,'Table 1'!$B$13:$C$33,2,FALSE)/12*1000*Study_MW,0)</f>
        <v>963553.92828625103</v>
      </c>
      <c r="E89" s="71">
        <f t="shared" si="50"/>
        <v>2062052.8203131673</v>
      </c>
      <c r="F89" s="75">
        <v>74400</v>
      </c>
      <c r="G89" s="76">
        <f t="shared" si="51"/>
        <v>27.715763713886655</v>
      </c>
      <c r="I89" s="77">
        <f t="shared" si="22"/>
        <v>83</v>
      </c>
      <c r="J89" s="73">
        <f t="shared" si="52"/>
        <v>2026</v>
      </c>
      <c r="K89" s="78">
        <f t="shared" si="23"/>
        <v>46143</v>
      </c>
    </row>
    <row r="90" spans="2:11" outlineLevel="1">
      <c r="B90" s="78">
        <f t="shared" si="49"/>
        <v>46174</v>
      </c>
      <c r="C90" s="75">
        <v>1326893.385765627</v>
      </c>
      <c r="D90" s="71">
        <f>IF(F90&lt;&gt;0,VLOOKUP($J90,'Table 1'!$B$13:$C$33,2,FALSE)/12*1000*Study_MW,0)</f>
        <v>963553.92828625103</v>
      </c>
      <c r="E90" s="71">
        <f t="shared" si="50"/>
        <v>2290447.3140518782</v>
      </c>
      <c r="F90" s="75">
        <v>72000</v>
      </c>
      <c r="G90" s="76">
        <f t="shared" si="51"/>
        <v>31.811768250720529</v>
      </c>
      <c r="I90" s="77">
        <f t="shared" ref="I90:I96" si="53">I78+13</f>
        <v>84</v>
      </c>
      <c r="J90" s="73">
        <f t="shared" si="52"/>
        <v>2026</v>
      </c>
      <c r="K90" s="78">
        <f t="shared" ref="K90:K153" si="54">IF(ISNUMBER(F90),IF(F90&lt;&gt;0,B90,""),"")</f>
        <v>46174</v>
      </c>
    </row>
    <row r="91" spans="2:11" outlineLevel="1">
      <c r="B91" s="78">
        <f t="shared" si="49"/>
        <v>46204</v>
      </c>
      <c r="C91" s="75">
        <v>1627151.3900256455</v>
      </c>
      <c r="D91" s="71">
        <f>IF(F91&lt;&gt;0,VLOOKUP($J91,'Table 1'!$B$13:$C$33,2,FALSE)/12*1000*Study_MW,0)</f>
        <v>963553.92828625103</v>
      </c>
      <c r="E91" s="71">
        <f t="shared" si="50"/>
        <v>2590705.3183118966</v>
      </c>
      <c r="F91" s="75">
        <v>74400</v>
      </c>
      <c r="G91" s="76">
        <f t="shared" si="51"/>
        <v>34.821308041826569</v>
      </c>
      <c r="I91" s="77">
        <f t="shared" si="53"/>
        <v>85</v>
      </c>
      <c r="J91" s="73">
        <f t="shared" si="52"/>
        <v>2026</v>
      </c>
      <c r="K91" s="78">
        <f t="shared" si="54"/>
        <v>46204</v>
      </c>
    </row>
    <row r="92" spans="2:11" outlineLevel="1">
      <c r="B92" s="78">
        <f t="shared" si="49"/>
        <v>46235</v>
      </c>
      <c r="C92" s="75">
        <v>1634891.1213558614</v>
      </c>
      <c r="D92" s="71">
        <f>IF(F92&lt;&gt;0,VLOOKUP($J92,'Table 1'!$B$13:$C$33,2,FALSE)/12*1000*Study_MW,0)</f>
        <v>963553.92828625103</v>
      </c>
      <c r="E92" s="71">
        <f t="shared" si="50"/>
        <v>2598445.0496421126</v>
      </c>
      <c r="F92" s="75">
        <v>74400</v>
      </c>
      <c r="G92" s="76">
        <f t="shared" si="51"/>
        <v>34.925336688738071</v>
      </c>
      <c r="I92" s="77">
        <f t="shared" si="53"/>
        <v>86</v>
      </c>
      <c r="J92" s="73">
        <f t="shared" si="52"/>
        <v>2026</v>
      </c>
      <c r="K92" s="78">
        <f t="shared" si="54"/>
        <v>46235</v>
      </c>
    </row>
    <row r="93" spans="2:11" outlineLevel="1">
      <c r="B93" s="78">
        <f t="shared" si="49"/>
        <v>46266</v>
      </c>
      <c r="C93" s="75">
        <v>1297159.7966164649</v>
      </c>
      <c r="D93" s="71">
        <f>IF(F93&lt;&gt;0,VLOOKUP($J93,'Table 1'!$B$13:$C$33,2,FALSE)/12*1000*Study_MW,0)</f>
        <v>963553.92828625103</v>
      </c>
      <c r="E93" s="71">
        <f t="shared" si="50"/>
        <v>2260713.724902716</v>
      </c>
      <c r="F93" s="75">
        <v>72000</v>
      </c>
      <c r="G93" s="76">
        <f t="shared" si="51"/>
        <v>31.398801734759946</v>
      </c>
      <c r="I93" s="77">
        <f t="shared" si="53"/>
        <v>87</v>
      </c>
      <c r="J93" s="73">
        <f t="shared" si="52"/>
        <v>2026</v>
      </c>
      <c r="K93" s="78">
        <f t="shared" si="54"/>
        <v>46266</v>
      </c>
    </row>
    <row r="94" spans="2:11" outlineLevel="1">
      <c r="B94" s="78">
        <f t="shared" si="49"/>
        <v>46296</v>
      </c>
      <c r="C94" s="75">
        <v>1143034.1496858746</v>
      </c>
      <c r="D94" s="71">
        <f>IF(F94&lt;&gt;0,VLOOKUP($J94,'Table 1'!$B$13:$C$33,2,FALSE)/12*1000*Study_MW,0)</f>
        <v>963553.92828625103</v>
      </c>
      <c r="E94" s="71">
        <f t="shared" si="50"/>
        <v>2106588.0779721257</v>
      </c>
      <c r="F94" s="75">
        <v>74400</v>
      </c>
      <c r="G94" s="76">
        <f t="shared" si="51"/>
        <v>28.314355886722119</v>
      </c>
      <c r="I94" s="77">
        <f t="shared" si="53"/>
        <v>88</v>
      </c>
      <c r="J94" s="73">
        <f t="shared" si="52"/>
        <v>2026</v>
      </c>
      <c r="K94" s="78">
        <f t="shared" si="54"/>
        <v>46296</v>
      </c>
    </row>
    <row r="95" spans="2:11" outlineLevel="1">
      <c r="B95" s="78">
        <f t="shared" si="49"/>
        <v>46327</v>
      </c>
      <c r="C95" s="75">
        <v>1179437.3828718811</v>
      </c>
      <c r="D95" s="71">
        <f>IF(F95&lt;&gt;0,VLOOKUP($J95,'Table 1'!$B$13:$C$33,2,FALSE)/12*1000*Study_MW,0)</f>
        <v>963553.92828625103</v>
      </c>
      <c r="E95" s="71">
        <f t="shared" si="50"/>
        <v>2142991.3111581323</v>
      </c>
      <c r="F95" s="75">
        <v>72000</v>
      </c>
      <c r="G95" s="76">
        <f t="shared" si="51"/>
        <v>29.763768210529616</v>
      </c>
      <c r="I95" s="77">
        <f t="shared" si="53"/>
        <v>89</v>
      </c>
      <c r="J95" s="73">
        <f t="shared" si="52"/>
        <v>2026</v>
      </c>
      <c r="K95" s="78">
        <f t="shared" si="54"/>
        <v>46327</v>
      </c>
    </row>
    <row r="96" spans="2:11" outlineLevel="1">
      <c r="B96" s="82">
        <f t="shared" si="49"/>
        <v>46357</v>
      </c>
      <c r="C96" s="79">
        <v>1413557.1173973382</v>
      </c>
      <c r="D96" s="80">
        <f>IF(F96&lt;&gt;0,VLOOKUP($J96,'Table 1'!$B$13:$C$33,2,FALSE)/12*1000*Study_MW,0)</f>
        <v>963553.92828625103</v>
      </c>
      <c r="E96" s="80">
        <f t="shared" si="50"/>
        <v>2377111.0456835893</v>
      </c>
      <c r="F96" s="79">
        <v>74400</v>
      </c>
      <c r="G96" s="81">
        <f t="shared" si="51"/>
        <v>31.950417280693404</v>
      </c>
      <c r="I96" s="64">
        <f t="shared" si="53"/>
        <v>90</v>
      </c>
      <c r="J96" s="73">
        <f t="shared" si="52"/>
        <v>2026</v>
      </c>
      <c r="K96" s="82">
        <f t="shared" si="54"/>
        <v>46357</v>
      </c>
    </row>
    <row r="97" spans="2:11" outlineLevel="1">
      <c r="B97" s="74">
        <f t="shared" si="49"/>
        <v>46388</v>
      </c>
      <c r="C97" s="69">
        <v>1424302.3090386093</v>
      </c>
      <c r="D97" s="70">
        <f>IF(F97&lt;&gt;0,VLOOKUP($J97,'Table 1'!$B$13:$C$33,2,FALSE)/12*1000*Study_MW,0)</f>
        <v>985703.15264910553</v>
      </c>
      <c r="E97" s="70">
        <f t="shared" si="50"/>
        <v>2410005.4616877148</v>
      </c>
      <c r="F97" s="69">
        <v>74400</v>
      </c>
      <c r="G97" s="72">
        <f t="shared" si="51"/>
        <v>32.392546528060684</v>
      </c>
      <c r="I97" s="60">
        <f>I85+13</f>
        <v>92</v>
      </c>
      <c r="J97" s="73">
        <f t="shared" si="52"/>
        <v>2027</v>
      </c>
      <c r="K97" s="74">
        <f t="shared" si="54"/>
        <v>46388</v>
      </c>
    </row>
    <row r="98" spans="2:11" outlineLevel="1">
      <c r="B98" s="78">
        <f t="shared" si="49"/>
        <v>46419</v>
      </c>
      <c r="C98" s="75">
        <v>1043554.284910962</v>
      </c>
      <c r="D98" s="71">
        <f>IF(F98&lt;&gt;0,VLOOKUP($J98,'Table 1'!$B$13:$C$33,2,FALSE)/12*1000*Study_MW,0)</f>
        <v>985703.15264910553</v>
      </c>
      <c r="E98" s="71">
        <f t="shared" si="50"/>
        <v>2029257.4375600675</v>
      </c>
      <c r="F98" s="75">
        <v>67200</v>
      </c>
      <c r="G98" s="76">
        <f t="shared" si="51"/>
        <v>30.197283297024814</v>
      </c>
      <c r="I98" s="77">
        <f t="shared" ref="I98:I120" si="55">I86+13</f>
        <v>93</v>
      </c>
      <c r="J98" s="73">
        <f t="shared" si="52"/>
        <v>2027</v>
      </c>
      <c r="K98" s="78">
        <f t="shared" si="54"/>
        <v>46419</v>
      </c>
    </row>
    <row r="99" spans="2:11" outlineLevel="1">
      <c r="B99" s="78">
        <f t="shared" si="49"/>
        <v>46447</v>
      </c>
      <c r="C99" s="75">
        <v>799526.84493774176</v>
      </c>
      <c r="D99" s="71">
        <f>IF(F99&lt;&gt;0,VLOOKUP($J99,'Table 1'!$B$13:$C$33,2,FALSE)/12*1000*Study_MW,0)</f>
        <v>985703.15264910553</v>
      </c>
      <c r="E99" s="71">
        <f t="shared" si="50"/>
        <v>1785229.9975868473</v>
      </c>
      <c r="F99" s="75">
        <v>74400</v>
      </c>
      <c r="G99" s="76">
        <f t="shared" si="51"/>
        <v>23.995026849285583</v>
      </c>
      <c r="I99" s="77">
        <f t="shared" si="55"/>
        <v>94</v>
      </c>
      <c r="J99" s="73">
        <f t="shared" si="52"/>
        <v>2027</v>
      </c>
      <c r="K99" s="78">
        <f t="shared" si="54"/>
        <v>46447</v>
      </c>
    </row>
    <row r="100" spans="2:11" outlineLevel="1">
      <c r="B100" s="78">
        <f t="shared" si="49"/>
        <v>46478</v>
      </c>
      <c r="C100" s="75">
        <v>1042444.5577071011</v>
      </c>
      <c r="D100" s="71">
        <f>IF(F100&lt;&gt;0,VLOOKUP($J100,'Table 1'!$B$13:$C$33,2,FALSE)/12*1000*Study_MW,0)</f>
        <v>985703.15264910553</v>
      </c>
      <c r="E100" s="71">
        <f t="shared" si="50"/>
        <v>2028147.7103562066</v>
      </c>
      <c r="F100" s="75">
        <v>72000</v>
      </c>
      <c r="G100" s="76">
        <f t="shared" si="51"/>
        <v>28.168718199391758</v>
      </c>
      <c r="I100" s="77">
        <f t="shared" si="55"/>
        <v>95</v>
      </c>
      <c r="J100" s="73">
        <f t="shared" si="52"/>
        <v>2027</v>
      </c>
      <c r="K100" s="78">
        <f t="shared" si="54"/>
        <v>46478</v>
      </c>
    </row>
    <row r="101" spans="2:11" outlineLevel="1">
      <c r="B101" s="78">
        <f t="shared" si="49"/>
        <v>46508</v>
      </c>
      <c r="C101" s="75">
        <v>1233437.4818855077</v>
      </c>
      <c r="D101" s="71">
        <f>IF(F101&lt;&gt;0,VLOOKUP($J101,'Table 1'!$B$13:$C$33,2,FALSE)/12*1000*Study_MW,0)</f>
        <v>985703.15264910553</v>
      </c>
      <c r="E101" s="71">
        <f t="shared" si="50"/>
        <v>2219140.6345346132</v>
      </c>
      <c r="F101" s="75">
        <v>74400</v>
      </c>
      <c r="G101" s="76">
        <f t="shared" si="51"/>
        <v>29.827159066325446</v>
      </c>
      <c r="I101" s="77">
        <f t="shared" si="55"/>
        <v>96</v>
      </c>
      <c r="J101" s="73">
        <f t="shared" si="52"/>
        <v>2027</v>
      </c>
      <c r="K101" s="78">
        <f t="shared" si="54"/>
        <v>46508</v>
      </c>
    </row>
    <row r="102" spans="2:11" outlineLevel="1">
      <c r="B102" s="78">
        <f t="shared" si="49"/>
        <v>46539</v>
      </c>
      <c r="C102" s="75">
        <v>1489040.7673217207</v>
      </c>
      <c r="D102" s="71">
        <f>IF(F102&lt;&gt;0,VLOOKUP($J102,'Table 1'!$B$13:$C$33,2,FALSE)/12*1000*Study_MW,0)</f>
        <v>985703.15264910553</v>
      </c>
      <c r="E102" s="71">
        <f t="shared" si="50"/>
        <v>2474743.9199708262</v>
      </c>
      <c r="F102" s="75">
        <v>72000</v>
      </c>
      <c r="G102" s="76">
        <f t="shared" si="51"/>
        <v>34.371443332928145</v>
      </c>
      <c r="I102" s="77">
        <f t="shared" si="55"/>
        <v>97</v>
      </c>
      <c r="J102" s="73">
        <f t="shared" si="52"/>
        <v>2027</v>
      </c>
      <c r="K102" s="78">
        <f t="shared" si="54"/>
        <v>46539</v>
      </c>
    </row>
    <row r="103" spans="2:11" outlineLevel="1">
      <c r="B103" s="78">
        <f t="shared" si="49"/>
        <v>46569</v>
      </c>
      <c r="C103" s="75">
        <v>1793815.1833741963</v>
      </c>
      <c r="D103" s="71">
        <f>IF(F103&lt;&gt;0,VLOOKUP($J103,'Table 1'!$B$13:$C$33,2,FALSE)/12*1000*Study_MW,0)</f>
        <v>985703.15264910553</v>
      </c>
      <c r="E103" s="71">
        <f t="shared" si="50"/>
        <v>2779518.3360233018</v>
      </c>
      <c r="F103" s="75">
        <v>74400</v>
      </c>
      <c r="G103" s="76">
        <f t="shared" si="51"/>
        <v>37.359117419668038</v>
      </c>
      <c r="I103" s="77">
        <f t="shared" si="55"/>
        <v>98</v>
      </c>
      <c r="J103" s="73">
        <f t="shared" si="52"/>
        <v>2027</v>
      </c>
      <c r="K103" s="78">
        <f t="shared" si="54"/>
        <v>46569</v>
      </c>
    </row>
    <row r="104" spans="2:11" outlineLevel="1">
      <c r="B104" s="78">
        <f t="shared" si="49"/>
        <v>46600</v>
      </c>
      <c r="C104" s="75">
        <v>1794072.0341454744</v>
      </c>
      <c r="D104" s="71">
        <f>IF(F104&lt;&gt;0,VLOOKUP($J104,'Table 1'!$B$13:$C$33,2,FALSE)/12*1000*Study_MW,0)</f>
        <v>985703.15264910553</v>
      </c>
      <c r="E104" s="71">
        <f t="shared" si="50"/>
        <v>2779775.18679458</v>
      </c>
      <c r="F104" s="75">
        <v>74400</v>
      </c>
      <c r="G104" s="76">
        <f t="shared" si="51"/>
        <v>37.362569714980914</v>
      </c>
      <c r="I104" s="77">
        <f t="shared" si="55"/>
        <v>99</v>
      </c>
      <c r="J104" s="73">
        <f t="shared" si="52"/>
        <v>2027</v>
      </c>
      <c r="K104" s="78">
        <f t="shared" si="54"/>
        <v>46600</v>
      </c>
    </row>
    <row r="105" spans="2:11" outlineLevel="1">
      <c r="B105" s="78">
        <f t="shared" si="49"/>
        <v>46631</v>
      </c>
      <c r="C105" s="75">
        <v>1406253.6593483984</v>
      </c>
      <c r="D105" s="71">
        <f>IF(F105&lt;&gt;0,VLOOKUP($J105,'Table 1'!$B$13:$C$33,2,FALSE)/12*1000*Study_MW,0)</f>
        <v>985703.15264910553</v>
      </c>
      <c r="E105" s="71">
        <f t="shared" si="50"/>
        <v>2391956.811997504</v>
      </c>
      <c r="F105" s="75">
        <v>72000</v>
      </c>
      <c r="G105" s="76">
        <f t="shared" si="51"/>
        <v>33.221622388854222</v>
      </c>
      <c r="I105" s="77">
        <f t="shared" si="55"/>
        <v>100</v>
      </c>
      <c r="J105" s="73">
        <f t="shared" si="52"/>
        <v>2027</v>
      </c>
      <c r="K105" s="78">
        <f t="shared" si="54"/>
        <v>46631</v>
      </c>
    </row>
    <row r="106" spans="2:11" outlineLevel="1">
      <c r="B106" s="78">
        <f t="shared" si="49"/>
        <v>46661</v>
      </c>
      <c r="C106" s="75">
        <v>1310818.4456499368</v>
      </c>
      <c r="D106" s="71">
        <f>IF(F106&lt;&gt;0,VLOOKUP($J106,'Table 1'!$B$13:$C$33,2,FALSE)/12*1000*Study_MW,0)</f>
        <v>985703.15264910553</v>
      </c>
      <c r="E106" s="71">
        <f t="shared" si="50"/>
        <v>2296521.5982990423</v>
      </c>
      <c r="F106" s="75">
        <v>74400</v>
      </c>
      <c r="G106" s="76">
        <f t="shared" si="51"/>
        <v>30.86722578358928</v>
      </c>
      <c r="I106" s="77">
        <f t="shared" si="55"/>
        <v>101</v>
      </c>
      <c r="J106" s="73">
        <f t="shared" si="52"/>
        <v>2027</v>
      </c>
      <c r="K106" s="78">
        <f t="shared" si="54"/>
        <v>46661</v>
      </c>
    </row>
    <row r="107" spans="2:11" outlineLevel="1">
      <c r="B107" s="78">
        <f t="shared" si="49"/>
        <v>46692</v>
      </c>
      <c r="C107" s="75">
        <v>1329585.7177020311</v>
      </c>
      <c r="D107" s="71">
        <f>IF(F107&lt;&gt;0,VLOOKUP($J107,'Table 1'!$B$13:$C$33,2,FALSE)/12*1000*Study_MW,0)</f>
        <v>985703.15264910553</v>
      </c>
      <c r="E107" s="71">
        <f t="shared" si="50"/>
        <v>2315288.8703511367</v>
      </c>
      <c r="F107" s="75">
        <v>72000</v>
      </c>
      <c r="G107" s="76">
        <f t="shared" si="51"/>
        <v>32.15678986598801</v>
      </c>
      <c r="I107" s="77">
        <f t="shared" si="55"/>
        <v>102</v>
      </c>
      <c r="J107" s="73">
        <f t="shared" si="52"/>
        <v>2027</v>
      </c>
      <c r="K107" s="78">
        <f t="shared" si="54"/>
        <v>46692</v>
      </c>
    </row>
    <row r="108" spans="2:11" outlineLevel="1">
      <c r="B108" s="82">
        <f t="shared" si="49"/>
        <v>46722</v>
      </c>
      <c r="C108" s="79">
        <v>1501629.644618243</v>
      </c>
      <c r="D108" s="80">
        <f>IF(F108&lt;&gt;0,VLOOKUP($J108,'Table 1'!$B$13:$C$33,2,FALSE)/12*1000*Study_MW,0)</f>
        <v>985703.15264910553</v>
      </c>
      <c r="E108" s="80">
        <f t="shared" si="50"/>
        <v>2487332.7972673485</v>
      </c>
      <c r="F108" s="79">
        <v>74400</v>
      </c>
      <c r="G108" s="81">
        <f t="shared" si="51"/>
        <v>33.431892436389091</v>
      </c>
      <c r="I108" s="64">
        <f t="shared" si="55"/>
        <v>103</v>
      </c>
      <c r="J108" s="73">
        <f t="shared" si="52"/>
        <v>2027</v>
      </c>
      <c r="K108" s="82">
        <f t="shared" si="54"/>
        <v>46722</v>
      </c>
    </row>
    <row r="109" spans="2:11" outlineLevel="1">
      <c r="B109" s="74">
        <f t="shared" si="49"/>
        <v>46753</v>
      </c>
      <c r="C109" s="69">
        <v>1727059.8204646558</v>
      </c>
      <c r="D109" s="70">
        <f>IF(F109&lt;&gt;0,VLOOKUP($J109,'Table 1'!$B$13:$C$33,2,FALSE)/12*1000*Study_MW,0)</f>
        <v>1008482.5487816609</v>
      </c>
      <c r="E109" s="70">
        <f t="shared" si="50"/>
        <v>2735542.3692463166</v>
      </c>
      <c r="F109" s="69">
        <v>74400</v>
      </c>
      <c r="G109" s="72">
        <f t="shared" si="51"/>
        <v>36.768042597396729</v>
      </c>
      <c r="I109" s="60">
        <f>I97+13</f>
        <v>105</v>
      </c>
      <c r="J109" s="73">
        <f t="shared" si="52"/>
        <v>2028</v>
      </c>
      <c r="K109" s="74">
        <f t="shared" si="54"/>
        <v>46753</v>
      </c>
    </row>
    <row r="110" spans="2:11" outlineLevel="1">
      <c r="B110" s="78">
        <f t="shared" si="49"/>
        <v>46784</v>
      </c>
      <c r="C110" s="75">
        <v>1290460.137164712</v>
      </c>
      <c r="D110" s="71">
        <f>IF(F110&lt;&gt;0,VLOOKUP($J110,'Table 1'!$B$13:$C$33,2,FALSE)/12*1000*Study_MW,0)</f>
        <v>1008482.5487816609</v>
      </c>
      <c r="E110" s="71">
        <f t="shared" si="50"/>
        <v>2298942.6859463728</v>
      </c>
      <c r="F110" s="75">
        <v>69600</v>
      </c>
      <c r="G110" s="76">
        <f t="shared" si="51"/>
        <v>33.030785717620297</v>
      </c>
      <c r="I110" s="77">
        <f t="shared" si="55"/>
        <v>106</v>
      </c>
      <c r="J110" s="73">
        <f t="shared" si="52"/>
        <v>2028</v>
      </c>
      <c r="K110" s="78">
        <f t="shared" si="54"/>
        <v>46784</v>
      </c>
    </row>
    <row r="111" spans="2:11" outlineLevel="1">
      <c r="B111" s="78">
        <f t="shared" si="49"/>
        <v>46813</v>
      </c>
      <c r="C111" s="75">
        <v>1181810.7287618965</v>
      </c>
      <c r="D111" s="71">
        <f>IF(F111&lt;&gt;0,VLOOKUP($J111,'Table 1'!$B$13:$C$33,2,FALSE)/12*1000*Study_MW,0)</f>
        <v>1008482.5487816609</v>
      </c>
      <c r="E111" s="71">
        <f t="shared" si="50"/>
        <v>2190293.2775435573</v>
      </c>
      <c r="F111" s="75">
        <v>74400</v>
      </c>
      <c r="G111" s="76">
        <f t="shared" si="51"/>
        <v>29.439425773434909</v>
      </c>
      <c r="I111" s="77">
        <f t="shared" si="55"/>
        <v>107</v>
      </c>
      <c r="J111" s="73">
        <f t="shared" si="52"/>
        <v>2028</v>
      </c>
      <c r="K111" s="78">
        <f t="shared" si="54"/>
        <v>46813</v>
      </c>
    </row>
    <row r="112" spans="2:11" outlineLevel="1">
      <c r="B112" s="78">
        <f t="shared" si="49"/>
        <v>46844</v>
      </c>
      <c r="C112" s="75">
        <v>1024329.3034390062</v>
      </c>
      <c r="D112" s="71">
        <f>IF(F112&lt;&gt;0,VLOOKUP($J112,'Table 1'!$B$13:$C$33,2,FALSE)/12*1000*Study_MW,0)</f>
        <v>1008482.5487816609</v>
      </c>
      <c r="E112" s="71">
        <f t="shared" si="50"/>
        <v>2032811.8522206671</v>
      </c>
      <c r="F112" s="75">
        <v>72000</v>
      </c>
      <c r="G112" s="76">
        <f t="shared" si="51"/>
        <v>28.233497947509264</v>
      </c>
      <c r="I112" s="77">
        <f t="shared" si="55"/>
        <v>108</v>
      </c>
      <c r="J112" s="73">
        <f t="shared" si="52"/>
        <v>2028</v>
      </c>
      <c r="K112" s="78">
        <f t="shared" si="54"/>
        <v>46844</v>
      </c>
    </row>
    <row r="113" spans="2:11" outlineLevel="1">
      <c r="B113" s="78">
        <f t="shared" si="49"/>
        <v>46874</v>
      </c>
      <c r="C113" s="75">
        <v>1417874.7391535938</v>
      </c>
      <c r="D113" s="71">
        <f>IF(F113&lt;&gt;0,VLOOKUP($J113,'Table 1'!$B$13:$C$33,2,FALSE)/12*1000*Study_MW,0)</f>
        <v>1008482.5487816609</v>
      </c>
      <c r="E113" s="71">
        <f t="shared" si="50"/>
        <v>2426357.2879352546</v>
      </c>
      <c r="F113" s="75">
        <v>74400</v>
      </c>
      <c r="G113" s="76">
        <f t="shared" si="51"/>
        <v>32.61232913891471</v>
      </c>
      <c r="I113" s="77">
        <f t="shared" si="55"/>
        <v>109</v>
      </c>
      <c r="J113" s="73">
        <f t="shared" si="52"/>
        <v>2028</v>
      </c>
      <c r="K113" s="78">
        <f t="shared" si="54"/>
        <v>46874</v>
      </c>
    </row>
    <row r="114" spans="2:11" outlineLevel="1">
      <c r="B114" s="78">
        <f t="shared" si="49"/>
        <v>46905</v>
      </c>
      <c r="C114" s="75">
        <v>1671931.1960225105</v>
      </c>
      <c r="D114" s="71">
        <f>IF(F114&lt;&gt;0,VLOOKUP($J114,'Table 1'!$B$13:$C$33,2,FALSE)/12*1000*Study_MW,0)</f>
        <v>1008482.5487816609</v>
      </c>
      <c r="E114" s="71">
        <f t="shared" si="50"/>
        <v>2680413.7448041714</v>
      </c>
      <c r="F114" s="75">
        <v>72000</v>
      </c>
      <c r="G114" s="76">
        <f t="shared" si="51"/>
        <v>37.227968677835712</v>
      </c>
      <c r="I114" s="77">
        <f t="shared" si="55"/>
        <v>110</v>
      </c>
      <c r="J114" s="73">
        <f t="shared" si="52"/>
        <v>2028</v>
      </c>
      <c r="K114" s="78">
        <f t="shared" si="54"/>
        <v>46905</v>
      </c>
    </row>
    <row r="115" spans="2:11" outlineLevel="1">
      <c r="B115" s="78">
        <f t="shared" si="49"/>
        <v>46935</v>
      </c>
      <c r="C115" s="75">
        <v>2089399.1716951132</v>
      </c>
      <c r="D115" s="71">
        <f>IF(F115&lt;&gt;0,VLOOKUP($J115,'Table 1'!$B$13:$C$33,2,FALSE)/12*1000*Study_MW,0)</f>
        <v>1008482.5487816609</v>
      </c>
      <c r="E115" s="71">
        <f t="shared" si="50"/>
        <v>3097881.720476774</v>
      </c>
      <c r="F115" s="75">
        <v>74400</v>
      </c>
      <c r="G115" s="76">
        <f t="shared" si="51"/>
        <v>41.638195167698576</v>
      </c>
      <c r="I115" s="77">
        <f t="shared" si="55"/>
        <v>111</v>
      </c>
      <c r="J115" s="73">
        <f t="shared" si="52"/>
        <v>2028</v>
      </c>
      <c r="K115" s="78">
        <f t="shared" si="54"/>
        <v>46935</v>
      </c>
    </row>
    <row r="116" spans="2:11" outlineLevel="1">
      <c r="B116" s="78">
        <f t="shared" si="49"/>
        <v>46966</v>
      </c>
      <c r="C116" s="75">
        <v>2116449.6259027421</v>
      </c>
      <c r="D116" s="71">
        <f>IF(F116&lt;&gt;0,VLOOKUP($J116,'Table 1'!$B$13:$C$33,2,FALSE)/12*1000*Study_MW,0)</f>
        <v>1008482.5487816609</v>
      </c>
      <c r="E116" s="71">
        <f t="shared" si="50"/>
        <v>3124932.174684403</v>
      </c>
      <c r="F116" s="75">
        <v>74400</v>
      </c>
      <c r="G116" s="76">
        <f t="shared" si="51"/>
        <v>42.001776541457026</v>
      </c>
      <c r="I116" s="77">
        <f t="shared" si="55"/>
        <v>112</v>
      </c>
      <c r="J116" s="73">
        <f t="shared" si="52"/>
        <v>2028</v>
      </c>
      <c r="K116" s="78">
        <f t="shared" si="54"/>
        <v>46966</v>
      </c>
    </row>
    <row r="117" spans="2:11" outlineLevel="1">
      <c r="B117" s="78">
        <f t="shared" si="49"/>
        <v>46997</v>
      </c>
      <c r="C117" s="75">
        <v>1699839.4894847125</v>
      </c>
      <c r="D117" s="71">
        <f>IF(F117&lt;&gt;0,VLOOKUP($J117,'Table 1'!$B$13:$C$33,2,FALSE)/12*1000*Study_MW,0)</f>
        <v>1008482.5487816609</v>
      </c>
      <c r="E117" s="71">
        <f t="shared" si="50"/>
        <v>2708322.0382663733</v>
      </c>
      <c r="F117" s="75">
        <v>72000</v>
      </c>
      <c r="G117" s="76">
        <f t="shared" si="51"/>
        <v>37.615583864810738</v>
      </c>
      <c r="I117" s="77">
        <f t="shared" si="55"/>
        <v>113</v>
      </c>
      <c r="J117" s="73">
        <f t="shared" si="52"/>
        <v>2028</v>
      </c>
      <c r="K117" s="78">
        <f t="shared" si="54"/>
        <v>46997</v>
      </c>
    </row>
    <row r="118" spans="2:11" outlineLevel="1">
      <c r="B118" s="78">
        <f t="shared" si="49"/>
        <v>47027</v>
      </c>
      <c r="C118" s="75">
        <v>1627145.0424031317</v>
      </c>
      <c r="D118" s="71">
        <f>IF(F118&lt;&gt;0,VLOOKUP($J118,'Table 1'!$B$13:$C$33,2,FALSE)/12*1000*Study_MW,0)</f>
        <v>1008482.5487816609</v>
      </c>
      <c r="E118" s="71">
        <f t="shared" si="50"/>
        <v>2635627.5911847926</v>
      </c>
      <c r="F118" s="75">
        <v>74400</v>
      </c>
      <c r="G118" s="76">
        <f t="shared" si="51"/>
        <v>35.425102032053665</v>
      </c>
      <c r="I118" s="77">
        <f t="shared" si="55"/>
        <v>114</v>
      </c>
      <c r="J118" s="73">
        <f t="shared" si="52"/>
        <v>2028</v>
      </c>
      <c r="K118" s="78">
        <f t="shared" si="54"/>
        <v>47027</v>
      </c>
    </row>
    <row r="119" spans="2:11" outlineLevel="1">
      <c r="B119" s="78">
        <f t="shared" si="49"/>
        <v>47058</v>
      </c>
      <c r="C119" s="75">
        <v>1555795.4185651541</v>
      </c>
      <c r="D119" s="71">
        <f>IF(F119&lt;&gt;0,VLOOKUP($J119,'Table 1'!$B$13:$C$33,2,FALSE)/12*1000*Study_MW,0)</f>
        <v>1008482.5487816609</v>
      </c>
      <c r="E119" s="71">
        <f t="shared" si="50"/>
        <v>2564277.9673468149</v>
      </c>
      <c r="F119" s="75">
        <v>72000</v>
      </c>
      <c r="G119" s="76">
        <f t="shared" si="51"/>
        <v>35.614971768705765</v>
      </c>
      <c r="I119" s="77">
        <f t="shared" si="55"/>
        <v>115</v>
      </c>
      <c r="J119" s="73">
        <f t="shared" si="52"/>
        <v>2028</v>
      </c>
      <c r="K119" s="78">
        <f t="shared" si="54"/>
        <v>47058</v>
      </c>
    </row>
    <row r="120" spans="2:11" outlineLevel="1">
      <c r="B120" s="82">
        <f t="shared" si="49"/>
        <v>47088</v>
      </c>
      <c r="C120" s="79">
        <v>1792889.1569392085</v>
      </c>
      <c r="D120" s="80">
        <f>IF(F120&lt;&gt;0,VLOOKUP($J120,'Table 1'!$B$13:$C$33,2,FALSE)/12*1000*Study_MW,0)</f>
        <v>1008482.5487816609</v>
      </c>
      <c r="E120" s="80">
        <f t="shared" si="50"/>
        <v>2801371.7057208694</v>
      </c>
      <c r="F120" s="79">
        <v>74400</v>
      </c>
      <c r="G120" s="81">
        <f t="shared" si="51"/>
        <v>37.652845507000933</v>
      </c>
      <c r="I120" s="64">
        <f t="shared" si="55"/>
        <v>116</v>
      </c>
      <c r="J120" s="73">
        <f t="shared" si="52"/>
        <v>2028</v>
      </c>
      <c r="K120" s="82">
        <f t="shared" si="54"/>
        <v>47088</v>
      </c>
    </row>
    <row r="121" spans="2:11" outlineLevel="1">
      <c r="B121" s="74">
        <f t="shared" si="49"/>
        <v>47119</v>
      </c>
      <c r="C121" s="69">
        <v>1682249.8407801837</v>
      </c>
      <c r="D121" s="70">
        <f>IF(F121&lt;&gt;0,VLOOKUP($J121,'Table 1'!$B$13:$C$33,2,FALSE)/12*1000*Study_MW,0)</f>
        <v>1031691.7448412459</v>
      </c>
      <c r="E121" s="70">
        <f t="shared" si="50"/>
        <v>2713941.5856214296</v>
      </c>
      <c r="F121" s="69">
        <v>74400</v>
      </c>
      <c r="G121" s="72">
        <f t="shared" si="51"/>
        <v>36.477709484159</v>
      </c>
      <c r="I121" s="60">
        <f>I109+13</f>
        <v>118</v>
      </c>
      <c r="J121" s="73">
        <f t="shared" si="52"/>
        <v>2029</v>
      </c>
      <c r="K121" s="74">
        <f t="shared" si="54"/>
        <v>47119</v>
      </c>
    </row>
    <row r="122" spans="2:11" outlineLevel="1">
      <c r="B122" s="78">
        <f t="shared" si="49"/>
        <v>47150</v>
      </c>
      <c r="C122" s="75">
        <v>1307259.0662152469</v>
      </c>
      <c r="D122" s="71">
        <f>IF(F122&lt;&gt;0,VLOOKUP($J122,'Table 1'!$B$13:$C$33,2,FALSE)/12*1000*Study_MW,0)</f>
        <v>1031691.7448412459</v>
      </c>
      <c r="E122" s="71">
        <f t="shared" si="50"/>
        <v>2338950.8110564929</v>
      </c>
      <c r="F122" s="75">
        <v>67200</v>
      </c>
      <c r="G122" s="76">
        <f t="shared" si="51"/>
        <v>34.805815640721619</v>
      </c>
      <c r="I122" s="77">
        <f t="shared" ref="I122:I132" si="56">I110+13</f>
        <v>119</v>
      </c>
      <c r="J122" s="73">
        <f t="shared" si="52"/>
        <v>2029</v>
      </c>
      <c r="K122" s="78">
        <f t="shared" si="54"/>
        <v>47150</v>
      </c>
    </row>
    <row r="123" spans="2:11" outlineLevel="1">
      <c r="B123" s="78">
        <f t="shared" si="49"/>
        <v>47178</v>
      </c>
      <c r="C123" s="75">
        <v>1204666.3346599936</v>
      </c>
      <c r="D123" s="71">
        <f>IF(F123&lt;&gt;0,VLOOKUP($J123,'Table 1'!$B$13:$C$33,2,FALSE)/12*1000*Study_MW,0)</f>
        <v>1031691.7448412459</v>
      </c>
      <c r="E123" s="71">
        <f t="shared" si="50"/>
        <v>2236358.0795012396</v>
      </c>
      <c r="F123" s="75">
        <v>74400</v>
      </c>
      <c r="G123" s="76">
        <f t="shared" si="51"/>
        <v>30.058576337382252</v>
      </c>
      <c r="I123" s="77">
        <f t="shared" si="56"/>
        <v>120</v>
      </c>
      <c r="J123" s="73">
        <f t="shared" si="52"/>
        <v>2029</v>
      </c>
      <c r="K123" s="78">
        <f t="shared" si="54"/>
        <v>47178</v>
      </c>
    </row>
    <row r="124" spans="2:11" outlineLevel="1">
      <c r="B124" s="78">
        <f t="shared" si="49"/>
        <v>47209</v>
      </c>
      <c r="C124" s="75">
        <v>1231950.4757582098</v>
      </c>
      <c r="D124" s="71">
        <f>IF(F124&lt;&gt;0,VLOOKUP($J124,'Table 1'!$B$13:$C$33,2,FALSE)/12*1000*Study_MW,0)</f>
        <v>1031691.7448412459</v>
      </c>
      <c r="E124" s="71">
        <f t="shared" si="50"/>
        <v>2263642.2205994558</v>
      </c>
      <c r="F124" s="75">
        <v>72000</v>
      </c>
      <c r="G124" s="76">
        <f t="shared" si="51"/>
        <v>31.439475286103551</v>
      </c>
      <c r="I124" s="77">
        <f t="shared" si="56"/>
        <v>121</v>
      </c>
      <c r="J124" s="73">
        <f t="shared" si="52"/>
        <v>2029</v>
      </c>
      <c r="K124" s="78">
        <f t="shared" si="54"/>
        <v>47209</v>
      </c>
    </row>
    <row r="125" spans="2:11" outlineLevel="1">
      <c r="B125" s="78">
        <f t="shared" si="49"/>
        <v>47239</v>
      </c>
      <c r="C125" s="75">
        <v>1288386.4353576899</v>
      </c>
      <c r="D125" s="71">
        <f>IF(F125&lt;&gt;0,VLOOKUP($J125,'Table 1'!$B$13:$C$33,2,FALSE)/12*1000*Study_MW,0)</f>
        <v>1031691.7448412459</v>
      </c>
      <c r="E125" s="71">
        <f t="shared" si="50"/>
        <v>2320078.1801989358</v>
      </c>
      <c r="F125" s="75">
        <v>74400</v>
      </c>
      <c r="G125" s="76">
        <f t="shared" si="51"/>
        <v>31.183846508050213</v>
      </c>
      <c r="I125" s="77">
        <f t="shared" si="56"/>
        <v>122</v>
      </c>
      <c r="J125" s="73">
        <f t="shared" si="52"/>
        <v>2029</v>
      </c>
      <c r="K125" s="78">
        <f t="shared" si="54"/>
        <v>47239</v>
      </c>
    </row>
    <row r="126" spans="2:11" outlineLevel="1">
      <c r="B126" s="78">
        <f t="shared" si="49"/>
        <v>47270</v>
      </c>
      <c r="C126" s="75">
        <v>1595204.660986945</v>
      </c>
      <c r="D126" s="71">
        <f>IF(F126&lt;&gt;0,VLOOKUP($J126,'Table 1'!$B$13:$C$33,2,FALSE)/12*1000*Study_MW,0)</f>
        <v>1031691.7448412459</v>
      </c>
      <c r="E126" s="71">
        <f t="shared" si="50"/>
        <v>2626896.405828191</v>
      </c>
      <c r="F126" s="75">
        <v>72000</v>
      </c>
      <c r="G126" s="76">
        <f t="shared" si="51"/>
        <v>36.484672303169319</v>
      </c>
      <c r="I126" s="77">
        <f t="shared" si="56"/>
        <v>123</v>
      </c>
      <c r="J126" s="73">
        <f t="shared" si="52"/>
        <v>2029</v>
      </c>
      <c r="K126" s="78">
        <f t="shared" si="54"/>
        <v>47270</v>
      </c>
    </row>
    <row r="127" spans="2:11" outlineLevel="1">
      <c r="B127" s="78">
        <f t="shared" si="49"/>
        <v>47300</v>
      </c>
      <c r="C127" s="75">
        <v>2229324.960257262</v>
      </c>
      <c r="D127" s="71">
        <f>IF(F127&lt;&gt;0,VLOOKUP($J127,'Table 1'!$B$13:$C$33,2,FALSE)/12*1000*Study_MW,0)</f>
        <v>1031691.7448412459</v>
      </c>
      <c r="E127" s="71">
        <f t="shared" si="50"/>
        <v>3261016.7050985079</v>
      </c>
      <c r="F127" s="75">
        <v>74400</v>
      </c>
      <c r="G127" s="76">
        <f t="shared" si="51"/>
        <v>43.830869692184244</v>
      </c>
      <c r="I127" s="77">
        <f t="shared" si="56"/>
        <v>124</v>
      </c>
      <c r="J127" s="73">
        <f t="shared" si="52"/>
        <v>2029</v>
      </c>
      <c r="K127" s="78">
        <f t="shared" si="54"/>
        <v>47300</v>
      </c>
    </row>
    <row r="128" spans="2:11" outlineLevel="1">
      <c r="B128" s="78">
        <f t="shared" si="49"/>
        <v>47331</v>
      </c>
      <c r="C128" s="75">
        <v>2285728.4436704814</v>
      </c>
      <c r="D128" s="71">
        <f>IF(F128&lt;&gt;0,VLOOKUP($J128,'Table 1'!$B$13:$C$33,2,FALSE)/12*1000*Study_MW,0)</f>
        <v>1031691.7448412459</v>
      </c>
      <c r="E128" s="71">
        <f t="shared" si="50"/>
        <v>3317420.1885117274</v>
      </c>
      <c r="F128" s="75">
        <v>74400</v>
      </c>
      <c r="G128" s="76">
        <f t="shared" si="51"/>
        <v>44.588981028383429</v>
      </c>
      <c r="I128" s="77">
        <f t="shared" si="56"/>
        <v>125</v>
      </c>
      <c r="J128" s="73">
        <f t="shared" si="52"/>
        <v>2029</v>
      </c>
      <c r="K128" s="78">
        <f t="shared" si="54"/>
        <v>47331</v>
      </c>
    </row>
    <row r="129" spans="2:11" outlineLevel="1">
      <c r="B129" s="78">
        <f t="shared" si="49"/>
        <v>47362</v>
      </c>
      <c r="C129" s="75">
        <v>1779004.519286871</v>
      </c>
      <c r="D129" s="71">
        <f>IF(F129&lt;&gt;0,VLOOKUP($J129,'Table 1'!$B$13:$C$33,2,FALSE)/12*1000*Study_MW,0)</f>
        <v>1031691.7448412459</v>
      </c>
      <c r="E129" s="71">
        <f t="shared" si="50"/>
        <v>2810696.2641281169</v>
      </c>
      <c r="F129" s="75">
        <v>72000</v>
      </c>
      <c r="G129" s="76">
        <f t="shared" si="51"/>
        <v>39.037448112890509</v>
      </c>
      <c r="I129" s="77">
        <f t="shared" si="56"/>
        <v>126</v>
      </c>
      <c r="J129" s="73">
        <f t="shared" si="52"/>
        <v>2029</v>
      </c>
      <c r="K129" s="78">
        <f t="shared" si="54"/>
        <v>47362</v>
      </c>
    </row>
    <row r="130" spans="2:11" outlineLevel="1">
      <c r="B130" s="78">
        <f t="shared" si="49"/>
        <v>47392</v>
      </c>
      <c r="C130" s="75">
        <v>1703431.174096778</v>
      </c>
      <c r="D130" s="71">
        <f>IF(F130&lt;&gt;0,VLOOKUP($J130,'Table 1'!$B$13:$C$33,2,FALSE)/12*1000*Study_MW,0)</f>
        <v>1031691.7448412459</v>
      </c>
      <c r="E130" s="71">
        <f t="shared" si="50"/>
        <v>2735122.918938024</v>
      </c>
      <c r="F130" s="75">
        <v>74400</v>
      </c>
      <c r="G130" s="76">
        <f t="shared" si="51"/>
        <v>36.762404824435805</v>
      </c>
      <c r="I130" s="77">
        <f t="shared" si="56"/>
        <v>127</v>
      </c>
      <c r="J130" s="73">
        <f t="shared" si="52"/>
        <v>2029</v>
      </c>
      <c r="K130" s="78">
        <f t="shared" si="54"/>
        <v>47392</v>
      </c>
    </row>
    <row r="131" spans="2:11" outlineLevel="1">
      <c r="B131" s="78">
        <f t="shared" si="49"/>
        <v>47423</v>
      </c>
      <c r="C131" s="75">
        <v>1773969.9832678735</v>
      </c>
      <c r="D131" s="71">
        <f>IF(F131&lt;&gt;0,VLOOKUP($J131,'Table 1'!$B$13:$C$33,2,FALSE)/12*1000*Study_MW,0)</f>
        <v>1031691.7448412459</v>
      </c>
      <c r="E131" s="71">
        <f t="shared" si="50"/>
        <v>2805661.7281091195</v>
      </c>
      <c r="F131" s="75">
        <v>72000</v>
      </c>
      <c r="G131" s="76">
        <f t="shared" si="51"/>
        <v>38.96752400151555</v>
      </c>
      <c r="I131" s="77">
        <f t="shared" si="56"/>
        <v>128</v>
      </c>
      <c r="J131" s="73">
        <f t="shared" si="52"/>
        <v>2029</v>
      </c>
      <c r="K131" s="78">
        <f t="shared" si="54"/>
        <v>47423</v>
      </c>
    </row>
    <row r="132" spans="2:11" outlineLevel="1">
      <c r="B132" s="82">
        <f t="shared" si="49"/>
        <v>47453</v>
      </c>
      <c r="C132" s="79">
        <v>1913159.1198643744</v>
      </c>
      <c r="D132" s="80">
        <f>IF(F132&lt;&gt;0,VLOOKUP($J132,'Table 1'!$B$13:$C$33,2,FALSE)/12*1000*Study_MW,0)</f>
        <v>1031691.7448412459</v>
      </c>
      <c r="E132" s="80">
        <f t="shared" si="50"/>
        <v>2944850.8647056203</v>
      </c>
      <c r="F132" s="79">
        <v>74400</v>
      </c>
      <c r="G132" s="81">
        <f t="shared" si="51"/>
        <v>39.581328826688448</v>
      </c>
      <c r="I132" s="64">
        <f t="shared" si="56"/>
        <v>129</v>
      </c>
      <c r="J132" s="73">
        <f t="shared" si="52"/>
        <v>2029</v>
      </c>
      <c r="K132" s="82">
        <f t="shared" si="54"/>
        <v>47453</v>
      </c>
    </row>
    <row r="133" spans="2:11" outlineLevel="1">
      <c r="B133" s="74">
        <f t="shared" si="49"/>
        <v>47484</v>
      </c>
      <c r="C133" s="69">
        <v>1624122.3821256012</v>
      </c>
      <c r="D133" s="70">
        <f>IF(F133&lt;&gt;0,VLOOKUP($J133,'Table 1'!$B$13:$C$33,2,FALSE)/12*1000*Study_MW,0)</f>
        <v>1054471.1409738013</v>
      </c>
      <c r="E133" s="70">
        <f t="shared" si="50"/>
        <v>2678593.5230994024</v>
      </c>
      <c r="F133" s="69">
        <v>74400</v>
      </c>
      <c r="G133" s="72">
        <f t="shared" si="51"/>
        <v>36.002601116927451</v>
      </c>
      <c r="I133" s="60">
        <f>I13</f>
        <v>1</v>
      </c>
      <c r="J133" s="73">
        <f t="shared" si="52"/>
        <v>2030</v>
      </c>
      <c r="K133" s="74">
        <f t="shared" si="54"/>
        <v>47484</v>
      </c>
    </row>
    <row r="134" spans="2:11" outlineLevel="1">
      <c r="B134" s="78">
        <f t="shared" si="49"/>
        <v>47515</v>
      </c>
      <c r="C134" s="75">
        <v>1351177.4209667295</v>
      </c>
      <c r="D134" s="71">
        <f>IF(F134&lt;&gt;0,VLOOKUP($J134,'Table 1'!$B$13:$C$33,2,FALSE)/12*1000*Study_MW,0)</f>
        <v>1054471.1409738013</v>
      </c>
      <c r="E134" s="71">
        <f t="shared" si="50"/>
        <v>2405648.5619405308</v>
      </c>
      <c r="F134" s="75">
        <v>67200</v>
      </c>
      <c r="G134" s="76">
        <f t="shared" si="51"/>
        <v>35.798341695543613</v>
      </c>
      <c r="I134" s="77">
        <f t="shared" ref="I134:I197" si="57">I14</f>
        <v>2</v>
      </c>
      <c r="J134" s="73">
        <f t="shared" si="52"/>
        <v>2030</v>
      </c>
      <c r="K134" s="78">
        <f t="shared" si="54"/>
        <v>47515</v>
      </c>
    </row>
    <row r="135" spans="2:11" outlineLevel="1">
      <c r="B135" s="78">
        <f t="shared" si="49"/>
        <v>47543</v>
      </c>
      <c r="C135" s="75">
        <v>1095787.5669230521</v>
      </c>
      <c r="D135" s="71">
        <f>IF(F135&lt;&gt;0,VLOOKUP($J135,'Table 1'!$B$13:$C$33,2,FALSE)/12*1000*Study_MW,0)</f>
        <v>1054471.1409738013</v>
      </c>
      <c r="E135" s="71">
        <f t="shared" si="50"/>
        <v>2150258.7078968533</v>
      </c>
      <c r="F135" s="75">
        <v>74400</v>
      </c>
      <c r="G135" s="76">
        <f t="shared" si="51"/>
        <v>28.901326719043727</v>
      </c>
      <c r="I135" s="77">
        <f t="shared" si="57"/>
        <v>3</v>
      </c>
      <c r="J135" s="73">
        <f t="shared" si="52"/>
        <v>2030</v>
      </c>
      <c r="K135" s="78">
        <f t="shared" si="54"/>
        <v>47543</v>
      </c>
    </row>
    <row r="136" spans="2:11" outlineLevel="1">
      <c r="B136" s="78">
        <f t="shared" si="49"/>
        <v>47574</v>
      </c>
      <c r="C136" s="75">
        <v>1017258.1293244064</v>
      </c>
      <c r="D136" s="71">
        <f>IF(F136&lt;&gt;0,VLOOKUP($J136,'Table 1'!$B$13:$C$33,2,FALSE)/12*1000*Study_MW,0)</f>
        <v>1054471.1409738013</v>
      </c>
      <c r="E136" s="71">
        <f t="shared" si="50"/>
        <v>2071729.2702982076</v>
      </c>
      <c r="F136" s="75">
        <v>72000</v>
      </c>
      <c r="G136" s="76">
        <f t="shared" si="51"/>
        <v>28.77401764303066</v>
      </c>
      <c r="I136" s="77">
        <f t="shared" si="57"/>
        <v>4</v>
      </c>
      <c r="J136" s="73">
        <f t="shared" si="52"/>
        <v>2030</v>
      </c>
      <c r="K136" s="78">
        <f t="shared" si="54"/>
        <v>47574</v>
      </c>
    </row>
    <row r="137" spans="2:11" outlineLevel="1">
      <c r="B137" s="78">
        <f t="shared" si="49"/>
        <v>47604</v>
      </c>
      <c r="C137" s="75">
        <v>1044157.9451514035</v>
      </c>
      <c r="D137" s="71">
        <f>IF(F137&lt;&gt;0,VLOOKUP($J137,'Table 1'!$B$13:$C$33,2,FALSE)/12*1000*Study_MW,0)</f>
        <v>1054471.1409738013</v>
      </c>
      <c r="E137" s="71">
        <f t="shared" si="50"/>
        <v>2098629.0861252048</v>
      </c>
      <c r="F137" s="75">
        <v>74400</v>
      </c>
      <c r="G137" s="76">
        <f t="shared" si="51"/>
        <v>28.207380189854902</v>
      </c>
      <c r="I137" s="77">
        <f t="shared" si="57"/>
        <v>5</v>
      </c>
      <c r="J137" s="73">
        <f t="shared" si="52"/>
        <v>2030</v>
      </c>
      <c r="K137" s="78">
        <f t="shared" si="54"/>
        <v>47604</v>
      </c>
    </row>
    <row r="138" spans="2:11" outlineLevel="1">
      <c r="B138" s="78">
        <f t="shared" si="49"/>
        <v>47635</v>
      </c>
      <c r="C138" s="75">
        <v>1494743.3113061041</v>
      </c>
      <c r="D138" s="71">
        <f>IF(F138&lt;&gt;0,VLOOKUP($J138,'Table 1'!$B$13:$C$33,2,FALSE)/12*1000*Study_MW,0)</f>
        <v>1054471.1409738013</v>
      </c>
      <c r="E138" s="71">
        <f t="shared" si="50"/>
        <v>2549214.4522799053</v>
      </c>
      <c r="F138" s="75">
        <v>72000</v>
      </c>
      <c r="G138" s="76">
        <f t="shared" si="51"/>
        <v>35.405756281665354</v>
      </c>
      <c r="I138" s="77">
        <f t="shared" si="57"/>
        <v>6</v>
      </c>
      <c r="J138" s="73">
        <f t="shared" si="52"/>
        <v>2030</v>
      </c>
      <c r="K138" s="78">
        <f t="shared" si="54"/>
        <v>47635</v>
      </c>
    </row>
    <row r="139" spans="2:11" outlineLevel="1">
      <c r="B139" s="78">
        <f t="shared" si="49"/>
        <v>47665</v>
      </c>
      <c r="C139" s="75">
        <v>2211588.2549744546</v>
      </c>
      <c r="D139" s="71">
        <f>IF(F139&lt;&gt;0,VLOOKUP($J139,'Table 1'!$B$13:$C$33,2,FALSE)/12*1000*Study_MW,0)</f>
        <v>1054471.1409738013</v>
      </c>
      <c r="E139" s="71">
        <f t="shared" si="50"/>
        <v>3266059.3959482559</v>
      </c>
      <c r="F139" s="75">
        <v>74400</v>
      </c>
      <c r="G139" s="76">
        <f t="shared" si="51"/>
        <v>43.898647795003441</v>
      </c>
      <c r="I139" s="77">
        <f t="shared" si="57"/>
        <v>7</v>
      </c>
      <c r="J139" s="73">
        <f t="shared" si="52"/>
        <v>2030</v>
      </c>
      <c r="K139" s="78">
        <f t="shared" si="54"/>
        <v>47665</v>
      </c>
    </row>
    <row r="140" spans="2:11" outlineLevel="1">
      <c r="B140" s="78">
        <f t="shared" si="49"/>
        <v>47696</v>
      </c>
      <c r="C140" s="75">
        <v>2283043.2626221478</v>
      </c>
      <c r="D140" s="71">
        <f>IF(F140&lt;&gt;0,VLOOKUP($J140,'Table 1'!$B$13:$C$33,2,FALSE)/12*1000*Study_MW,0)</f>
        <v>1054471.1409738013</v>
      </c>
      <c r="E140" s="71">
        <f t="shared" si="50"/>
        <v>3337514.4035959491</v>
      </c>
      <c r="F140" s="75">
        <v>74400</v>
      </c>
      <c r="G140" s="76">
        <f t="shared" si="51"/>
        <v>44.859064564461683</v>
      </c>
      <c r="I140" s="77">
        <f t="shared" si="57"/>
        <v>8</v>
      </c>
      <c r="J140" s="73">
        <f t="shared" si="52"/>
        <v>2030</v>
      </c>
      <c r="K140" s="78">
        <f t="shared" si="54"/>
        <v>47696</v>
      </c>
    </row>
    <row r="141" spans="2:11" outlineLevel="1">
      <c r="B141" s="78">
        <f t="shared" si="49"/>
        <v>47727</v>
      </c>
      <c r="C141" s="75">
        <v>1755933.316805765</v>
      </c>
      <c r="D141" s="71">
        <f>IF(F141&lt;&gt;0,VLOOKUP($J141,'Table 1'!$B$13:$C$33,2,FALSE)/12*1000*Study_MW,0)</f>
        <v>1054471.1409738013</v>
      </c>
      <c r="E141" s="71">
        <f t="shared" si="50"/>
        <v>2810404.4577795663</v>
      </c>
      <c r="F141" s="75">
        <v>72000</v>
      </c>
      <c r="G141" s="76">
        <f t="shared" si="51"/>
        <v>39.033395246938419</v>
      </c>
      <c r="I141" s="77">
        <f t="shared" si="57"/>
        <v>9</v>
      </c>
      <c r="J141" s="73">
        <f t="shared" si="52"/>
        <v>2030</v>
      </c>
      <c r="K141" s="78">
        <f t="shared" si="54"/>
        <v>47727</v>
      </c>
    </row>
    <row r="142" spans="2:11" outlineLevel="1">
      <c r="B142" s="78">
        <f t="shared" ref="B142:B205" si="58">EDATE(B141,1)</f>
        <v>47757</v>
      </c>
      <c r="C142" s="75">
        <v>1705297.5568372607</v>
      </c>
      <c r="D142" s="71">
        <f>IF(F142&lt;&gt;0,VLOOKUP($J142,'Table 1'!$B$13:$C$33,2,FALSE)/12*1000*Study_MW,0)</f>
        <v>1054471.1409738013</v>
      </c>
      <c r="E142" s="71">
        <f t="shared" ref="E142:E192" si="59">C142+D142</f>
        <v>2759768.697811062</v>
      </c>
      <c r="F142" s="75">
        <v>74400</v>
      </c>
      <c r="G142" s="76">
        <f t="shared" ref="G142:G192" si="60">IF(ISNUMBER($F142),E142/$F142,"")</f>
        <v>37.093665293159432</v>
      </c>
      <c r="I142" s="77">
        <f t="shared" si="57"/>
        <v>10</v>
      </c>
      <c r="J142" s="73">
        <f t="shared" ref="J142:J192" si="61">YEAR(B142)</f>
        <v>2030</v>
      </c>
      <c r="K142" s="78">
        <f t="shared" si="54"/>
        <v>47757</v>
      </c>
    </row>
    <row r="143" spans="2:11" outlineLevel="1">
      <c r="B143" s="78">
        <f t="shared" si="58"/>
        <v>47788</v>
      </c>
      <c r="C143" s="75">
        <v>1531722.8091694266</v>
      </c>
      <c r="D143" s="71">
        <f>IF(F143&lt;&gt;0,VLOOKUP($J143,'Table 1'!$B$13:$C$33,2,FALSE)/12*1000*Study_MW,0)</f>
        <v>1054471.1409738013</v>
      </c>
      <c r="E143" s="71">
        <f t="shared" si="59"/>
        <v>2586193.9501432278</v>
      </c>
      <c r="F143" s="75">
        <v>72000</v>
      </c>
      <c r="G143" s="76">
        <f t="shared" si="60"/>
        <v>35.919360418655941</v>
      </c>
      <c r="I143" s="77">
        <f t="shared" si="57"/>
        <v>11</v>
      </c>
      <c r="J143" s="73">
        <f t="shared" si="61"/>
        <v>2030</v>
      </c>
      <c r="K143" s="78">
        <f t="shared" si="54"/>
        <v>47788</v>
      </c>
    </row>
    <row r="144" spans="2:11" outlineLevel="1">
      <c r="B144" s="82">
        <f t="shared" si="58"/>
        <v>47818</v>
      </c>
      <c r="C144" s="79">
        <v>1958099.3145517558</v>
      </c>
      <c r="D144" s="80">
        <f>IF(F144&lt;&gt;0,VLOOKUP($J144,'Table 1'!$B$13:$C$33,2,FALSE)/12*1000*Study_MW,0)</f>
        <v>1054471.1409738013</v>
      </c>
      <c r="E144" s="80">
        <f t="shared" si="59"/>
        <v>3012570.455525557</v>
      </c>
      <c r="F144" s="79">
        <v>74400</v>
      </c>
      <c r="G144" s="81">
        <f t="shared" si="60"/>
        <v>40.491538380719852</v>
      </c>
      <c r="I144" s="64">
        <f t="shared" si="57"/>
        <v>12</v>
      </c>
      <c r="J144" s="73">
        <f t="shared" si="61"/>
        <v>2030</v>
      </c>
      <c r="K144" s="82">
        <f t="shared" si="54"/>
        <v>47818</v>
      </c>
    </row>
    <row r="145" spans="2:11" outlineLevel="1">
      <c r="B145" s="74">
        <f t="shared" si="58"/>
        <v>47849</v>
      </c>
      <c r="C145" s="69">
        <v>1809776.4518919736</v>
      </c>
      <c r="D145" s="70">
        <f>IF(F145&lt;&gt;0,VLOOKUP($J145,'Table 1'!$B$13:$C$33,2,FALSE)/12*1000*Study_MW,0)</f>
        <v>1077680.3370333859</v>
      </c>
      <c r="E145" s="70">
        <f t="shared" si="59"/>
        <v>2887456.7889253595</v>
      </c>
      <c r="F145" s="69">
        <v>74400</v>
      </c>
      <c r="G145" s="72">
        <f t="shared" si="60"/>
        <v>38.809903076953759</v>
      </c>
      <c r="I145" s="60">
        <f>I25</f>
        <v>14</v>
      </c>
      <c r="J145" s="73">
        <f t="shared" si="61"/>
        <v>2031</v>
      </c>
      <c r="K145" s="74">
        <f t="shared" si="54"/>
        <v>47849</v>
      </c>
    </row>
    <row r="146" spans="2:11" outlineLevel="1">
      <c r="B146" s="78">
        <f t="shared" si="58"/>
        <v>47880</v>
      </c>
      <c r="C146" s="75">
        <v>1487585.4281799346</v>
      </c>
      <c r="D146" s="71">
        <f>IF(F146&lt;&gt;0,VLOOKUP($J146,'Table 1'!$B$13:$C$33,2,FALSE)/12*1000*Study_MW,0)</f>
        <v>1077680.3370333859</v>
      </c>
      <c r="E146" s="71">
        <f t="shared" si="59"/>
        <v>2565265.7652133205</v>
      </c>
      <c r="F146" s="75">
        <v>67200</v>
      </c>
      <c r="G146" s="76">
        <f t="shared" si="60"/>
        <v>38.173597696626793</v>
      </c>
      <c r="I146" s="77">
        <f t="shared" si="57"/>
        <v>15</v>
      </c>
      <c r="J146" s="73">
        <f t="shared" si="61"/>
        <v>2031</v>
      </c>
      <c r="K146" s="78">
        <f t="shared" si="54"/>
        <v>47880</v>
      </c>
    </row>
    <row r="147" spans="2:11" outlineLevel="1">
      <c r="B147" s="78">
        <f t="shared" si="58"/>
        <v>47908</v>
      </c>
      <c r="C147" s="75">
        <v>1276414.4627467394</v>
      </c>
      <c r="D147" s="71">
        <f>IF(F147&lt;&gt;0,VLOOKUP($J147,'Table 1'!$B$13:$C$33,2,FALSE)/12*1000*Study_MW,0)</f>
        <v>1077680.3370333859</v>
      </c>
      <c r="E147" s="71">
        <f t="shared" si="59"/>
        <v>2354094.7997801253</v>
      </c>
      <c r="F147" s="75">
        <v>74400</v>
      </c>
      <c r="G147" s="76">
        <f t="shared" si="60"/>
        <v>31.641059136829639</v>
      </c>
      <c r="I147" s="77">
        <f t="shared" si="57"/>
        <v>16</v>
      </c>
      <c r="J147" s="73">
        <f t="shared" si="61"/>
        <v>2031</v>
      </c>
      <c r="K147" s="78">
        <f t="shared" si="54"/>
        <v>47908</v>
      </c>
    </row>
    <row r="148" spans="2:11" outlineLevel="1">
      <c r="B148" s="78">
        <f t="shared" si="58"/>
        <v>47939</v>
      </c>
      <c r="C148" s="75">
        <v>1192567.4081697762</v>
      </c>
      <c r="D148" s="71">
        <f>IF(F148&lt;&gt;0,VLOOKUP($J148,'Table 1'!$B$13:$C$33,2,FALSE)/12*1000*Study_MW,0)</f>
        <v>1077680.3370333859</v>
      </c>
      <c r="E148" s="71">
        <f t="shared" si="59"/>
        <v>2270247.7452031621</v>
      </c>
      <c r="F148" s="75">
        <v>72000</v>
      </c>
      <c r="G148" s="76">
        <f t="shared" si="60"/>
        <v>31.531218683377251</v>
      </c>
      <c r="I148" s="77">
        <f t="shared" si="57"/>
        <v>17</v>
      </c>
      <c r="J148" s="73">
        <f t="shared" si="61"/>
        <v>2031</v>
      </c>
      <c r="K148" s="78">
        <f t="shared" si="54"/>
        <v>47939</v>
      </c>
    </row>
    <row r="149" spans="2:11" outlineLevel="1">
      <c r="B149" s="78">
        <f t="shared" si="58"/>
        <v>47969</v>
      </c>
      <c r="C149" s="75">
        <v>1353243.3898725957</v>
      </c>
      <c r="D149" s="71">
        <f>IF(F149&lt;&gt;0,VLOOKUP($J149,'Table 1'!$B$13:$C$33,2,FALSE)/12*1000*Study_MW,0)</f>
        <v>1077680.3370333859</v>
      </c>
      <c r="E149" s="71">
        <f t="shared" si="59"/>
        <v>2430923.7269059815</v>
      </c>
      <c r="F149" s="75">
        <v>74400</v>
      </c>
      <c r="G149" s="76">
        <f t="shared" si="60"/>
        <v>32.673706006800828</v>
      </c>
      <c r="I149" s="77">
        <f t="shared" si="57"/>
        <v>18</v>
      </c>
      <c r="J149" s="73">
        <f t="shared" si="61"/>
        <v>2031</v>
      </c>
      <c r="K149" s="78">
        <f t="shared" si="54"/>
        <v>47969</v>
      </c>
    </row>
    <row r="150" spans="2:11" outlineLevel="1">
      <c r="B150" s="78">
        <f t="shared" si="58"/>
        <v>48000</v>
      </c>
      <c r="C150" s="75">
        <v>1665257.3342874348</v>
      </c>
      <c r="D150" s="71">
        <f>IF(F150&lt;&gt;0,VLOOKUP($J150,'Table 1'!$B$13:$C$33,2,FALSE)/12*1000*Study_MW,0)</f>
        <v>1077680.3370333859</v>
      </c>
      <c r="E150" s="71">
        <f t="shared" si="59"/>
        <v>2742937.6713208207</v>
      </c>
      <c r="F150" s="75">
        <v>72000</v>
      </c>
      <c r="G150" s="76">
        <f t="shared" si="60"/>
        <v>38.096356546122507</v>
      </c>
      <c r="I150" s="77">
        <f t="shared" si="57"/>
        <v>19</v>
      </c>
      <c r="J150" s="73">
        <f t="shared" si="61"/>
        <v>2031</v>
      </c>
      <c r="K150" s="78">
        <f t="shared" si="54"/>
        <v>48000</v>
      </c>
    </row>
    <row r="151" spans="2:11" outlineLevel="1">
      <c r="B151" s="78">
        <f t="shared" si="58"/>
        <v>48030</v>
      </c>
      <c r="C151" s="75">
        <v>2352783.8917617202</v>
      </c>
      <c r="D151" s="71">
        <f>IF(F151&lt;&gt;0,VLOOKUP($J151,'Table 1'!$B$13:$C$33,2,FALSE)/12*1000*Study_MW,0)</f>
        <v>1077680.3370333859</v>
      </c>
      <c r="E151" s="71">
        <f t="shared" si="59"/>
        <v>3430464.2287951061</v>
      </c>
      <c r="F151" s="75">
        <v>74400</v>
      </c>
      <c r="G151" s="76">
        <f t="shared" si="60"/>
        <v>46.108390171977234</v>
      </c>
      <c r="I151" s="77">
        <f t="shared" si="57"/>
        <v>20</v>
      </c>
      <c r="J151" s="73">
        <f t="shared" si="61"/>
        <v>2031</v>
      </c>
      <c r="K151" s="78">
        <f t="shared" si="54"/>
        <v>48030</v>
      </c>
    </row>
    <row r="152" spans="2:11" outlineLevel="1">
      <c r="B152" s="78">
        <f t="shared" si="58"/>
        <v>48061</v>
      </c>
      <c r="C152" s="75">
        <v>2406281.3420729637</v>
      </c>
      <c r="D152" s="71">
        <f>IF(F152&lt;&gt;0,VLOOKUP($J152,'Table 1'!$B$13:$C$33,2,FALSE)/12*1000*Study_MW,0)</f>
        <v>1077680.3370333859</v>
      </c>
      <c r="E152" s="71">
        <f t="shared" si="59"/>
        <v>3483961.6791063496</v>
      </c>
      <c r="F152" s="75">
        <v>74400</v>
      </c>
      <c r="G152" s="76">
        <f t="shared" si="60"/>
        <v>46.827441923472442</v>
      </c>
      <c r="I152" s="77">
        <f t="shared" si="57"/>
        <v>21</v>
      </c>
      <c r="J152" s="73">
        <f t="shared" si="61"/>
        <v>2031</v>
      </c>
      <c r="K152" s="78">
        <f t="shared" si="54"/>
        <v>48061</v>
      </c>
    </row>
    <row r="153" spans="2:11" outlineLevel="1">
      <c r="B153" s="78">
        <f t="shared" si="58"/>
        <v>48092</v>
      </c>
      <c r="C153" s="75">
        <v>1911488.6753376573</v>
      </c>
      <c r="D153" s="71">
        <f>IF(F153&lt;&gt;0,VLOOKUP($J153,'Table 1'!$B$13:$C$33,2,FALSE)/12*1000*Study_MW,0)</f>
        <v>1077680.3370333859</v>
      </c>
      <c r="E153" s="71">
        <f t="shared" si="59"/>
        <v>2989169.0123710432</v>
      </c>
      <c r="F153" s="75">
        <v>72000</v>
      </c>
      <c r="G153" s="76">
        <f t="shared" si="60"/>
        <v>41.516236282931153</v>
      </c>
      <c r="I153" s="77">
        <f t="shared" si="57"/>
        <v>22</v>
      </c>
      <c r="J153" s="73">
        <f t="shared" si="61"/>
        <v>2031</v>
      </c>
      <c r="K153" s="78">
        <f t="shared" si="54"/>
        <v>48092</v>
      </c>
    </row>
    <row r="154" spans="2:11" outlineLevel="1">
      <c r="B154" s="78">
        <f t="shared" si="58"/>
        <v>48122</v>
      </c>
      <c r="C154" s="75">
        <v>1904897.8674037606</v>
      </c>
      <c r="D154" s="71">
        <f>IF(F154&lt;&gt;0,VLOOKUP($J154,'Table 1'!$B$13:$C$33,2,FALSE)/12*1000*Study_MW,0)</f>
        <v>1077680.3370333859</v>
      </c>
      <c r="E154" s="71">
        <f t="shared" si="59"/>
        <v>2982578.2044371464</v>
      </c>
      <c r="F154" s="75">
        <v>74400</v>
      </c>
      <c r="G154" s="76">
        <f t="shared" si="60"/>
        <v>40.088416726305731</v>
      </c>
      <c r="I154" s="77">
        <f t="shared" si="57"/>
        <v>23</v>
      </c>
      <c r="J154" s="73">
        <f t="shared" si="61"/>
        <v>2031</v>
      </c>
      <c r="K154" s="78">
        <f t="shared" ref="K154:K192" si="62">IF(ISNUMBER(F154),IF(F154&lt;&gt;0,B154,""),"")</f>
        <v>48122</v>
      </c>
    </row>
    <row r="155" spans="2:11" outlineLevel="1">
      <c r="B155" s="78">
        <f t="shared" si="58"/>
        <v>48153</v>
      </c>
      <c r="C155" s="75">
        <v>1682516.1646939963</v>
      </c>
      <c r="D155" s="71">
        <f>IF(F155&lt;&gt;0,VLOOKUP($J155,'Table 1'!$B$13:$C$33,2,FALSE)/12*1000*Study_MW,0)</f>
        <v>1077680.3370333859</v>
      </c>
      <c r="E155" s="71">
        <f t="shared" si="59"/>
        <v>2760196.5017273822</v>
      </c>
      <c r="F155" s="75">
        <v>72000</v>
      </c>
      <c r="G155" s="76">
        <f t="shared" si="60"/>
        <v>38.336062523991423</v>
      </c>
      <c r="I155" s="77">
        <f t="shared" si="57"/>
        <v>24</v>
      </c>
      <c r="J155" s="73">
        <f t="shared" si="61"/>
        <v>2031</v>
      </c>
      <c r="K155" s="78">
        <f t="shared" si="62"/>
        <v>48153</v>
      </c>
    </row>
    <row r="156" spans="2:11" outlineLevel="1">
      <c r="B156" s="82">
        <f t="shared" si="58"/>
        <v>48183</v>
      </c>
      <c r="C156" s="79">
        <v>2097838.1525371671</v>
      </c>
      <c r="D156" s="80">
        <f>IF(F156&lt;&gt;0,VLOOKUP($J156,'Table 1'!$B$13:$C$33,2,FALSE)/12*1000*Study_MW,0)</f>
        <v>1077680.3370333859</v>
      </c>
      <c r="E156" s="80">
        <f t="shared" si="59"/>
        <v>3175518.4895705529</v>
      </c>
      <c r="F156" s="79">
        <v>74400</v>
      </c>
      <c r="G156" s="81">
        <f t="shared" si="60"/>
        <v>42.681700128636464</v>
      </c>
      <c r="I156" s="64">
        <f t="shared" si="57"/>
        <v>25</v>
      </c>
      <c r="J156" s="73">
        <f t="shared" si="61"/>
        <v>2031</v>
      </c>
      <c r="K156" s="82">
        <f t="shared" si="62"/>
        <v>48183</v>
      </c>
    </row>
    <row r="157" spans="2:11" outlineLevel="1">
      <c r="B157" s="74">
        <f t="shared" si="58"/>
        <v>48214</v>
      </c>
      <c r="C157" s="69">
        <v>2319755.1528774649</v>
      </c>
      <c r="D157" s="70">
        <f>IF(F157&lt;&gt;0,VLOOKUP($J157,'Table 1'!$B$13:$C$33,2,FALSE)/12*1000*Study_MW,0)</f>
        <v>1101577.2129762173</v>
      </c>
      <c r="E157" s="70">
        <f t="shared" si="59"/>
        <v>3421332.3658536822</v>
      </c>
      <c r="F157" s="69">
        <v>74400</v>
      </c>
      <c r="G157" s="72">
        <f t="shared" si="60"/>
        <v>45.985650078678525</v>
      </c>
      <c r="I157" s="60">
        <f>I37</f>
        <v>27</v>
      </c>
      <c r="J157" s="73">
        <f t="shared" si="61"/>
        <v>2032</v>
      </c>
      <c r="K157" s="74">
        <f t="shared" si="62"/>
        <v>48214</v>
      </c>
    </row>
    <row r="158" spans="2:11" outlineLevel="1">
      <c r="B158" s="78">
        <f t="shared" si="58"/>
        <v>48245</v>
      </c>
      <c r="C158" s="75">
        <v>1796622.2669034153</v>
      </c>
      <c r="D158" s="71">
        <f>IF(F158&lt;&gt;0,VLOOKUP($J158,'Table 1'!$B$13:$C$33,2,FALSE)/12*1000*Study_MW,0)</f>
        <v>1101577.2129762173</v>
      </c>
      <c r="E158" s="71">
        <f t="shared" si="59"/>
        <v>2898199.4798796326</v>
      </c>
      <c r="F158" s="75">
        <v>69600</v>
      </c>
      <c r="G158" s="76">
        <f t="shared" si="60"/>
        <v>41.640797124707362</v>
      </c>
      <c r="I158" s="77">
        <f t="shared" si="57"/>
        <v>28</v>
      </c>
      <c r="J158" s="73">
        <f t="shared" si="61"/>
        <v>2032</v>
      </c>
      <c r="K158" s="78">
        <f t="shared" si="62"/>
        <v>48245</v>
      </c>
    </row>
    <row r="159" spans="2:11" outlineLevel="1">
      <c r="B159" s="78">
        <f t="shared" si="58"/>
        <v>48274</v>
      </c>
      <c r="C159" s="75">
        <v>1614382.3874835521</v>
      </c>
      <c r="D159" s="71">
        <f>IF(F159&lt;&gt;0,VLOOKUP($J159,'Table 1'!$B$13:$C$33,2,FALSE)/12*1000*Study_MW,0)</f>
        <v>1101577.2129762173</v>
      </c>
      <c r="E159" s="71">
        <f t="shared" si="59"/>
        <v>2715959.6004597694</v>
      </c>
      <c r="F159" s="75">
        <v>74400</v>
      </c>
      <c r="G159" s="76">
        <f t="shared" si="60"/>
        <v>36.504833339513027</v>
      </c>
      <c r="I159" s="77">
        <f t="shared" si="57"/>
        <v>29</v>
      </c>
      <c r="J159" s="73">
        <f t="shared" si="61"/>
        <v>2032</v>
      </c>
      <c r="K159" s="78">
        <f t="shared" si="62"/>
        <v>48274</v>
      </c>
    </row>
    <row r="160" spans="2:11" outlineLevel="1">
      <c r="B160" s="78">
        <f t="shared" si="58"/>
        <v>48305</v>
      </c>
      <c r="C160" s="75">
        <v>1611282.5106917173</v>
      </c>
      <c r="D160" s="71">
        <f>IF(F160&lt;&gt;0,VLOOKUP($J160,'Table 1'!$B$13:$C$33,2,FALSE)/12*1000*Study_MW,0)</f>
        <v>1101577.2129762173</v>
      </c>
      <c r="E160" s="71">
        <f t="shared" si="59"/>
        <v>2712859.7236679345</v>
      </c>
      <c r="F160" s="75">
        <v>72000</v>
      </c>
      <c r="G160" s="76">
        <f t="shared" si="60"/>
        <v>37.67860727316576</v>
      </c>
      <c r="I160" s="77">
        <f t="shared" si="57"/>
        <v>30</v>
      </c>
      <c r="J160" s="73">
        <f t="shared" si="61"/>
        <v>2032</v>
      </c>
      <c r="K160" s="78">
        <f t="shared" si="62"/>
        <v>48305</v>
      </c>
    </row>
    <row r="161" spans="2:11" outlineLevel="1">
      <c r="B161" s="78">
        <f t="shared" si="58"/>
        <v>48335</v>
      </c>
      <c r="C161" s="75">
        <v>1534849.2485387176</v>
      </c>
      <c r="D161" s="71">
        <f>IF(F161&lt;&gt;0,VLOOKUP($J161,'Table 1'!$B$13:$C$33,2,FALSE)/12*1000*Study_MW,0)</f>
        <v>1101577.2129762173</v>
      </c>
      <c r="E161" s="71">
        <f t="shared" si="59"/>
        <v>2636426.4615149349</v>
      </c>
      <c r="F161" s="75">
        <v>74400</v>
      </c>
      <c r="G161" s="76">
        <f t="shared" si="60"/>
        <v>35.435839536491059</v>
      </c>
      <c r="I161" s="77">
        <f t="shared" si="57"/>
        <v>31</v>
      </c>
      <c r="J161" s="73">
        <f t="shared" si="61"/>
        <v>2032</v>
      </c>
      <c r="K161" s="78">
        <f t="shared" si="62"/>
        <v>48335</v>
      </c>
    </row>
    <row r="162" spans="2:11" outlineLevel="1">
      <c r="B162" s="78">
        <f t="shared" si="58"/>
        <v>48366</v>
      </c>
      <c r="C162" s="75">
        <v>1961634.6870909035</v>
      </c>
      <c r="D162" s="71">
        <f>IF(F162&lt;&gt;0,VLOOKUP($J162,'Table 1'!$B$13:$C$33,2,FALSE)/12*1000*Study_MW,0)</f>
        <v>1101577.2129762173</v>
      </c>
      <c r="E162" s="71">
        <f t="shared" si="59"/>
        <v>3063211.9000671208</v>
      </c>
      <c r="F162" s="75">
        <v>72000</v>
      </c>
      <c r="G162" s="76">
        <f t="shared" si="60"/>
        <v>42.544609723154458</v>
      </c>
      <c r="I162" s="77">
        <f t="shared" si="57"/>
        <v>32</v>
      </c>
      <c r="J162" s="73">
        <f t="shared" si="61"/>
        <v>2032</v>
      </c>
      <c r="K162" s="78">
        <f t="shared" si="62"/>
        <v>48366</v>
      </c>
    </row>
    <row r="163" spans="2:11" outlineLevel="1">
      <c r="B163" s="78">
        <f t="shared" si="58"/>
        <v>48396</v>
      </c>
      <c r="C163" s="75">
        <v>2669217.4711117446</v>
      </c>
      <c r="D163" s="71">
        <f>IF(F163&lt;&gt;0,VLOOKUP($J163,'Table 1'!$B$13:$C$33,2,FALSE)/12*1000*Study_MW,0)</f>
        <v>1101577.2129762173</v>
      </c>
      <c r="E163" s="71">
        <f t="shared" si="59"/>
        <v>3770794.6840879619</v>
      </c>
      <c r="F163" s="75">
        <v>74400</v>
      </c>
      <c r="G163" s="76">
        <f t="shared" si="60"/>
        <v>50.682724248494111</v>
      </c>
      <c r="I163" s="77">
        <f t="shared" si="57"/>
        <v>33</v>
      </c>
      <c r="J163" s="73">
        <f t="shared" si="61"/>
        <v>2032</v>
      </c>
      <c r="K163" s="78">
        <f t="shared" si="62"/>
        <v>48396</v>
      </c>
    </row>
    <row r="164" spans="2:11" outlineLevel="1">
      <c r="B164" s="78">
        <f t="shared" si="58"/>
        <v>48427</v>
      </c>
      <c r="C164" s="75">
        <v>2719391.2640784383</v>
      </c>
      <c r="D164" s="71">
        <f>IF(F164&lt;&gt;0,VLOOKUP($J164,'Table 1'!$B$13:$C$33,2,FALSE)/12*1000*Study_MW,0)</f>
        <v>1101577.2129762173</v>
      </c>
      <c r="E164" s="71">
        <f t="shared" si="59"/>
        <v>3820968.4770546556</v>
      </c>
      <c r="F164" s="75">
        <v>74400</v>
      </c>
      <c r="G164" s="76">
        <f t="shared" si="60"/>
        <v>51.357103186218488</v>
      </c>
      <c r="I164" s="77">
        <f t="shared" si="57"/>
        <v>34</v>
      </c>
      <c r="J164" s="73">
        <f t="shared" si="61"/>
        <v>2032</v>
      </c>
      <c r="K164" s="78">
        <f t="shared" si="62"/>
        <v>48427</v>
      </c>
    </row>
    <row r="165" spans="2:11" outlineLevel="1">
      <c r="B165" s="78">
        <f t="shared" si="58"/>
        <v>48458</v>
      </c>
      <c r="C165" s="75">
        <v>2185663.3721834868</v>
      </c>
      <c r="D165" s="71">
        <f>IF(F165&lt;&gt;0,VLOOKUP($J165,'Table 1'!$B$13:$C$33,2,FALSE)/12*1000*Study_MW,0)</f>
        <v>1101577.2129762173</v>
      </c>
      <c r="E165" s="71">
        <f t="shared" si="59"/>
        <v>3287240.5851597041</v>
      </c>
      <c r="F165" s="75">
        <v>72000</v>
      </c>
      <c r="G165" s="76">
        <f t="shared" si="60"/>
        <v>45.656119238329225</v>
      </c>
      <c r="I165" s="77">
        <f t="shared" si="57"/>
        <v>35</v>
      </c>
      <c r="J165" s="73">
        <f t="shared" si="61"/>
        <v>2032</v>
      </c>
      <c r="K165" s="78">
        <f t="shared" si="62"/>
        <v>48458</v>
      </c>
    </row>
    <row r="166" spans="2:11" outlineLevel="1">
      <c r="B166" s="78">
        <f t="shared" si="58"/>
        <v>48488</v>
      </c>
      <c r="C166" s="75">
        <v>2154459.6221739501</v>
      </c>
      <c r="D166" s="71">
        <f>IF(F166&lt;&gt;0,VLOOKUP($J166,'Table 1'!$B$13:$C$33,2,FALSE)/12*1000*Study_MW,0)</f>
        <v>1101577.2129762173</v>
      </c>
      <c r="E166" s="71">
        <f t="shared" si="59"/>
        <v>3256036.8351501673</v>
      </c>
      <c r="F166" s="75">
        <v>74400</v>
      </c>
      <c r="G166" s="76">
        <f t="shared" si="60"/>
        <v>43.76393595631945</v>
      </c>
      <c r="I166" s="77">
        <f t="shared" si="57"/>
        <v>36</v>
      </c>
      <c r="J166" s="73">
        <f t="shared" si="61"/>
        <v>2032</v>
      </c>
      <c r="K166" s="78">
        <f t="shared" si="62"/>
        <v>48488</v>
      </c>
    </row>
    <row r="167" spans="2:11" outlineLevel="1">
      <c r="B167" s="78">
        <f t="shared" si="58"/>
        <v>48519</v>
      </c>
      <c r="C167" s="75">
        <v>2126542.6963345259</v>
      </c>
      <c r="D167" s="71">
        <f>IF(F167&lt;&gt;0,VLOOKUP($J167,'Table 1'!$B$13:$C$33,2,FALSE)/12*1000*Study_MW,0)</f>
        <v>1101577.2129762173</v>
      </c>
      <c r="E167" s="71">
        <f t="shared" si="59"/>
        <v>3228119.9093107432</v>
      </c>
      <c r="F167" s="75">
        <v>72000</v>
      </c>
      <c r="G167" s="76">
        <f t="shared" si="60"/>
        <v>44.83499874042699</v>
      </c>
      <c r="I167" s="77">
        <f t="shared" si="57"/>
        <v>37</v>
      </c>
      <c r="J167" s="73">
        <f t="shared" si="61"/>
        <v>2032</v>
      </c>
      <c r="K167" s="78">
        <f t="shared" si="62"/>
        <v>48519</v>
      </c>
    </row>
    <row r="168" spans="2:11" outlineLevel="1">
      <c r="B168" s="82">
        <f t="shared" si="58"/>
        <v>48549</v>
      </c>
      <c r="C168" s="79">
        <v>2410582.3854049146</v>
      </c>
      <c r="D168" s="80">
        <f>IF(F168&lt;&gt;0,VLOOKUP($J168,'Table 1'!$B$13:$C$33,2,FALSE)/12*1000*Study_MW,0)</f>
        <v>1101577.2129762173</v>
      </c>
      <c r="E168" s="80">
        <f t="shared" si="59"/>
        <v>3512159.5983811319</v>
      </c>
      <c r="F168" s="79">
        <v>74400</v>
      </c>
      <c r="G168" s="81">
        <f t="shared" si="60"/>
        <v>47.20644621480016</v>
      </c>
      <c r="I168" s="64">
        <f t="shared" si="57"/>
        <v>38</v>
      </c>
      <c r="J168" s="73">
        <f t="shared" si="61"/>
        <v>2032</v>
      </c>
      <c r="K168" s="82">
        <f t="shared" si="62"/>
        <v>48549</v>
      </c>
    </row>
    <row r="169" spans="2:11" outlineLevel="1">
      <c r="B169" s="74">
        <f t="shared" si="58"/>
        <v>48580</v>
      </c>
      <c r="C169" s="69">
        <v>2509113.0725240558</v>
      </c>
      <c r="D169" s="70">
        <f>IF(F169&lt;&gt;0,VLOOKUP($J169,'Table 1'!$B$13:$C$33,2,FALSE)/12*1000*Study_MW,0)</f>
        <v>1124528.5290795849</v>
      </c>
      <c r="E169" s="70">
        <f t="shared" si="59"/>
        <v>3633641.6016036407</v>
      </c>
      <c r="F169" s="69">
        <v>74400</v>
      </c>
      <c r="G169" s="72">
        <f t="shared" si="60"/>
        <v>48.839268838758613</v>
      </c>
      <c r="I169" s="60">
        <f>I49</f>
        <v>40</v>
      </c>
      <c r="J169" s="73">
        <f t="shared" si="61"/>
        <v>2033</v>
      </c>
      <c r="K169" s="74">
        <f t="shared" si="62"/>
        <v>48580</v>
      </c>
    </row>
    <row r="170" spans="2:11" outlineLevel="1">
      <c r="B170" s="78">
        <f t="shared" si="58"/>
        <v>48611</v>
      </c>
      <c r="C170" s="75">
        <v>1827694.6521691829</v>
      </c>
      <c r="D170" s="71">
        <f>IF(F170&lt;&gt;0,VLOOKUP($J170,'Table 1'!$B$13:$C$33,2,FALSE)/12*1000*Study_MW,0)</f>
        <v>1124528.5290795849</v>
      </c>
      <c r="E170" s="71">
        <f t="shared" si="59"/>
        <v>2952223.1812487678</v>
      </c>
      <c r="F170" s="75">
        <v>67200</v>
      </c>
      <c r="G170" s="76">
        <f t="shared" si="60"/>
        <v>43.931892578106662</v>
      </c>
      <c r="I170" s="77">
        <f t="shared" si="57"/>
        <v>41</v>
      </c>
      <c r="J170" s="73">
        <f t="shared" si="61"/>
        <v>2033</v>
      </c>
      <c r="K170" s="78">
        <f t="shared" si="62"/>
        <v>48611</v>
      </c>
    </row>
    <row r="171" spans="2:11" outlineLevel="1">
      <c r="B171" s="78">
        <f t="shared" si="58"/>
        <v>48639</v>
      </c>
      <c r="C171" s="75">
        <v>1734764.0751345158</v>
      </c>
      <c r="D171" s="71">
        <f>IF(F171&lt;&gt;0,VLOOKUP($J171,'Table 1'!$B$13:$C$33,2,FALSE)/12*1000*Study_MW,0)</f>
        <v>1124528.5290795849</v>
      </c>
      <c r="E171" s="71">
        <f t="shared" si="59"/>
        <v>2859292.6042141006</v>
      </c>
      <c r="F171" s="75">
        <v>74400</v>
      </c>
      <c r="G171" s="76">
        <f t="shared" si="60"/>
        <v>38.431352207178769</v>
      </c>
      <c r="I171" s="77">
        <f t="shared" si="57"/>
        <v>42</v>
      </c>
      <c r="J171" s="73">
        <f t="shared" si="61"/>
        <v>2033</v>
      </c>
      <c r="K171" s="78">
        <f t="shared" si="62"/>
        <v>48639</v>
      </c>
    </row>
    <row r="172" spans="2:11" outlineLevel="1">
      <c r="B172" s="78">
        <f t="shared" si="58"/>
        <v>48670</v>
      </c>
      <c r="C172" s="75">
        <v>1551469.5860734284</v>
      </c>
      <c r="D172" s="71">
        <f>IF(F172&lt;&gt;0,VLOOKUP($J172,'Table 1'!$B$13:$C$33,2,FALSE)/12*1000*Study_MW,0)</f>
        <v>1124528.5290795849</v>
      </c>
      <c r="E172" s="71">
        <f t="shared" si="59"/>
        <v>2675998.1151530133</v>
      </c>
      <c r="F172" s="75">
        <v>72000</v>
      </c>
      <c r="G172" s="76">
        <f t="shared" si="60"/>
        <v>37.166640488236297</v>
      </c>
      <c r="I172" s="77">
        <f t="shared" si="57"/>
        <v>43</v>
      </c>
      <c r="J172" s="73">
        <f t="shared" si="61"/>
        <v>2033</v>
      </c>
      <c r="K172" s="78">
        <f t="shared" si="62"/>
        <v>48670</v>
      </c>
    </row>
    <row r="173" spans="2:11" outlineLevel="1">
      <c r="B173" s="78">
        <f t="shared" si="58"/>
        <v>48700</v>
      </c>
      <c r="C173" s="75">
        <v>1503988.4632000476</v>
      </c>
      <c r="D173" s="71">
        <f>IF(F173&lt;&gt;0,VLOOKUP($J173,'Table 1'!$B$13:$C$33,2,FALSE)/12*1000*Study_MW,0)</f>
        <v>1124528.5290795849</v>
      </c>
      <c r="E173" s="71">
        <f t="shared" si="59"/>
        <v>2628516.9922796325</v>
      </c>
      <c r="F173" s="75">
        <v>74400</v>
      </c>
      <c r="G173" s="76">
        <f t="shared" si="60"/>
        <v>35.329529466124093</v>
      </c>
      <c r="I173" s="77">
        <f t="shared" si="57"/>
        <v>44</v>
      </c>
      <c r="J173" s="73">
        <f t="shared" si="61"/>
        <v>2033</v>
      </c>
      <c r="K173" s="78">
        <f t="shared" si="62"/>
        <v>48700</v>
      </c>
    </row>
    <row r="174" spans="2:11" outlineLevel="1">
      <c r="B174" s="78">
        <f t="shared" si="58"/>
        <v>48731</v>
      </c>
      <c r="C174" s="75">
        <v>2100373.6979585737</v>
      </c>
      <c r="D174" s="71">
        <f>IF(F174&lt;&gt;0,VLOOKUP($J174,'Table 1'!$B$13:$C$33,2,FALSE)/12*1000*Study_MW,0)</f>
        <v>1124528.5290795849</v>
      </c>
      <c r="E174" s="71">
        <f t="shared" si="59"/>
        <v>3224902.2270381586</v>
      </c>
      <c r="F174" s="75">
        <v>72000</v>
      </c>
      <c r="G174" s="76">
        <f t="shared" si="60"/>
        <v>44.790308708863314</v>
      </c>
      <c r="I174" s="77">
        <f t="shared" si="57"/>
        <v>45</v>
      </c>
      <c r="J174" s="73">
        <f t="shared" si="61"/>
        <v>2033</v>
      </c>
      <c r="K174" s="78">
        <f t="shared" si="62"/>
        <v>48731</v>
      </c>
    </row>
    <row r="175" spans="2:11" outlineLevel="1">
      <c r="B175" s="78">
        <f t="shared" si="58"/>
        <v>48761</v>
      </c>
      <c r="C175" s="75">
        <v>2766581.8611394465</v>
      </c>
      <c r="D175" s="71">
        <f>IF(F175&lt;&gt;0,VLOOKUP($J175,'Table 1'!$B$13:$C$33,2,FALSE)/12*1000*Study_MW,0)</f>
        <v>1124528.5290795849</v>
      </c>
      <c r="E175" s="71">
        <f t="shared" si="59"/>
        <v>3891110.3902190314</v>
      </c>
      <c r="F175" s="75">
        <v>74400</v>
      </c>
      <c r="G175" s="76">
        <f t="shared" si="60"/>
        <v>52.2998708362773</v>
      </c>
      <c r="I175" s="77">
        <f t="shared" si="57"/>
        <v>46</v>
      </c>
      <c r="J175" s="73">
        <f t="shared" si="61"/>
        <v>2033</v>
      </c>
      <c r="K175" s="78">
        <f t="shared" si="62"/>
        <v>48761</v>
      </c>
    </row>
    <row r="176" spans="2:11" outlineLevel="1">
      <c r="B176" s="78">
        <f t="shared" si="58"/>
        <v>48792</v>
      </c>
      <c r="C176" s="75">
        <v>2815095.2709286511</v>
      </c>
      <c r="D176" s="71">
        <f>IF(F176&lt;&gt;0,VLOOKUP($J176,'Table 1'!$B$13:$C$33,2,FALSE)/12*1000*Study_MW,0)</f>
        <v>1124528.5290795849</v>
      </c>
      <c r="E176" s="71">
        <f t="shared" si="59"/>
        <v>3939623.800008236</v>
      </c>
      <c r="F176" s="75">
        <v>74400</v>
      </c>
      <c r="G176" s="76">
        <f t="shared" si="60"/>
        <v>52.951932795809626</v>
      </c>
      <c r="I176" s="77">
        <f t="shared" si="57"/>
        <v>47</v>
      </c>
      <c r="J176" s="73">
        <f t="shared" si="61"/>
        <v>2033</v>
      </c>
      <c r="K176" s="78">
        <f t="shared" si="62"/>
        <v>48792</v>
      </c>
    </row>
    <row r="177" spans="2:11" outlineLevel="1">
      <c r="B177" s="78">
        <f t="shared" si="58"/>
        <v>48823</v>
      </c>
      <c r="C177" s="75">
        <v>2302920.900576517</v>
      </c>
      <c r="D177" s="71">
        <f>IF(F177&lt;&gt;0,VLOOKUP($J177,'Table 1'!$B$13:$C$33,2,FALSE)/12*1000*Study_MW,0)</f>
        <v>1124528.5290795849</v>
      </c>
      <c r="E177" s="71">
        <f t="shared" si="59"/>
        <v>3427449.4296561019</v>
      </c>
      <c r="F177" s="75">
        <v>72000</v>
      </c>
      <c r="G177" s="76">
        <f t="shared" si="60"/>
        <v>47.603464300779194</v>
      </c>
      <c r="I177" s="77">
        <f t="shared" si="57"/>
        <v>48</v>
      </c>
      <c r="J177" s="73">
        <f t="shared" si="61"/>
        <v>2033</v>
      </c>
      <c r="K177" s="78">
        <f t="shared" si="62"/>
        <v>48823</v>
      </c>
    </row>
    <row r="178" spans="2:11" outlineLevel="1">
      <c r="B178" s="78">
        <f t="shared" si="58"/>
        <v>48853</v>
      </c>
      <c r="C178" s="75">
        <v>2319676.5027254969</v>
      </c>
      <c r="D178" s="71">
        <f>IF(F178&lt;&gt;0,VLOOKUP($J178,'Table 1'!$B$13:$C$33,2,FALSE)/12*1000*Study_MW,0)</f>
        <v>1124528.5290795849</v>
      </c>
      <c r="E178" s="71">
        <f t="shared" si="59"/>
        <v>3444205.0318050818</v>
      </c>
      <c r="F178" s="75">
        <v>74400</v>
      </c>
      <c r="G178" s="76">
        <f t="shared" si="60"/>
        <v>46.293078384476907</v>
      </c>
      <c r="I178" s="77">
        <f t="shared" si="57"/>
        <v>49</v>
      </c>
      <c r="J178" s="73">
        <f t="shared" si="61"/>
        <v>2033</v>
      </c>
      <c r="K178" s="78">
        <f t="shared" si="62"/>
        <v>48853</v>
      </c>
    </row>
    <row r="179" spans="2:11" outlineLevel="1">
      <c r="B179" s="78">
        <f t="shared" si="58"/>
        <v>48884</v>
      </c>
      <c r="C179" s="75">
        <v>2417533.2909893245</v>
      </c>
      <c r="D179" s="71">
        <f>IF(F179&lt;&gt;0,VLOOKUP($J179,'Table 1'!$B$13:$C$33,2,FALSE)/12*1000*Study_MW,0)</f>
        <v>1124528.5290795849</v>
      </c>
      <c r="E179" s="71">
        <f t="shared" si="59"/>
        <v>3542061.8200689093</v>
      </c>
      <c r="F179" s="75">
        <v>72000</v>
      </c>
      <c r="G179" s="76">
        <f t="shared" si="60"/>
        <v>49.195303056512628</v>
      </c>
      <c r="I179" s="77">
        <f t="shared" si="57"/>
        <v>50</v>
      </c>
      <c r="J179" s="73">
        <f t="shared" si="61"/>
        <v>2033</v>
      </c>
      <c r="K179" s="78">
        <f t="shared" si="62"/>
        <v>48884</v>
      </c>
    </row>
    <row r="180" spans="2:11" outlineLevel="1">
      <c r="B180" s="82">
        <f t="shared" si="58"/>
        <v>48914</v>
      </c>
      <c r="C180" s="79">
        <v>2644171.3975223452</v>
      </c>
      <c r="D180" s="80">
        <f>IF(F180&lt;&gt;0,VLOOKUP($J180,'Table 1'!$B$13:$C$33,2,FALSE)/12*1000*Study_MW,0)</f>
        <v>1124528.5290795849</v>
      </c>
      <c r="E180" s="80">
        <f t="shared" si="59"/>
        <v>3768699.9266019301</v>
      </c>
      <c r="F180" s="79">
        <v>74400</v>
      </c>
      <c r="G180" s="81">
        <f t="shared" si="60"/>
        <v>50.654568905939918</v>
      </c>
      <c r="I180" s="64">
        <f t="shared" si="57"/>
        <v>51</v>
      </c>
      <c r="J180" s="73">
        <f t="shared" si="61"/>
        <v>2033</v>
      </c>
      <c r="K180" s="82">
        <f t="shared" si="62"/>
        <v>48914</v>
      </c>
    </row>
    <row r="181" spans="2:11" outlineLevel="1" collapsed="1">
      <c r="B181" s="74">
        <f t="shared" si="58"/>
        <v>48945</v>
      </c>
      <c r="C181" s="69">
        <v>2561604.623953864</v>
      </c>
      <c r="D181" s="70">
        <f>IF(F181&lt;&gt;0,VLOOKUP($J181,'Table 1'!$B$13:$C$33,2,FALSE)/12*1000*Study_MW,0)</f>
        <v>1148253.4850516045</v>
      </c>
      <c r="E181" s="70">
        <f t="shared" si="59"/>
        <v>3709858.1090054684</v>
      </c>
      <c r="F181" s="69">
        <v>74400</v>
      </c>
      <c r="G181" s="72">
        <f t="shared" si="60"/>
        <v>49.86368426082619</v>
      </c>
      <c r="I181" s="60">
        <f>I61</f>
        <v>53</v>
      </c>
      <c r="J181" s="73">
        <f t="shared" si="61"/>
        <v>2034</v>
      </c>
      <c r="K181" s="74">
        <f t="shared" si="62"/>
        <v>48945</v>
      </c>
    </row>
    <row r="182" spans="2:11" outlineLevel="1">
      <c r="B182" s="78">
        <f t="shared" si="58"/>
        <v>48976</v>
      </c>
      <c r="C182" s="75">
        <v>1996479.8897180408</v>
      </c>
      <c r="D182" s="71">
        <f>IF(F182&lt;&gt;0,VLOOKUP($J182,'Table 1'!$B$13:$C$33,2,FALSE)/12*1000*Study_MW,0)</f>
        <v>1148253.4850516045</v>
      </c>
      <c r="E182" s="71">
        <f t="shared" si="59"/>
        <v>3144733.3747696453</v>
      </c>
      <c r="F182" s="75">
        <v>67200</v>
      </c>
      <c r="G182" s="76">
        <f t="shared" si="60"/>
        <v>46.796627600738766</v>
      </c>
      <c r="I182" s="77">
        <f t="shared" si="57"/>
        <v>54</v>
      </c>
      <c r="J182" s="73">
        <f t="shared" si="61"/>
        <v>2034</v>
      </c>
      <c r="K182" s="78">
        <f t="shared" si="62"/>
        <v>48976</v>
      </c>
    </row>
    <row r="183" spans="2:11" outlineLevel="1">
      <c r="B183" s="78">
        <f t="shared" si="58"/>
        <v>49004</v>
      </c>
      <c r="C183" s="75">
        <v>1822581.3076512367</v>
      </c>
      <c r="D183" s="71">
        <f>IF(F183&lt;&gt;0,VLOOKUP($J183,'Table 1'!$B$13:$C$33,2,FALSE)/12*1000*Study_MW,0)</f>
        <v>1148253.4850516045</v>
      </c>
      <c r="E183" s="71">
        <f t="shared" si="59"/>
        <v>2970834.7927028411</v>
      </c>
      <c r="F183" s="75">
        <v>74400</v>
      </c>
      <c r="G183" s="76">
        <f t="shared" si="60"/>
        <v>39.930575170737114</v>
      </c>
      <c r="I183" s="77">
        <f t="shared" si="57"/>
        <v>55</v>
      </c>
      <c r="J183" s="73">
        <f t="shared" si="61"/>
        <v>2034</v>
      </c>
      <c r="K183" s="78">
        <f t="shared" si="62"/>
        <v>49004</v>
      </c>
    </row>
    <row r="184" spans="2:11" outlineLevel="1">
      <c r="B184" s="78">
        <f t="shared" si="58"/>
        <v>49035</v>
      </c>
      <c r="C184" s="75">
        <v>1650412.1919868141</v>
      </c>
      <c r="D184" s="71">
        <f>IF(F184&lt;&gt;0,VLOOKUP($J184,'Table 1'!$B$13:$C$33,2,FALSE)/12*1000*Study_MW,0)</f>
        <v>1148253.4850516045</v>
      </c>
      <c r="E184" s="71">
        <f t="shared" si="59"/>
        <v>2798665.6770384186</v>
      </c>
      <c r="F184" s="75">
        <v>72000</v>
      </c>
      <c r="G184" s="76">
        <f t="shared" si="60"/>
        <v>38.870356625533589</v>
      </c>
      <c r="I184" s="77">
        <f t="shared" si="57"/>
        <v>56</v>
      </c>
      <c r="J184" s="73">
        <f t="shared" si="61"/>
        <v>2034</v>
      </c>
      <c r="K184" s="78">
        <f t="shared" si="62"/>
        <v>49035</v>
      </c>
    </row>
    <row r="185" spans="2:11" outlineLevel="1">
      <c r="B185" s="78">
        <f t="shared" si="58"/>
        <v>49065</v>
      </c>
      <c r="C185" s="75">
        <v>1614890.460321039</v>
      </c>
      <c r="D185" s="71">
        <f>IF(F185&lt;&gt;0,VLOOKUP($J185,'Table 1'!$B$13:$C$33,2,FALSE)/12*1000*Study_MW,0)</f>
        <v>1148253.4850516045</v>
      </c>
      <c r="E185" s="71">
        <f t="shared" si="59"/>
        <v>2763143.9453726434</v>
      </c>
      <c r="F185" s="75">
        <v>74400</v>
      </c>
      <c r="G185" s="76">
        <f t="shared" si="60"/>
        <v>37.139031523825849</v>
      </c>
      <c r="I185" s="77">
        <f t="shared" si="57"/>
        <v>57</v>
      </c>
      <c r="J185" s="73">
        <f t="shared" si="61"/>
        <v>2034</v>
      </c>
      <c r="K185" s="78">
        <f t="shared" si="62"/>
        <v>49065</v>
      </c>
    </row>
    <row r="186" spans="2:11" outlineLevel="1">
      <c r="B186" s="78">
        <f t="shared" si="58"/>
        <v>49096</v>
      </c>
      <c r="C186" s="75">
        <v>2163416.9976751208</v>
      </c>
      <c r="D186" s="71">
        <f>IF(F186&lt;&gt;0,VLOOKUP($J186,'Table 1'!$B$13:$C$33,2,FALSE)/12*1000*Study_MW,0)</f>
        <v>1148253.4850516045</v>
      </c>
      <c r="E186" s="71">
        <f t="shared" si="59"/>
        <v>3311670.4827267253</v>
      </c>
      <c r="F186" s="75">
        <v>72000</v>
      </c>
      <c r="G186" s="76">
        <f t="shared" si="60"/>
        <v>45.995423371204517</v>
      </c>
      <c r="I186" s="77">
        <f t="shared" si="57"/>
        <v>58</v>
      </c>
      <c r="J186" s="73">
        <f t="shared" si="61"/>
        <v>2034</v>
      </c>
      <c r="K186" s="78">
        <f t="shared" si="62"/>
        <v>49096</v>
      </c>
    </row>
    <row r="187" spans="2:11" outlineLevel="1">
      <c r="B187" s="78">
        <f t="shared" si="58"/>
        <v>49126</v>
      </c>
      <c r="C187" s="75">
        <v>2894830.0893661976</v>
      </c>
      <c r="D187" s="71">
        <f>IF(F187&lt;&gt;0,VLOOKUP($J187,'Table 1'!$B$13:$C$33,2,FALSE)/12*1000*Study_MW,0)</f>
        <v>1148253.4850516045</v>
      </c>
      <c r="E187" s="71">
        <f t="shared" si="59"/>
        <v>4043083.574417802</v>
      </c>
      <c r="F187" s="75">
        <v>74400</v>
      </c>
      <c r="G187" s="76">
        <f t="shared" si="60"/>
        <v>54.342521161529596</v>
      </c>
      <c r="I187" s="77">
        <f t="shared" si="57"/>
        <v>59</v>
      </c>
      <c r="J187" s="73">
        <f t="shared" si="61"/>
        <v>2034</v>
      </c>
      <c r="K187" s="78">
        <f t="shared" si="62"/>
        <v>49126</v>
      </c>
    </row>
    <row r="188" spans="2:11" outlineLevel="1">
      <c r="B188" s="78">
        <f t="shared" si="58"/>
        <v>49157</v>
      </c>
      <c r="C188" s="75">
        <v>2921404.8730640113</v>
      </c>
      <c r="D188" s="71">
        <f>IF(F188&lt;&gt;0,VLOOKUP($J188,'Table 1'!$B$13:$C$33,2,FALSE)/12*1000*Study_MW,0)</f>
        <v>1148253.4850516045</v>
      </c>
      <c r="E188" s="71">
        <f t="shared" si="59"/>
        <v>4069658.3581156158</v>
      </c>
      <c r="F188" s="75">
        <v>74400</v>
      </c>
      <c r="G188" s="76">
        <f t="shared" si="60"/>
        <v>54.6997091144572</v>
      </c>
      <c r="I188" s="77">
        <f t="shared" si="57"/>
        <v>60</v>
      </c>
      <c r="J188" s="73">
        <f t="shared" si="61"/>
        <v>2034</v>
      </c>
      <c r="K188" s="78">
        <f t="shared" si="62"/>
        <v>49157</v>
      </c>
    </row>
    <row r="189" spans="2:11" outlineLevel="1">
      <c r="B189" s="78">
        <f t="shared" si="58"/>
        <v>49188</v>
      </c>
      <c r="C189" s="75">
        <v>2399179.954548642</v>
      </c>
      <c r="D189" s="71">
        <f>IF(F189&lt;&gt;0,VLOOKUP($J189,'Table 1'!$B$13:$C$33,2,FALSE)/12*1000*Study_MW,0)</f>
        <v>1148253.4850516045</v>
      </c>
      <c r="E189" s="71">
        <f t="shared" si="59"/>
        <v>3547433.4396002465</v>
      </c>
      <c r="F189" s="75">
        <v>72000</v>
      </c>
      <c r="G189" s="76">
        <f t="shared" si="60"/>
        <v>49.269908883336754</v>
      </c>
      <c r="I189" s="77">
        <f t="shared" si="57"/>
        <v>61</v>
      </c>
      <c r="J189" s="73">
        <f t="shared" si="61"/>
        <v>2034</v>
      </c>
      <c r="K189" s="78">
        <f t="shared" si="62"/>
        <v>49188</v>
      </c>
    </row>
    <row r="190" spans="2:11" outlineLevel="1">
      <c r="B190" s="78">
        <f t="shared" si="58"/>
        <v>49218</v>
      </c>
      <c r="C190" s="75">
        <v>2324008.0374949276</v>
      </c>
      <c r="D190" s="71">
        <f>IF(F190&lt;&gt;0,VLOOKUP($J190,'Table 1'!$B$13:$C$33,2,FALSE)/12*1000*Study_MW,0)</f>
        <v>1148253.4850516045</v>
      </c>
      <c r="E190" s="71">
        <f t="shared" si="59"/>
        <v>3472261.5225465321</v>
      </c>
      <c r="F190" s="75">
        <v>74400</v>
      </c>
      <c r="G190" s="76">
        <f t="shared" si="60"/>
        <v>46.67018175465769</v>
      </c>
      <c r="I190" s="77">
        <f t="shared" si="57"/>
        <v>62</v>
      </c>
      <c r="J190" s="73">
        <f t="shared" si="61"/>
        <v>2034</v>
      </c>
      <c r="K190" s="78">
        <f t="shared" si="62"/>
        <v>49218</v>
      </c>
    </row>
    <row r="191" spans="2:11" outlineLevel="1">
      <c r="B191" s="78">
        <f t="shared" si="58"/>
        <v>49249</v>
      </c>
      <c r="C191" s="75">
        <v>2448173.515830487</v>
      </c>
      <c r="D191" s="71">
        <f>IF(F191&lt;&gt;0,VLOOKUP($J191,'Table 1'!$B$13:$C$33,2,FALSE)/12*1000*Study_MW,0)</f>
        <v>1148253.4850516045</v>
      </c>
      <c r="E191" s="71">
        <f t="shared" si="59"/>
        <v>3596427.0008820915</v>
      </c>
      <c r="F191" s="75">
        <v>72000</v>
      </c>
      <c r="G191" s="76">
        <f t="shared" si="60"/>
        <v>49.950375012251271</v>
      </c>
      <c r="I191" s="77">
        <f t="shared" si="57"/>
        <v>63</v>
      </c>
      <c r="J191" s="73">
        <f t="shared" si="61"/>
        <v>2034</v>
      </c>
      <c r="K191" s="78">
        <f t="shared" si="62"/>
        <v>49249</v>
      </c>
    </row>
    <row r="192" spans="2:11" outlineLevel="1">
      <c r="B192" s="82">
        <f t="shared" si="58"/>
        <v>49279</v>
      </c>
      <c r="C192" s="79">
        <v>2785567.804576844</v>
      </c>
      <c r="D192" s="80">
        <f>IF(F192&lt;&gt;0,VLOOKUP($J192,'Table 1'!$B$13:$C$33,2,FALSE)/12*1000*Study_MW,0)</f>
        <v>1148253.4850516045</v>
      </c>
      <c r="E192" s="80">
        <f t="shared" si="59"/>
        <v>3933821.2896284484</v>
      </c>
      <c r="F192" s="79">
        <v>74400</v>
      </c>
      <c r="G192" s="81">
        <f t="shared" si="60"/>
        <v>52.8739420648985</v>
      </c>
      <c r="I192" s="64">
        <f t="shared" si="57"/>
        <v>64</v>
      </c>
      <c r="J192" s="73">
        <f t="shared" si="61"/>
        <v>2034</v>
      </c>
      <c r="K192" s="82">
        <f t="shared" si="62"/>
        <v>49279</v>
      </c>
    </row>
    <row r="193" spans="2:20">
      <c r="B193" s="74">
        <f t="shared" si="58"/>
        <v>49310</v>
      </c>
      <c r="C193" s="69">
        <v>2729460.1999002993</v>
      </c>
      <c r="D193" s="70">
        <f>IF(F193&lt;&gt;0,VLOOKUP($J193,'Table 1'!$B$13:$C$33,2,FALSE)/12*1000*Study_MW,0)</f>
        <v>1172236.3209798422</v>
      </c>
      <c r="E193" s="70">
        <f t="shared" ref="E193:E241" si="63">C193+D193</f>
        <v>3901696.5208801413</v>
      </c>
      <c r="F193" s="69">
        <v>74400</v>
      </c>
      <c r="G193" s="72">
        <f t="shared" ref="G193:G216" si="64">IF(ISNUMBER($F193),E193/$F193,"")</f>
        <v>52.442157538711577</v>
      </c>
      <c r="I193" s="60">
        <f>I73</f>
        <v>66</v>
      </c>
      <c r="J193" s="73">
        <f t="shared" ref="J193:J240" si="65">YEAR(B193)</f>
        <v>2035</v>
      </c>
      <c r="K193" s="74">
        <f t="shared" ref="K193:K240" si="66">IF(ISNUMBER(F193),IF(F193&lt;&gt;0,B193,""),"")</f>
        <v>49310</v>
      </c>
      <c r="M193" s="41">
        <v>2.1000000000000001E-2</v>
      </c>
    </row>
    <row r="194" spans="2:20">
      <c r="B194" s="78">
        <f t="shared" si="58"/>
        <v>49341</v>
      </c>
      <c r="C194" s="75">
        <v>2078745.5002726167</v>
      </c>
      <c r="D194" s="71">
        <f>IF(F194&lt;&gt;0,VLOOKUP($J194,'Table 1'!$B$13:$C$33,2,FALSE)/12*1000*Study_MW,0)</f>
        <v>1172236.3209798422</v>
      </c>
      <c r="E194" s="71">
        <f t="shared" si="63"/>
        <v>3250981.8212524587</v>
      </c>
      <c r="F194" s="75">
        <v>67200</v>
      </c>
      <c r="G194" s="76">
        <f t="shared" si="64"/>
        <v>48.377705673399682</v>
      </c>
      <c r="I194" s="77">
        <f t="shared" si="57"/>
        <v>67</v>
      </c>
      <c r="J194" s="73">
        <f t="shared" si="65"/>
        <v>2035</v>
      </c>
      <c r="K194" s="78">
        <f t="shared" si="66"/>
        <v>49341</v>
      </c>
      <c r="M194" s="41">
        <v>2.1000000000000001E-2</v>
      </c>
    </row>
    <row r="195" spans="2:20">
      <c r="B195" s="78">
        <f t="shared" si="58"/>
        <v>49369</v>
      </c>
      <c r="C195" s="75">
        <v>1906597.1826377064</v>
      </c>
      <c r="D195" s="71">
        <f>IF(F195&lt;&gt;0,VLOOKUP($J195,'Table 1'!$B$13:$C$33,2,FALSE)/12*1000*Study_MW,0)</f>
        <v>1172236.3209798422</v>
      </c>
      <c r="E195" s="71">
        <f t="shared" si="63"/>
        <v>3078833.5036175484</v>
      </c>
      <c r="F195" s="75">
        <v>74400</v>
      </c>
      <c r="G195" s="76">
        <f t="shared" si="64"/>
        <v>41.38217074754769</v>
      </c>
      <c r="I195" s="77">
        <f t="shared" si="57"/>
        <v>68</v>
      </c>
      <c r="J195" s="73">
        <f t="shared" si="65"/>
        <v>2035</v>
      </c>
      <c r="K195" s="78">
        <f t="shared" si="66"/>
        <v>49369</v>
      </c>
      <c r="M195" s="41">
        <v>2.1000000000000001E-2</v>
      </c>
    </row>
    <row r="196" spans="2:20">
      <c r="B196" s="78">
        <f t="shared" si="58"/>
        <v>49400</v>
      </c>
      <c r="C196" s="75">
        <v>1868226.1816447675</v>
      </c>
      <c r="D196" s="71">
        <f>IF(F196&lt;&gt;0,VLOOKUP($J196,'Table 1'!$B$13:$C$33,2,FALSE)/12*1000*Study_MW,0)</f>
        <v>1172236.3209798422</v>
      </c>
      <c r="E196" s="71">
        <f t="shared" si="63"/>
        <v>3040462.5026246095</v>
      </c>
      <c r="F196" s="75">
        <v>72000</v>
      </c>
      <c r="G196" s="76">
        <f t="shared" si="64"/>
        <v>42.228645869786241</v>
      </c>
      <c r="I196" s="77">
        <f t="shared" si="57"/>
        <v>69</v>
      </c>
      <c r="J196" s="73">
        <f t="shared" si="65"/>
        <v>2035</v>
      </c>
      <c r="K196" s="78">
        <f t="shared" si="66"/>
        <v>49400</v>
      </c>
      <c r="M196" s="41">
        <v>2.1000000000000001E-2</v>
      </c>
    </row>
    <row r="197" spans="2:20">
      <c r="B197" s="78">
        <f t="shared" si="58"/>
        <v>49430</v>
      </c>
      <c r="C197" s="75">
        <v>1727350.3308020681</v>
      </c>
      <c r="D197" s="71">
        <f>IF(F197&lt;&gt;0,VLOOKUP($J197,'Table 1'!$B$13:$C$33,2,FALSE)/12*1000*Study_MW,0)</f>
        <v>1172236.3209798422</v>
      </c>
      <c r="E197" s="71">
        <f t="shared" si="63"/>
        <v>2899586.6517819101</v>
      </c>
      <c r="F197" s="75">
        <v>74400</v>
      </c>
      <c r="G197" s="76">
        <f t="shared" si="64"/>
        <v>38.972938868036429</v>
      </c>
      <c r="I197" s="77">
        <f t="shared" si="57"/>
        <v>70</v>
      </c>
      <c r="J197" s="73">
        <f t="shared" si="65"/>
        <v>2035</v>
      </c>
      <c r="K197" s="78">
        <f t="shared" si="66"/>
        <v>49430</v>
      </c>
      <c r="M197" s="41">
        <v>2.1000000000000001E-2</v>
      </c>
    </row>
    <row r="198" spans="2:20">
      <c r="B198" s="78">
        <f t="shared" si="58"/>
        <v>49461</v>
      </c>
      <c r="C198" s="75">
        <v>2274024.5152656436</v>
      </c>
      <c r="D198" s="71">
        <f>IF(F198&lt;&gt;0,VLOOKUP($J198,'Table 1'!$B$13:$C$33,2,FALSE)/12*1000*Study_MW,0)</f>
        <v>1172236.3209798422</v>
      </c>
      <c r="E198" s="71">
        <f t="shared" si="63"/>
        <v>3446260.8362454856</v>
      </c>
      <c r="F198" s="75">
        <v>72000</v>
      </c>
      <c r="G198" s="76">
        <f t="shared" si="64"/>
        <v>47.864733836742857</v>
      </c>
      <c r="I198" s="77">
        <f t="shared" ref="I198:I204" si="67">I78</f>
        <v>71</v>
      </c>
      <c r="J198" s="73">
        <f t="shared" si="65"/>
        <v>2035</v>
      </c>
      <c r="K198" s="78">
        <f t="shared" si="66"/>
        <v>49461</v>
      </c>
      <c r="M198" s="41">
        <v>2.1000000000000001E-2</v>
      </c>
    </row>
    <row r="199" spans="2:20">
      <c r="B199" s="78">
        <f t="shared" si="58"/>
        <v>49491</v>
      </c>
      <c r="C199" s="75">
        <v>2997913.5023116767</v>
      </c>
      <c r="D199" s="71">
        <f>IF(F199&lt;&gt;0,VLOOKUP($J199,'Table 1'!$B$13:$C$33,2,FALSE)/12*1000*Study_MW,0)</f>
        <v>1172236.3209798422</v>
      </c>
      <c r="E199" s="71">
        <f t="shared" si="63"/>
        <v>4170149.8232915187</v>
      </c>
      <c r="F199" s="75">
        <v>74400</v>
      </c>
      <c r="G199" s="76">
        <f t="shared" si="64"/>
        <v>56.050400850692455</v>
      </c>
      <c r="I199" s="77">
        <f t="shared" si="67"/>
        <v>72</v>
      </c>
      <c r="J199" s="73">
        <f t="shared" si="65"/>
        <v>2035</v>
      </c>
      <c r="K199" s="78">
        <f t="shared" si="66"/>
        <v>49491</v>
      </c>
      <c r="M199" s="41">
        <v>2.1000000000000001E-2</v>
      </c>
    </row>
    <row r="200" spans="2:20">
      <c r="B200" s="78">
        <f t="shared" si="58"/>
        <v>49522</v>
      </c>
      <c r="C200" s="75">
        <v>3100877.9565986693</v>
      </c>
      <c r="D200" s="71">
        <f>IF(F200&lt;&gt;0,VLOOKUP($J200,'Table 1'!$B$13:$C$33,2,FALSE)/12*1000*Study_MW,0)</f>
        <v>1172236.3209798422</v>
      </c>
      <c r="E200" s="71">
        <f t="shared" si="63"/>
        <v>4273114.2775785113</v>
      </c>
      <c r="F200" s="75">
        <v>74400</v>
      </c>
      <c r="G200" s="76">
        <f t="shared" si="64"/>
        <v>57.434331687883216</v>
      </c>
      <c r="I200" s="77">
        <f t="shared" si="67"/>
        <v>73</v>
      </c>
      <c r="J200" s="73">
        <f t="shared" si="65"/>
        <v>2035</v>
      </c>
      <c r="K200" s="78">
        <f t="shared" si="66"/>
        <v>49522</v>
      </c>
      <c r="M200" s="41">
        <v>2.1000000000000001E-2</v>
      </c>
    </row>
    <row r="201" spans="2:20">
      <c r="B201" s="78">
        <f t="shared" si="58"/>
        <v>49553</v>
      </c>
      <c r="C201" s="75">
        <v>2475122.8214962482</v>
      </c>
      <c r="D201" s="71">
        <f>IF(F201&lt;&gt;0,VLOOKUP($J201,'Table 1'!$B$13:$C$33,2,FALSE)/12*1000*Study_MW,0)</f>
        <v>1172236.3209798422</v>
      </c>
      <c r="E201" s="71">
        <f t="shared" si="63"/>
        <v>3647359.1424760902</v>
      </c>
      <c r="F201" s="75">
        <v>72000</v>
      </c>
      <c r="G201" s="76">
        <f t="shared" si="64"/>
        <v>50.657765867723477</v>
      </c>
      <c r="I201" s="77">
        <f t="shared" si="67"/>
        <v>74</v>
      </c>
      <c r="J201" s="73">
        <f t="shared" si="65"/>
        <v>2035</v>
      </c>
      <c r="K201" s="78">
        <f t="shared" si="66"/>
        <v>49553</v>
      </c>
      <c r="M201" s="41">
        <v>2.1000000000000001E-2</v>
      </c>
    </row>
    <row r="202" spans="2:20">
      <c r="B202" s="78">
        <f t="shared" si="58"/>
        <v>49583</v>
      </c>
      <c r="C202" s="75">
        <v>2518200.1139800996</v>
      </c>
      <c r="D202" s="71">
        <f>IF(F202&lt;&gt;0,VLOOKUP($J202,'Table 1'!$B$13:$C$33,2,FALSE)/12*1000*Study_MW,0)</f>
        <v>1172236.3209798422</v>
      </c>
      <c r="E202" s="71">
        <f t="shared" si="63"/>
        <v>3690436.4349599415</v>
      </c>
      <c r="F202" s="75">
        <v>74400</v>
      </c>
      <c r="G202" s="76">
        <f t="shared" si="64"/>
        <v>49.602640254837922</v>
      </c>
      <c r="I202" s="77">
        <f t="shared" si="67"/>
        <v>75</v>
      </c>
      <c r="J202" s="73">
        <f t="shared" si="65"/>
        <v>2035</v>
      </c>
      <c r="K202" s="78">
        <f t="shared" si="66"/>
        <v>49583</v>
      </c>
      <c r="M202" s="41">
        <v>2.1000000000000001E-2</v>
      </c>
    </row>
    <row r="203" spans="2:20">
      <c r="B203" s="78">
        <f t="shared" si="58"/>
        <v>49614</v>
      </c>
      <c r="C203" s="75">
        <v>2551993.7916421294</v>
      </c>
      <c r="D203" s="71">
        <f>IF(F203&lt;&gt;0,VLOOKUP($J203,'Table 1'!$B$13:$C$33,2,FALSE)/12*1000*Study_MW,0)</f>
        <v>1172236.3209798422</v>
      </c>
      <c r="E203" s="71">
        <f t="shared" si="63"/>
        <v>3724230.1126219714</v>
      </c>
      <c r="F203" s="75">
        <v>72000</v>
      </c>
      <c r="G203" s="76">
        <f t="shared" si="64"/>
        <v>51.725418230860711</v>
      </c>
      <c r="I203" s="77">
        <f t="shared" si="67"/>
        <v>76</v>
      </c>
      <c r="J203" s="73">
        <f t="shared" si="65"/>
        <v>2035</v>
      </c>
      <c r="K203" s="78">
        <f t="shared" si="66"/>
        <v>49614</v>
      </c>
      <c r="M203" s="41">
        <v>2.1000000000000001E-2</v>
      </c>
    </row>
    <row r="204" spans="2:20">
      <c r="B204" s="82">
        <f t="shared" si="58"/>
        <v>49644</v>
      </c>
      <c r="C204" s="79">
        <v>2901321.3907129616</v>
      </c>
      <c r="D204" s="80">
        <f>IF(F204&lt;&gt;0,VLOOKUP($J204,'Table 1'!$B$13:$C$33,2,FALSE)/12*1000*Study_MW,0)</f>
        <v>1172236.3209798422</v>
      </c>
      <c r="E204" s="80">
        <f t="shared" si="63"/>
        <v>4073557.7116928035</v>
      </c>
      <c r="F204" s="79">
        <v>74400</v>
      </c>
      <c r="G204" s="81">
        <f t="shared" si="64"/>
        <v>54.752119780817253</v>
      </c>
      <c r="I204" s="64">
        <f t="shared" si="67"/>
        <v>77</v>
      </c>
      <c r="J204" s="73">
        <f t="shared" si="65"/>
        <v>2035</v>
      </c>
      <c r="K204" s="82">
        <f t="shared" si="66"/>
        <v>49644</v>
      </c>
      <c r="M204" s="41">
        <v>2.1000000000000001E-2</v>
      </c>
    </row>
    <row r="205" spans="2:20" outlineLevel="1">
      <c r="B205" s="74">
        <f t="shared" si="58"/>
        <v>49675</v>
      </c>
      <c r="C205" s="69">
        <v>2903348.0234510154</v>
      </c>
      <c r="D205" s="70">
        <f>IF(F205&lt;&gt;0,VLOOKUP($J205,'Table 1'!$B$13:$C$33,2,FALSE)/12*1000*Study_MW,0)</f>
        <v>1196992.7967767327</v>
      </c>
      <c r="E205" s="70">
        <f t="shared" si="63"/>
        <v>4100340.8202277478</v>
      </c>
      <c r="F205" s="69">
        <v>74400</v>
      </c>
      <c r="G205" s="72">
        <f t="shared" si="64"/>
        <v>55.11210779876005</v>
      </c>
      <c r="I205" s="60">
        <f>I85</f>
        <v>79</v>
      </c>
      <c r="J205" s="73">
        <f t="shared" si="65"/>
        <v>2036</v>
      </c>
      <c r="K205" s="74">
        <f t="shared" si="66"/>
        <v>49675</v>
      </c>
      <c r="M205" s="41">
        <v>2.1000000000000001E-2</v>
      </c>
      <c r="T205" s="175"/>
    </row>
    <row r="206" spans="2:20" outlineLevel="1">
      <c r="B206" s="78">
        <f t="shared" ref="B206:B240" si="68">EDATE(B205,1)</f>
        <v>49706</v>
      </c>
      <c r="C206" s="75">
        <v>2328404.7779652923</v>
      </c>
      <c r="D206" s="71">
        <f>IF(F206&lt;&gt;0,VLOOKUP($J206,'Table 1'!$B$13:$C$33,2,FALSE)/12*1000*Study_MW,0)</f>
        <v>1196992.7967767327</v>
      </c>
      <c r="E206" s="71">
        <f t="shared" si="63"/>
        <v>3525397.5747420248</v>
      </c>
      <c r="F206" s="75">
        <v>69600</v>
      </c>
      <c r="G206" s="76">
        <f t="shared" si="64"/>
        <v>50.652264004914151</v>
      </c>
      <c r="I206" s="77">
        <f t="shared" ref="I206:I216" si="69">I86</f>
        <v>80</v>
      </c>
      <c r="J206" s="73">
        <f t="shared" si="65"/>
        <v>2036</v>
      </c>
      <c r="K206" s="78">
        <f t="shared" si="66"/>
        <v>49706</v>
      </c>
      <c r="M206" s="41">
        <v>2.1000000000000001E-2</v>
      </c>
      <c r="T206" s="175"/>
    </row>
    <row r="207" spans="2:20" outlineLevel="1">
      <c r="B207" s="78">
        <f t="shared" si="68"/>
        <v>49735</v>
      </c>
      <c r="C207" s="75">
        <v>2050190.7014601827</v>
      </c>
      <c r="D207" s="71">
        <f>IF(F207&lt;&gt;0,VLOOKUP($J207,'Table 1'!$B$13:$C$33,2,FALSE)/12*1000*Study_MW,0)</f>
        <v>1196992.7967767327</v>
      </c>
      <c r="E207" s="71">
        <f t="shared" si="63"/>
        <v>3247183.4982369151</v>
      </c>
      <c r="F207" s="75">
        <v>74400</v>
      </c>
      <c r="G207" s="76">
        <f t="shared" si="64"/>
        <v>43.644939492431654</v>
      </c>
      <c r="I207" s="77">
        <f t="shared" si="69"/>
        <v>81</v>
      </c>
      <c r="J207" s="73">
        <f t="shared" si="65"/>
        <v>2036</v>
      </c>
      <c r="K207" s="78">
        <f t="shared" si="66"/>
        <v>49735</v>
      </c>
      <c r="M207" s="41">
        <v>2.1000000000000001E-2</v>
      </c>
      <c r="T207" s="175"/>
    </row>
    <row r="208" spans="2:20" outlineLevel="1">
      <c r="B208" s="78">
        <f t="shared" si="68"/>
        <v>49766</v>
      </c>
      <c r="C208" s="75">
        <v>1815275.2777900845</v>
      </c>
      <c r="D208" s="71">
        <f>IF(F208&lt;&gt;0,VLOOKUP($J208,'Table 1'!$B$13:$C$33,2,FALSE)/12*1000*Study_MW,0)</f>
        <v>1196992.7967767327</v>
      </c>
      <c r="E208" s="71">
        <f t="shared" si="63"/>
        <v>3012268.0745668169</v>
      </c>
      <c r="F208" s="75">
        <v>72000</v>
      </c>
      <c r="G208" s="76">
        <f t="shared" si="64"/>
        <v>41.837056591205787</v>
      </c>
      <c r="I208" s="77">
        <f t="shared" si="69"/>
        <v>82</v>
      </c>
      <c r="J208" s="73">
        <f t="shared" si="65"/>
        <v>2036</v>
      </c>
      <c r="K208" s="78">
        <f t="shared" si="66"/>
        <v>49766</v>
      </c>
      <c r="M208" s="41">
        <v>2.1000000000000001E-2</v>
      </c>
      <c r="T208" s="175"/>
    </row>
    <row r="209" spans="2:20" outlineLevel="1">
      <c r="B209" s="78">
        <f t="shared" si="68"/>
        <v>49796</v>
      </c>
      <c r="C209" s="75">
        <v>1788657.2195557207</v>
      </c>
      <c r="D209" s="71">
        <f>IF(F209&lt;&gt;0,VLOOKUP($J209,'Table 1'!$B$13:$C$33,2,FALSE)/12*1000*Study_MW,0)</f>
        <v>1196992.7967767327</v>
      </c>
      <c r="E209" s="71">
        <f t="shared" si="63"/>
        <v>2985650.0163324531</v>
      </c>
      <c r="F209" s="75">
        <v>74400</v>
      </c>
      <c r="G209" s="76">
        <f t="shared" si="64"/>
        <v>40.129704520597485</v>
      </c>
      <c r="I209" s="77">
        <f t="shared" si="69"/>
        <v>83</v>
      </c>
      <c r="J209" s="73">
        <f t="shared" si="65"/>
        <v>2036</v>
      </c>
      <c r="K209" s="78">
        <f t="shared" si="66"/>
        <v>49796</v>
      </c>
      <c r="M209" s="41">
        <v>2.1000000000000001E-2</v>
      </c>
      <c r="T209" s="175"/>
    </row>
    <row r="210" spans="2:20" outlineLevel="1">
      <c r="B210" s="78">
        <f t="shared" si="68"/>
        <v>49827</v>
      </c>
      <c r="C210" s="75">
        <v>2377863.3638009131</v>
      </c>
      <c r="D210" s="71">
        <f>IF(F210&lt;&gt;0,VLOOKUP($J210,'Table 1'!$B$13:$C$33,2,FALSE)/12*1000*Study_MW,0)</f>
        <v>1196992.7967767327</v>
      </c>
      <c r="E210" s="71">
        <f t="shared" si="63"/>
        <v>3574856.1605776455</v>
      </c>
      <c r="F210" s="75">
        <v>72000</v>
      </c>
      <c r="G210" s="76">
        <f t="shared" si="64"/>
        <v>49.650780008022856</v>
      </c>
      <c r="I210" s="77">
        <f t="shared" si="69"/>
        <v>84</v>
      </c>
      <c r="J210" s="73">
        <f t="shared" si="65"/>
        <v>2036</v>
      </c>
      <c r="K210" s="78">
        <f t="shared" si="66"/>
        <v>49827</v>
      </c>
      <c r="M210" s="41">
        <v>2.1000000000000001E-2</v>
      </c>
      <c r="T210" s="175"/>
    </row>
    <row r="211" spans="2:20" outlineLevel="1">
      <c r="B211" s="78">
        <f t="shared" si="68"/>
        <v>49857</v>
      </c>
      <c r="C211" s="75">
        <v>3190686.7562427819</v>
      </c>
      <c r="D211" s="71">
        <f>IF(F211&lt;&gt;0,VLOOKUP($J211,'Table 1'!$B$13:$C$33,2,FALSE)/12*1000*Study_MW,0)</f>
        <v>1196992.7967767327</v>
      </c>
      <c r="E211" s="71">
        <f t="shared" si="63"/>
        <v>4387679.5530195143</v>
      </c>
      <c r="F211" s="75">
        <v>74400</v>
      </c>
      <c r="G211" s="76">
        <f t="shared" si="64"/>
        <v>58.974187540584872</v>
      </c>
      <c r="I211" s="77">
        <f t="shared" si="69"/>
        <v>85</v>
      </c>
      <c r="J211" s="73">
        <f t="shared" si="65"/>
        <v>2036</v>
      </c>
      <c r="K211" s="78">
        <f t="shared" si="66"/>
        <v>49857</v>
      </c>
      <c r="M211" s="41">
        <v>2.1000000000000001E-2</v>
      </c>
      <c r="T211" s="175"/>
    </row>
    <row r="212" spans="2:20" outlineLevel="1">
      <c r="B212" s="78">
        <f t="shared" si="68"/>
        <v>49888</v>
      </c>
      <c r="C212" s="75">
        <v>3198790.8244545758</v>
      </c>
      <c r="D212" s="71">
        <f>IF(F212&lt;&gt;0,VLOOKUP($J212,'Table 1'!$B$13:$C$33,2,FALSE)/12*1000*Study_MW,0)</f>
        <v>1196992.7967767327</v>
      </c>
      <c r="E212" s="71">
        <f t="shared" si="63"/>
        <v>4395783.6212313082</v>
      </c>
      <c r="F212" s="75">
        <v>74400</v>
      </c>
      <c r="G212" s="76">
        <f t="shared" si="64"/>
        <v>59.083113188592854</v>
      </c>
      <c r="I212" s="77">
        <f t="shared" si="69"/>
        <v>86</v>
      </c>
      <c r="J212" s="73">
        <f t="shared" si="65"/>
        <v>2036</v>
      </c>
      <c r="K212" s="78">
        <f t="shared" si="66"/>
        <v>49888</v>
      </c>
      <c r="M212" s="41">
        <v>2.1000000000000001E-2</v>
      </c>
      <c r="T212" s="175"/>
    </row>
    <row r="213" spans="2:20" outlineLevel="1">
      <c r="B213" s="78">
        <f t="shared" si="68"/>
        <v>49919</v>
      </c>
      <c r="C213" s="75">
        <v>2740947.397880435</v>
      </c>
      <c r="D213" s="71">
        <f>IF(F213&lt;&gt;0,VLOOKUP($J213,'Table 1'!$B$13:$C$33,2,FALSE)/12*1000*Study_MW,0)</f>
        <v>1196992.7967767327</v>
      </c>
      <c r="E213" s="71">
        <f t="shared" si="63"/>
        <v>3937940.1946571674</v>
      </c>
      <c r="F213" s="75">
        <v>72000</v>
      </c>
      <c r="G213" s="76">
        <f t="shared" si="64"/>
        <v>54.693613814682884</v>
      </c>
      <c r="I213" s="77">
        <f t="shared" si="69"/>
        <v>87</v>
      </c>
      <c r="J213" s="73">
        <f t="shared" si="65"/>
        <v>2036</v>
      </c>
      <c r="K213" s="78">
        <f t="shared" si="66"/>
        <v>49919</v>
      </c>
      <c r="M213" s="41">
        <v>2.1000000000000001E-2</v>
      </c>
      <c r="T213" s="175"/>
    </row>
    <row r="214" spans="2:20" outlineLevel="1">
      <c r="B214" s="78">
        <f t="shared" si="68"/>
        <v>49949</v>
      </c>
      <c r="C214" s="75">
        <v>2720759.8148427755</v>
      </c>
      <c r="D214" s="71">
        <f>IF(F214&lt;&gt;0,VLOOKUP($J214,'Table 1'!$B$13:$C$33,2,FALSE)/12*1000*Study_MW,0)</f>
        <v>1196992.7967767327</v>
      </c>
      <c r="E214" s="71">
        <f t="shared" si="63"/>
        <v>3917752.6116195079</v>
      </c>
      <c r="F214" s="75">
        <v>74400</v>
      </c>
      <c r="G214" s="76">
        <f t="shared" si="64"/>
        <v>52.657965209939626</v>
      </c>
      <c r="I214" s="77">
        <f t="shared" si="69"/>
        <v>88</v>
      </c>
      <c r="J214" s="73">
        <f t="shared" si="65"/>
        <v>2036</v>
      </c>
      <c r="K214" s="78">
        <f t="shared" si="66"/>
        <v>49949</v>
      </c>
      <c r="M214" s="41">
        <v>2.1000000000000001E-2</v>
      </c>
      <c r="T214" s="175"/>
    </row>
    <row r="215" spans="2:20" outlineLevel="1">
      <c r="B215" s="78">
        <f t="shared" si="68"/>
        <v>49980</v>
      </c>
      <c r="C215" s="75">
        <v>2769326.9760161489</v>
      </c>
      <c r="D215" s="71">
        <f>IF(F215&lt;&gt;0,VLOOKUP($J215,'Table 1'!$B$13:$C$33,2,FALSE)/12*1000*Study_MW,0)</f>
        <v>1196992.7967767327</v>
      </c>
      <c r="E215" s="71">
        <f t="shared" si="63"/>
        <v>3966319.7727928814</v>
      </c>
      <c r="F215" s="75">
        <v>72000</v>
      </c>
      <c r="G215" s="76">
        <f t="shared" si="64"/>
        <v>55.087774622123355</v>
      </c>
      <c r="I215" s="77">
        <f t="shared" si="69"/>
        <v>89</v>
      </c>
      <c r="J215" s="73">
        <f t="shared" si="65"/>
        <v>2036</v>
      </c>
      <c r="K215" s="78">
        <f t="shared" si="66"/>
        <v>49980</v>
      </c>
      <c r="M215" s="41">
        <v>2.1000000000000001E-2</v>
      </c>
      <c r="T215" s="175"/>
    </row>
    <row r="216" spans="2:20" outlineLevel="1">
      <c r="B216" s="82">
        <f t="shared" si="68"/>
        <v>50010</v>
      </c>
      <c r="C216" s="79">
        <v>3178208.9019559622</v>
      </c>
      <c r="D216" s="80">
        <f>IF(F216&lt;&gt;0,VLOOKUP($J216,'Table 1'!$B$13:$C$33,2,FALSE)/12*1000*Study_MW,0)</f>
        <v>1196992.7967767327</v>
      </c>
      <c r="E216" s="80">
        <f t="shared" si="63"/>
        <v>4375201.6987326946</v>
      </c>
      <c r="F216" s="79">
        <v>74400</v>
      </c>
      <c r="G216" s="81">
        <f t="shared" si="64"/>
        <v>58.806474445331915</v>
      </c>
      <c r="I216" s="64">
        <f t="shared" si="69"/>
        <v>90</v>
      </c>
      <c r="J216" s="73">
        <f t="shared" si="65"/>
        <v>2036</v>
      </c>
      <c r="K216" s="82">
        <f t="shared" si="66"/>
        <v>50010</v>
      </c>
      <c r="M216" s="41">
        <v>2.1000000000000001E-2</v>
      </c>
      <c r="T216" s="175"/>
    </row>
    <row r="217" spans="2:20" outlineLevel="1">
      <c r="B217" s="74">
        <f t="shared" si="68"/>
        <v>50041</v>
      </c>
      <c r="C217" s="69">
        <v>3020660.7484472692</v>
      </c>
      <c r="D217" s="70">
        <f>IF(F217&lt;&gt;0,VLOOKUP($J217,'Table 1'!$B$13:$C$33,2,FALSE)/12*1000*Study_MW,0)</f>
        <v>1222007.1525298408</v>
      </c>
      <c r="E217" s="70">
        <f t="shared" ref="E217:E240" si="70">C217+D217</f>
        <v>4242667.9009771105</v>
      </c>
      <c r="F217" s="69">
        <v>74400</v>
      </c>
      <c r="G217" s="72">
        <f t="shared" ref="G217:G240" si="71">IF(ISNUMBER($F217),E217/$F217,"")</f>
        <v>57.025106195928906</v>
      </c>
      <c r="I217" s="60">
        <f>I97</f>
        <v>92</v>
      </c>
      <c r="J217" s="73">
        <f t="shared" si="65"/>
        <v>2037</v>
      </c>
      <c r="K217" s="74">
        <f t="shared" si="66"/>
        <v>50041</v>
      </c>
      <c r="M217" s="41">
        <v>2.1000000000000001E-2</v>
      </c>
      <c r="T217" s="175"/>
    </row>
    <row r="218" spans="2:20" outlineLevel="1">
      <c r="B218" s="78">
        <f t="shared" si="68"/>
        <v>50072</v>
      </c>
      <c r="C218" s="75">
        <v>2319047.9173014909</v>
      </c>
      <c r="D218" s="71">
        <f>IF(F218&lt;&gt;0,VLOOKUP($J218,'Table 1'!$B$13:$C$33,2,FALSE)/12*1000*Study_MW,0)</f>
        <v>1222007.1525298408</v>
      </c>
      <c r="E218" s="71">
        <f t="shared" si="70"/>
        <v>3541055.0698313317</v>
      </c>
      <c r="F218" s="75">
        <v>67200</v>
      </c>
      <c r="G218" s="76">
        <f t="shared" si="71"/>
        <v>52.694271872490056</v>
      </c>
      <c r="I218" s="77">
        <f t="shared" ref="I218:I228" si="72">I98</f>
        <v>93</v>
      </c>
      <c r="J218" s="73">
        <f t="shared" si="65"/>
        <v>2037</v>
      </c>
      <c r="K218" s="78">
        <f t="shared" si="66"/>
        <v>50072</v>
      </c>
      <c r="M218" s="41">
        <v>2.1000000000000001E-2</v>
      </c>
      <c r="T218" s="175"/>
    </row>
    <row r="219" spans="2:20" outlineLevel="1">
      <c r="B219" s="78">
        <f t="shared" si="68"/>
        <v>50100</v>
      </c>
      <c r="C219" s="75">
        <v>2126412.2023585886</v>
      </c>
      <c r="D219" s="71">
        <f>IF(F219&lt;&gt;0,VLOOKUP($J219,'Table 1'!$B$13:$C$33,2,FALSE)/12*1000*Study_MW,0)</f>
        <v>1222007.1525298408</v>
      </c>
      <c r="E219" s="71">
        <f t="shared" si="70"/>
        <v>3348419.3548884294</v>
      </c>
      <c r="F219" s="75">
        <v>74400</v>
      </c>
      <c r="G219" s="76">
        <f t="shared" si="71"/>
        <v>45.005636490435876</v>
      </c>
      <c r="I219" s="77">
        <f t="shared" si="72"/>
        <v>94</v>
      </c>
      <c r="J219" s="73">
        <f t="shared" si="65"/>
        <v>2037</v>
      </c>
      <c r="K219" s="78">
        <f t="shared" si="66"/>
        <v>50100</v>
      </c>
      <c r="M219" s="41">
        <v>2.1000000000000001E-2</v>
      </c>
      <c r="T219" s="175"/>
    </row>
    <row r="220" spans="2:20" outlineLevel="1">
      <c r="B220" s="78">
        <f t="shared" si="68"/>
        <v>50131</v>
      </c>
      <c r="C220" s="75">
        <v>1960519.4045789391</v>
      </c>
      <c r="D220" s="71">
        <f>IF(F220&lt;&gt;0,VLOOKUP($J220,'Table 1'!$B$13:$C$33,2,FALSE)/12*1000*Study_MW,0)</f>
        <v>1222007.1525298408</v>
      </c>
      <c r="E220" s="71">
        <f t="shared" si="70"/>
        <v>3182526.5571087799</v>
      </c>
      <c r="F220" s="75">
        <v>72000</v>
      </c>
      <c r="G220" s="76">
        <f t="shared" si="71"/>
        <v>44.201757737621946</v>
      </c>
      <c r="I220" s="77">
        <f t="shared" si="72"/>
        <v>95</v>
      </c>
      <c r="J220" s="73">
        <f t="shared" si="65"/>
        <v>2037</v>
      </c>
      <c r="K220" s="78">
        <f t="shared" si="66"/>
        <v>50131</v>
      </c>
      <c r="M220" s="41">
        <v>2.1000000000000001E-2</v>
      </c>
      <c r="T220" s="175"/>
    </row>
    <row r="221" spans="2:20" outlineLevel="1">
      <c r="B221" s="78">
        <f t="shared" si="68"/>
        <v>50161</v>
      </c>
      <c r="C221" s="75">
        <v>1793291.4608477354</v>
      </c>
      <c r="D221" s="71">
        <f>IF(F221&lt;&gt;0,VLOOKUP($J221,'Table 1'!$B$13:$C$33,2,FALSE)/12*1000*Study_MW,0)</f>
        <v>1222007.1525298408</v>
      </c>
      <c r="E221" s="71">
        <f t="shared" si="70"/>
        <v>3015298.6133775762</v>
      </c>
      <c r="F221" s="75">
        <v>74400</v>
      </c>
      <c r="G221" s="76">
        <f t="shared" si="71"/>
        <v>40.528207169053445</v>
      </c>
      <c r="I221" s="77">
        <f t="shared" si="72"/>
        <v>96</v>
      </c>
      <c r="J221" s="73">
        <f t="shared" si="65"/>
        <v>2037</v>
      </c>
      <c r="K221" s="78">
        <f t="shared" si="66"/>
        <v>50161</v>
      </c>
      <c r="M221" s="41">
        <v>2.1000000000000001E-2</v>
      </c>
      <c r="T221" s="175"/>
    </row>
    <row r="222" spans="2:20" outlineLevel="1">
      <c r="B222" s="78">
        <f t="shared" si="68"/>
        <v>50192</v>
      </c>
      <c r="C222" s="75">
        <v>2394674.9924302399</v>
      </c>
      <c r="D222" s="71">
        <f>IF(F222&lt;&gt;0,VLOOKUP($J222,'Table 1'!$B$13:$C$33,2,FALSE)/12*1000*Study_MW,0)</f>
        <v>1222007.1525298408</v>
      </c>
      <c r="E222" s="71">
        <f t="shared" si="70"/>
        <v>3616682.1449600807</v>
      </c>
      <c r="F222" s="75">
        <v>72000</v>
      </c>
      <c r="G222" s="76">
        <f t="shared" si="71"/>
        <v>50.231696457778902</v>
      </c>
      <c r="I222" s="77">
        <f t="shared" si="72"/>
        <v>97</v>
      </c>
      <c r="J222" s="73">
        <f t="shared" si="65"/>
        <v>2037</v>
      </c>
      <c r="K222" s="78">
        <f t="shared" si="66"/>
        <v>50192</v>
      </c>
      <c r="M222" s="41">
        <v>2.1000000000000001E-2</v>
      </c>
      <c r="T222" s="175"/>
    </row>
    <row r="223" spans="2:20" outlineLevel="1">
      <c r="B223" s="78">
        <f t="shared" si="68"/>
        <v>50222</v>
      </c>
      <c r="C223" s="75">
        <v>3427628.0720106363</v>
      </c>
      <c r="D223" s="71">
        <f>IF(F223&lt;&gt;0,VLOOKUP($J223,'Table 1'!$B$13:$C$33,2,FALSE)/12*1000*Study_MW,0)</f>
        <v>1222007.1525298408</v>
      </c>
      <c r="E223" s="71">
        <f t="shared" si="70"/>
        <v>4649635.2245404776</v>
      </c>
      <c r="F223" s="75">
        <v>74400</v>
      </c>
      <c r="G223" s="76">
        <f t="shared" si="71"/>
        <v>62.495097104038678</v>
      </c>
      <c r="I223" s="77">
        <f t="shared" si="72"/>
        <v>98</v>
      </c>
      <c r="J223" s="73">
        <f t="shared" si="65"/>
        <v>2037</v>
      </c>
      <c r="K223" s="78">
        <f t="shared" si="66"/>
        <v>50222</v>
      </c>
      <c r="M223" s="41">
        <v>2.1000000000000001E-2</v>
      </c>
      <c r="T223" s="175"/>
    </row>
    <row r="224" spans="2:20" outlineLevel="1">
      <c r="B224" s="78">
        <f t="shared" si="68"/>
        <v>50253</v>
      </c>
      <c r="C224" s="75">
        <v>3391287.9782138169</v>
      </c>
      <c r="D224" s="71">
        <f>IF(F224&lt;&gt;0,VLOOKUP($J224,'Table 1'!$B$13:$C$33,2,FALSE)/12*1000*Study_MW,0)</f>
        <v>1222007.1525298408</v>
      </c>
      <c r="E224" s="71">
        <f t="shared" si="70"/>
        <v>4613295.1307436582</v>
      </c>
      <c r="F224" s="75">
        <v>74400</v>
      </c>
      <c r="G224" s="76">
        <f t="shared" si="71"/>
        <v>62.006654983113684</v>
      </c>
      <c r="I224" s="77">
        <f t="shared" si="72"/>
        <v>99</v>
      </c>
      <c r="J224" s="73">
        <f t="shared" si="65"/>
        <v>2037</v>
      </c>
      <c r="K224" s="78">
        <f t="shared" si="66"/>
        <v>50253</v>
      </c>
      <c r="M224" s="41">
        <v>2.1000000000000001E-2</v>
      </c>
      <c r="T224" s="175"/>
    </row>
    <row r="225" spans="2:20" outlineLevel="1">
      <c r="B225" s="78">
        <f t="shared" si="68"/>
        <v>50284</v>
      </c>
      <c r="C225" s="75">
        <v>2712964.9715910852</v>
      </c>
      <c r="D225" s="71">
        <f>IF(F225&lt;&gt;0,VLOOKUP($J225,'Table 1'!$B$13:$C$33,2,FALSE)/12*1000*Study_MW,0)</f>
        <v>1222007.1525298408</v>
      </c>
      <c r="E225" s="71">
        <f t="shared" si="70"/>
        <v>3934972.124120926</v>
      </c>
      <c r="F225" s="75">
        <v>72000</v>
      </c>
      <c r="G225" s="76">
        <f t="shared" si="71"/>
        <v>54.65239061279064</v>
      </c>
      <c r="I225" s="77">
        <f t="shared" si="72"/>
        <v>100</v>
      </c>
      <c r="J225" s="73">
        <f t="shared" si="65"/>
        <v>2037</v>
      </c>
      <c r="K225" s="78">
        <f t="shared" si="66"/>
        <v>50284</v>
      </c>
      <c r="M225" s="41">
        <v>2.1000000000000001E-2</v>
      </c>
      <c r="T225" s="175"/>
    </row>
    <row r="226" spans="2:20" outlineLevel="1">
      <c r="B226" s="78">
        <f t="shared" si="68"/>
        <v>50314</v>
      </c>
      <c r="C226" s="75">
        <v>2635923.7927678972</v>
      </c>
      <c r="D226" s="71">
        <f>IF(F226&lt;&gt;0,VLOOKUP($J226,'Table 1'!$B$13:$C$33,2,FALSE)/12*1000*Study_MW,0)</f>
        <v>1222007.1525298408</v>
      </c>
      <c r="E226" s="71">
        <f t="shared" si="70"/>
        <v>3857930.9452977381</v>
      </c>
      <c r="F226" s="75">
        <v>74400</v>
      </c>
      <c r="G226" s="76">
        <f t="shared" si="71"/>
        <v>51.853910555077121</v>
      </c>
      <c r="I226" s="77">
        <f t="shared" si="72"/>
        <v>101</v>
      </c>
      <c r="J226" s="73">
        <f t="shared" si="65"/>
        <v>2037</v>
      </c>
      <c r="K226" s="78">
        <f t="shared" si="66"/>
        <v>50314</v>
      </c>
      <c r="M226" s="41">
        <v>2.1000000000000001E-2</v>
      </c>
      <c r="T226" s="175"/>
    </row>
    <row r="227" spans="2:20" outlineLevel="1">
      <c r="B227" s="78">
        <f t="shared" si="68"/>
        <v>50345</v>
      </c>
      <c r="C227" s="75">
        <v>2728941.9782108516</v>
      </c>
      <c r="D227" s="71">
        <f>IF(F227&lt;&gt;0,VLOOKUP($J227,'Table 1'!$B$13:$C$33,2,FALSE)/12*1000*Study_MW,0)</f>
        <v>1222007.1525298408</v>
      </c>
      <c r="E227" s="71">
        <f t="shared" si="70"/>
        <v>3950949.1307406924</v>
      </c>
      <c r="F227" s="75">
        <v>72000</v>
      </c>
      <c r="G227" s="76">
        <f t="shared" si="71"/>
        <v>54.874293482509614</v>
      </c>
      <c r="I227" s="77">
        <f t="shared" si="72"/>
        <v>102</v>
      </c>
      <c r="J227" s="73">
        <f t="shared" si="65"/>
        <v>2037</v>
      </c>
      <c r="K227" s="78">
        <f t="shared" si="66"/>
        <v>50345</v>
      </c>
      <c r="M227" s="41">
        <v>2.1000000000000001E-2</v>
      </c>
      <c r="T227" s="175"/>
    </row>
    <row r="228" spans="2:20" outlineLevel="1">
      <c r="B228" s="82">
        <f t="shared" si="68"/>
        <v>50375</v>
      </c>
      <c r="C228" s="79">
        <v>3243989.574331969</v>
      </c>
      <c r="D228" s="80">
        <f>IF(F228&lt;&gt;0,VLOOKUP($J228,'Table 1'!$B$13:$C$33,2,FALSE)/12*1000*Study_MW,0)</f>
        <v>1222007.1525298408</v>
      </c>
      <c r="E228" s="80">
        <f t="shared" si="70"/>
        <v>4465996.7268618103</v>
      </c>
      <c r="F228" s="79">
        <v>74400</v>
      </c>
      <c r="G228" s="81">
        <f t="shared" si="71"/>
        <v>60.026837726637233</v>
      </c>
      <c r="I228" s="64">
        <f t="shared" si="72"/>
        <v>103</v>
      </c>
      <c r="J228" s="73">
        <f t="shared" si="65"/>
        <v>2037</v>
      </c>
      <c r="K228" s="82">
        <f t="shared" si="66"/>
        <v>50375</v>
      </c>
      <c r="M228" s="41">
        <v>2.1000000000000001E-2</v>
      </c>
      <c r="T228" s="175"/>
    </row>
    <row r="229" spans="2:20" outlineLevel="1">
      <c r="B229" s="74">
        <f t="shared" si="68"/>
        <v>50406</v>
      </c>
      <c r="C229" s="69">
        <v>3162334.2547952682</v>
      </c>
      <c r="D229" s="70">
        <f>IF(F229&lt;&gt;0,VLOOKUP($J229,'Table 1'!$B$13:$C$33,2,FALSE)/12*1000*Study_MW,0)</f>
        <v>1247709.1881661958</v>
      </c>
      <c r="E229" s="70">
        <f t="shared" si="70"/>
        <v>4410043.4429614637</v>
      </c>
      <c r="F229" s="69">
        <v>74400</v>
      </c>
      <c r="G229" s="72">
        <f t="shared" si="71"/>
        <v>59.274777459159459</v>
      </c>
      <c r="I229" s="60">
        <f>I109</f>
        <v>105</v>
      </c>
      <c r="J229" s="73">
        <f t="shared" si="65"/>
        <v>2038</v>
      </c>
      <c r="K229" s="74">
        <f t="shared" si="66"/>
        <v>50406</v>
      </c>
      <c r="M229" s="41">
        <v>2.1000000000000001E-2</v>
      </c>
      <c r="T229" s="175"/>
    </row>
    <row r="230" spans="2:20" outlineLevel="1">
      <c r="B230" s="78">
        <f t="shared" si="68"/>
        <v>50437</v>
      </c>
      <c r="C230" s="75">
        <v>2448470.8403199464</v>
      </c>
      <c r="D230" s="71">
        <f>IF(F230&lt;&gt;0,VLOOKUP($J230,'Table 1'!$B$13:$C$33,2,FALSE)/12*1000*Study_MW,0)</f>
        <v>1247709.1881661958</v>
      </c>
      <c r="E230" s="71">
        <f t="shared" si="70"/>
        <v>3696180.0284861419</v>
      </c>
      <c r="F230" s="75">
        <v>67200</v>
      </c>
      <c r="G230" s="76">
        <f t="shared" si="71"/>
        <v>55.002678995329497</v>
      </c>
      <c r="I230" s="77">
        <f t="shared" ref="I230:I240" si="73">I110</f>
        <v>106</v>
      </c>
      <c r="J230" s="73">
        <f t="shared" si="65"/>
        <v>2038</v>
      </c>
      <c r="K230" s="78">
        <f t="shared" si="66"/>
        <v>50437</v>
      </c>
      <c r="M230" s="41">
        <v>2.1000000000000001E-2</v>
      </c>
      <c r="T230" s="175"/>
    </row>
    <row r="231" spans="2:20" outlineLevel="1">
      <c r="B231" s="78">
        <f t="shared" si="68"/>
        <v>50465</v>
      </c>
      <c r="C231" s="75">
        <v>2310189.5714285523</v>
      </c>
      <c r="D231" s="71">
        <f>IF(F231&lt;&gt;0,VLOOKUP($J231,'Table 1'!$B$13:$C$33,2,FALSE)/12*1000*Study_MW,0)</f>
        <v>1247709.1881661958</v>
      </c>
      <c r="E231" s="71">
        <f t="shared" si="70"/>
        <v>3557898.7595947478</v>
      </c>
      <c r="F231" s="75">
        <v>74400</v>
      </c>
      <c r="G231" s="76">
        <f t="shared" si="71"/>
        <v>47.821219887026182</v>
      </c>
      <c r="I231" s="77">
        <f t="shared" si="73"/>
        <v>107</v>
      </c>
      <c r="J231" s="73">
        <f t="shared" si="65"/>
        <v>2038</v>
      </c>
      <c r="K231" s="78">
        <f t="shared" si="66"/>
        <v>50465</v>
      </c>
      <c r="M231" s="41">
        <v>2.1000000000000001E-2</v>
      </c>
      <c r="T231" s="175"/>
    </row>
    <row r="232" spans="2:20" outlineLevel="1">
      <c r="B232" s="78">
        <f t="shared" si="68"/>
        <v>50496</v>
      </c>
      <c r="C232" s="75">
        <v>2046632.2580428421</v>
      </c>
      <c r="D232" s="71">
        <f>IF(F232&lt;&gt;0,VLOOKUP($J232,'Table 1'!$B$13:$C$33,2,FALSE)/12*1000*Study_MW,0)</f>
        <v>1247709.1881661958</v>
      </c>
      <c r="E232" s="71">
        <f t="shared" si="70"/>
        <v>3294341.4462090377</v>
      </c>
      <c r="F232" s="75">
        <v>72000</v>
      </c>
      <c r="G232" s="76">
        <f t="shared" si="71"/>
        <v>45.754742308458859</v>
      </c>
      <c r="I232" s="77">
        <f t="shared" si="73"/>
        <v>108</v>
      </c>
      <c r="J232" s="73">
        <f t="shared" si="65"/>
        <v>2038</v>
      </c>
      <c r="K232" s="78">
        <f t="shared" si="66"/>
        <v>50496</v>
      </c>
      <c r="M232" s="41">
        <v>2.1000000000000001E-2</v>
      </c>
      <c r="T232" s="175"/>
    </row>
    <row r="233" spans="2:20" outlineLevel="1">
      <c r="B233" s="78">
        <f t="shared" si="68"/>
        <v>50526</v>
      </c>
      <c r="C233" s="75">
        <v>1875990.0310308486</v>
      </c>
      <c r="D233" s="71">
        <f>IF(F233&lt;&gt;0,VLOOKUP($J233,'Table 1'!$B$13:$C$33,2,FALSE)/12*1000*Study_MW,0)</f>
        <v>1247709.1881661958</v>
      </c>
      <c r="E233" s="71">
        <f t="shared" si="70"/>
        <v>3123699.2191970441</v>
      </c>
      <c r="F233" s="75">
        <v>74400</v>
      </c>
      <c r="G233" s="76">
        <f t="shared" si="71"/>
        <v>41.985204559100055</v>
      </c>
      <c r="I233" s="77">
        <f t="shared" si="73"/>
        <v>109</v>
      </c>
      <c r="J233" s="73">
        <f t="shared" si="65"/>
        <v>2038</v>
      </c>
      <c r="K233" s="78">
        <f t="shared" si="66"/>
        <v>50526</v>
      </c>
      <c r="M233" s="41">
        <v>2.1000000000000001E-2</v>
      </c>
      <c r="T233" s="175"/>
    </row>
    <row r="234" spans="2:20" outlineLevel="1">
      <c r="B234" s="78">
        <f t="shared" si="68"/>
        <v>50557</v>
      </c>
      <c r="C234" s="75">
        <v>2387049.3763563335</v>
      </c>
      <c r="D234" s="71">
        <f>IF(F234&lt;&gt;0,VLOOKUP($J234,'Table 1'!$B$13:$C$33,2,FALSE)/12*1000*Study_MW,0)</f>
        <v>1247709.1881661958</v>
      </c>
      <c r="E234" s="71">
        <f t="shared" si="70"/>
        <v>3634758.564522529</v>
      </c>
      <c r="F234" s="75">
        <v>72000</v>
      </c>
      <c r="G234" s="76">
        <f t="shared" si="71"/>
        <v>50.482757840590679</v>
      </c>
      <c r="I234" s="77">
        <f t="shared" si="73"/>
        <v>110</v>
      </c>
      <c r="J234" s="73">
        <f t="shared" si="65"/>
        <v>2038</v>
      </c>
      <c r="K234" s="78">
        <f t="shared" si="66"/>
        <v>50557</v>
      </c>
      <c r="M234" s="41">
        <v>2.1000000000000001E-2</v>
      </c>
      <c r="T234" s="175"/>
    </row>
    <row r="235" spans="2:20" outlineLevel="1">
      <c r="B235" s="78">
        <f t="shared" si="68"/>
        <v>50587</v>
      </c>
      <c r="C235" s="75">
        <v>3535200.8448689282</v>
      </c>
      <c r="D235" s="71">
        <f>IF(F235&lt;&gt;0,VLOOKUP($J235,'Table 1'!$B$13:$C$33,2,FALSE)/12*1000*Study_MW,0)</f>
        <v>1247709.1881661958</v>
      </c>
      <c r="E235" s="71">
        <f t="shared" si="70"/>
        <v>4782910.0330351237</v>
      </c>
      <c r="F235" s="75">
        <v>74400</v>
      </c>
      <c r="G235" s="76">
        <f t="shared" si="71"/>
        <v>64.286425175203277</v>
      </c>
      <c r="I235" s="77">
        <f t="shared" si="73"/>
        <v>111</v>
      </c>
      <c r="J235" s="73">
        <f t="shared" si="65"/>
        <v>2038</v>
      </c>
      <c r="K235" s="78">
        <f t="shared" si="66"/>
        <v>50587</v>
      </c>
      <c r="M235" s="41">
        <v>2.1000000000000001E-2</v>
      </c>
      <c r="T235" s="175"/>
    </row>
    <row r="236" spans="2:20" outlineLevel="1">
      <c r="B236" s="78">
        <f t="shared" si="68"/>
        <v>50618</v>
      </c>
      <c r="C236" s="75">
        <v>3626968.565615207</v>
      </c>
      <c r="D236" s="71">
        <f>IF(F236&lt;&gt;0,VLOOKUP($J236,'Table 1'!$B$13:$C$33,2,FALSE)/12*1000*Study_MW,0)</f>
        <v>1247709.1881661958</v>
      </c>
      <c r="E236" s="71">
        <f t="shared" si="70"/>
        <v>4874677.7537814025</v>
      </c>
      <c r="F236" s="75">
        <v>74400</v>
      </c>
      <c r="G236" s="76">
        <f t="shared" si="71"/>
        <v>65.519862282008091</v>
      </c>
      <c r="I236" s="77">
        <f t="shared" si="73"/>
        <v>112</v>
      </c>
      <c r="J236" s="73">
        <f t="shared" si="65"/>
        <v>2038</v>
      </c>
      <c r="K236" s="78">
        <f t="shared" si="66"/>
        <v>50618</v>
      </c>
      <c r="M236" s="41">
        <v>2.1000000000000001E-2</v>
      </c>
      <c r="T236" s="175"/>
    </row>
    <row r="237" spans="2:20" outlineLevel="1">
      <c r="B237" s="78">
        <f t="shared" si="68"/>
        <v>50649</v>
      </c>
      <c r="C237" s="75">
        <v>2736862.8466699123</v>
      </c>
      <c r="D237" s="71">
        <f>IF(F237&lt;&gt;0,VLOOKUP($J237,'Table 1'!$B$13:$C$33,2,FALSE)/12*1000*Study_MW,0)</f>
        <v>1247709.1881661958</v>
      </c>
      <c r="E237" s="71">
        <f t="shared" si="70"/>
        <v>3984572.0348361079</v>
      </c>
      <c r="F237" s="75">
        <v>72000</v>
      </c>
      <c r="G237" s="76">
        <f t="shared" si="71"/>
        <v>55.341278261612608</v>
      </c>
      <c r="I237" s="77">
        <f t="shared" si="73"/>
        <v>113</v>
      </c>
      <c r="J237" s="73">
        <f t="shared" si="65"/>
        <v>2038</v>
      </c>
      <c r="K237" s="78">
        <f t="shared" si="66"/>
        <v>50649</v>
      </c>
      <c r="M237" s="41">
        <v>2.1000000000000001E-2</v>
      </c>
      <c r="T237" s="175"/>
    </row>
    <row r="238" spans="2:20" outlineLevel="1">
      <c r="B238" s="78">
        <f t="shared" si="68"/>
        <v>50679</v>
      </c>
      <c r="C238" s="75">
        <v>2840628.0445339382</v>
      </c>
      <c r="D238" s="71">
        <f>IF(F238&lt;&gt;0,VLOOKUP($J238,'Table 1'!$B$13:$C$33,2,FALSE)/12*1000*Study_MW,0)</f>
        <v>1247709.1881661958</v>
      </c>
      <c r="E238" s="71">
        <f t="shared" si="70"/>
        <v>4088337.2327001337</v>
      </c>
      <c r="F238" s="75">
        <v>74400</v>
      </c>
      <c r="G238" s="76">
        <f t="shared" si="71"/>
        <v>54.950769256722225</v>
      </c>
      <c r="I238" s="77">
        <f t="shared" si="73"/>
        <v>114</v>
      </c>
      <c r="J238" s="73">
        <f t="shared" si="65"/>
        <v>2038</v>
      </c>
      <c r="K238" s="78">
        <f t="shared" si="66"/>
        <v>50679</v>
      </c>
      <c r="M238" s="41">
        <v>2.1000000000000001E-2</v>
      </c>
      <c r="T238" s="175"/>
    </row>
    <row r="239" spans="2:20" outlineLevel="1">
      <c r="B239" s="78">
        <f t="shared" si="68"/>
        <v>50710</v>
      </c>
      <c r="C239" s="75">
        <v>2827152.5039221644</v>
      </c>
      <c r="D239" s="71">
        <f>IF(F239&lt;&gt;0,VLOOKUP($J239,'Table 1'!$B$13:$C$33,2,FALSE)/12*1000*Study_MW,0)</f>
        <v>1247709.1881661958</v>
      </c>
      <c r="E239" s="71">
        <f t="shared" si="70"/>
        <v>4074861.69208836</v>
      </c>
      <c r="F239" s="75">
        <v>72000</v>
      </c>
      <c r="G239" s="76">
        <f t="shared" si="71"/>
        <v>56.595301279005</v>
      </c>
      <c r="I239" s="77">
        <f t="shared" si="73"/>
        <v>115</v>
      </c>
      <c r="J239" s="73">
        <f t="shared" si="65"/>
        <v>2038</v>
      </c>
      <c r="K239" s="78">
        <f t="shared" si="66"/>
        <v>50710</v>
      </c>
      <c r="M239" s="41">
        <v>2.1000000000000001E-2</v>
      </c>
      <c r="T239" s="175"/>
    </row>
    <row r="240" spans="2:20" outlineLevel="1">
      <c r="B240" s="82">
        <f t="shared" si="68"/>
        <v>50740</v>
      </c>
      <c r="C240" s="79">
        <v>3374869.1782439947</v>
      </c>
      <c r="D240" s="80">
        <f>IF(F240&lt;&gt;0,VLOOKUP($J240,'Table 1'!$B$13:$C$33,2,FALSE)/12*1000*Study_MW,0)</f>
        <v>1247709.1881661958</v>
      </c>
      <c r="E240" s="80">
        <f t="shared" si="70"/>
        <v>4622578.3664101902</v>
      </c>
      <c r="F240" s="79">
        <v>74400</v>
      </c>
      <c r="G240" s="81">
        <f t="shared" si="71"/>
        <v>62.131429656050948</v>
      </c>
      <c r="I240" s="64">
        <f t="shared" si="73"/>
        <v>116</v>
      </c>
      <c r="J240" s="73">
        <f t="shared" si="65"/>
        <v>2038</v>
      </c>
      <c r="K240" s="82">
        <f t="shared" si="66"/>
        <v>50740</v>
      </c>
      <c r="M240" s="41">
        <v>2.1000000000000001E-2</v>
      </c>
      <c r="T240" s="175"/>
    </row>
    <row r="241" spans="2:20" outlineLevel="1">
      <c r="B241" s="191">
        <f t="shared" ref="B241:B304" si="74">EDATE(B240,1)</f>
        <v>50771</v>
      </c>
      <c r="C241" s="183">
        <f>(C229*(1+M241))*IF(AND(MONTH(K241)=2,OR(J229=2036,J229=2040)),28/29,1)</f>
        <v>3228743.2741459687</v>
      </c>
      <c r="D241" s="184">
        <f>IF(ISNUMBER($F241)*SUM(F241:F252)&lt;&gt;0,VLOOKUP($J241,'Table 1'!$B$13:$C$33,2,FALSE)/12*1000*Study_MW,0)</f>
        <v>1273755.0637441741</v>
      </c>
      <c r="E241" s="184">
        <f t="shared" si="63"/>
        <v>4502498.3378901426</v>
      </c>
      <c r="F241" s="183">
        <v>74400</v>
      </c>
      <c r="G241" s="185">
        <f t="shared" ref="G241" si="75">IFERROR(E241/$F241,0)</f>
        <v>60.517450778093313</v>
      </c>
      <c r="I241" s="60">
        <f>I121</f>
        <v>118</v>
      </c>
      <c r="J241" s="73">
        <f t="shared" ref="J241:J252" si="76">YEAR(B241)</f>
        <v>2039</v>
      </c>
      <c r="K241" s="74">
        <f t="shared" ref="K241:K252" si="77">IF(ISNUMBER(F241),IF(F241&lt;&gt;0,B241,""),"")</f>
        <v>50771</v>
      </c>
      <c r="M241" s="41">
        <v>2.1000000000000001E-2</v>
      </c>
      <c r="T241" s="175"/>
    </row>
    <row r="242" spans="2:20" outlineLevel="1">
      <c r="B242" s="192">
        <f t="shared" si="74"/>
        <v>50802</v>
      </c>
      <c r="C242" s="177">
        <f t="shared" ref="C242:C252" si="78">(C230*(1+M242))*IF(AND(MONTH(K242)=2,OR(J230=2036,J230=2040)),28/29,1)</f>
        <v>2499888.7279666648</v>
      </c>
      <c r="D242" s="178">
        <f>IF(ISNUMBER($F242)*SUM(F242:F253)&lt;&gt;0,VLOOKUP($J242,'Table 1'!$B$13:$C$33,2,FALSE)/12*1000*Study_MW,0)</f>
        <v>1273755.0637441741</v>
      </c>
      <c r="E242" s="178">
        <f t="shared" ref="E242:E253" si="79">C242+D242</f>
        <v>3773643.7917108387</v>
      </c>
      <c r="F242" s="177">
        <v>67200</v>
      </c>
      <c r="G242" s="179">
        <f t="shared" ref="G242:G253" si="80">IFERROR(E242/$F242,0)</f>
        <v>56.155413567125578</v>
      </c>
      <c r="I242" s="77">
        <f t="shared" ref="I242:I305" si="81">I122</f>
        <v>119</v>
      </c>
      <c r="J242" s="73">
        <f t="shared" si="76"/>
        <v>2039</v>
      </c>
      <c r="K242" s="78">
        <f t="shared" si="77"/>
        <v>50802</v>
      </c>
      <c r="M242" s="41">
        <v>2.1000000000000001E-2</v>
      </c>
      <c r="T242" s="175"/>
    </row>
    <row r="243" spans="2:20" outlineLevel="1">
      <c r="B243" s="192">
        <f t="shared" si="74"/>
        <v>50830</v>
      </c>
      <c r="C243" s="177">
        <f t="shared" si="78"/>
        <v>2358703.5524285515</v>
      </c>
      <c r="D243" s="178">
        <f>IF(ISNUMBER($F243)*SUM(F243:F254)&lt;&gt;0,VLOOKUP($J243,'Table 1'!$B$13:$C$33,2,FALSE)/12*1000*Study_MW,0)</f>
        <v>1273755.0637441741</v>
      </c>
      <c r="E243" s="178">
        <f t="shared" si="79"/>
        <v>3632458.6161727253</v>
      </c>
      <c r="F243" s="177">
        <v>74400</v>
      </c>
      <c r="G243" s="179">
        <f t="shared" si="80"/>
        <v>48.823368496945236</v>
      </c>
      <c r="I243" s="77">
        <f t="shared" si="81"/>
        <v>120</v>
      </c>
      <c r="J243" s="73">
        <f t="shared" si="76"/>
        <v>2039</v>
      </c>
      <c r="K243" s="78">
        <f t="shared" si="77"/>
        <v>50830</v>
      </c>
      <c r="M243" s="41">
        <v>2.1000000000000001E-2</v>
      </c>
      <c r="T243" s="175"/>
    </row>
    <row r="244" spans="2:20" outlineLevel="1">
      <c r="B244" s="192">
        <f t="shared" si="74"/>
        <v>50861</v>
      </c>
      <c r="C244" s="177">
        <f t="shared" si="78"/>
        <v>2089611.5354617417</v>
      </c>
      <c r="D244" s="178">
        <f>IF(ISNUMBER($F244)*SUM(F244:F255)&lt;&gt;0,VLOOKUP($J244,'Table 1'!$B$13:$C$33,2,FALSE)/12*1000*Study_MW,0)</f>
        <v>1273755.0637441741</v>
      </c>
      <c r="E244" s="178">
        <f t="shared" si="79"/>
        <v>3363366.5992059158</v>
      </c>
      <c r="F244" s="177">
        <v>72000</v>
      </c>
      <c r="G244" s="179">
        <f t="shared" si="80"/>
        <v>46.713424988971056</v>
      </c>
      <c r="I244" s="77">
        <f t="shared" si="81"/>
        <v>121</v>
      </c>
      <c r="J244" s="73">
        <f t="shared" si="76"/>
        <v>2039</v>
      </c>
      <c r="K244" s="78">
        <f t="shared" si="77"/>
        <v>50861</v>
      </c>
      <c r="M244" s="41">
        <v>2.1000000000000001E-2</v>
      </c>
      <c r="T244" s="175"/>
    </row>
    <row r="245" spans="2:20" outlineLevel="1">
      <c r="B245" s="192">
        <f t="shared" si="74"/>
        <v>50891</v>
      </c>
      <c r="C245" s="177">
        <f t="shared" si="78"/>
        <v>1915385.8216824962</v>
      </c>
      <c r="D245" s="178">
        <f>IF(ISNUMBER($F245)*SUM(F245:F256)&lt;&gt;0,VLOOKUP($J245,'Table 1'!$B$13:$C$33,2,FALSE)/12*1000*Study_MW,0)</f>
        <v>1273755.0637441741</v>
      </c>
      <c r="E245" s="178">
        <f t="shared" si="79"/>
        <v>3189140.8854266703</v>
      </c>
      <c r="F245" s="177">
        <v>74400</v>
      </c>
      <c r="G245" s="179">
        <f t="shared" si="80"/>
        <v>42.864796847132666</v>
      </c>
      <c r="I245" s="77">
        <f t="shared" si="81"/>
        <v>122</v>
      </c>
      <c r="J245" s="73">
        <f t="shared" si="76"/>
        <v>2039</v>
      </c>
      <c r="K245" s="78">
        <f t="shared" si="77"/>
        <v>50891</v>
      </c>
      <c r="M245" s="41">
        <v>2.1000000000000001E-2</v>
      </c>
      <c r="T245" s="175"/>
    </row>
    <row r="246" spans="2:20" outlineLevel="1">
      <c r="B246" s="192">
        <f t="shared" si="74"/>
        <v>50922</v>
      </c>
      <c r="C246" s="177">
        <f t="shared" si="78"/>
        <v>2437177.4132598164</v>
      </c>
      <c r="D246" s="178">
        <f>IF(ISNUMBER($F246)*SUM(F246:F257)&lt;&gt;0,VLOOKUP($J246,'Table 1'!$B$13:$C$33,2,FALSE)/12*1000*Study_MW,0)</f>
        <v>1273755.0637441741</v>
      </c>
      <c r="E246" s="178">
        <f t="shared" si="79"/>
        <v>3710932.4770039907</v>
      </c>
      <c r="F246" s="177">
        <v>72000</v>
      </c>
      <c r="G246" s="179">
        <f t="shared" si="80"/>
        <v>51.540728847277649</v>
      </c>
      <c r="I246" s="77">
        <f t="shared" si="81"/>
        <v>123</v>
      </c>
      <c r="J246" s="73">
        <f t="shared" si="76"/>
        <v>2039</v>
      </c>
      <c r="K246" s="78">
        <f t="shared" si="77"/>
        <v>50922</v>
      </c>
      <c r="M246" s="41">
        <v>2.1000000000000001E-2</v>
      </c>
      <c r="T246" s="175"/>
    </row>
    <row r="247" spans="2:20" outlineLevel="1">
      <c r="B247" s="192">
        <f t="shared" si="74"/>
        <v>50952</v>
      </c>
      <c r="C247" s="177">
        <f t="shared" si="78"/>
        <v>3609440.0626111752</v>
      </c>
      <c r="D247" s="178">
        <f>IF(ISNUMBER($F247)*SUM(F247:F258)&lt;&gt;0,VLOOKUP($J247,'Table 1'!$B$13:$C$33,2,FALSE)/12*1000*Study_MW,0)</f>
        <v>1273755.0637441741</v>
      </c>
      <c r="E247" s="178">
        <f t="shared" si="79"/>
        <v>4883195.1263553491</v>
      </c>
      <c r="F247" s="177">
        <v>74400</v>
      </c>
      <c r="G247" s="179">
        <f t="shared" si="80"/>
        <v>65.634343096174049</v>
      </c>
      <c r="I247" s="77">
        <f t="shared" si="81"/>
        <v>124</v>
      </c>
      <c r="J247" s="73">
        <f t="shared" si="76"/>
        <v>2039</v>
      </c>
      <c r="K247" s="78">
        <f t="shared" si="77"/>
        <v>50952</v>
      </c>
      <c r="M247" s="41">
        <v>2.1000000000000001E-2</v>
      </c>
      <c r="T247" s="175"/>
    </row>
    <row r="248" spans="2:20" outlineLevel="1">
      <c r="B248" s="192">
        <f t="shared" si="74"/>
        <v>50983</v>
      </c>
      <c r="C248" s="177">
        <f t="shared" si="78"/>
        <v>3703134.9054931258</v>
      </c>
      <c r="D248" s="178">
        <f>IF(ISNUMBER($F248)*SUM(F248:F259)&lt;&gt;0,VLOOKUP($J248,'Table 1'!$B$13:$C$33,2,FALSE)/12*1000*Study_MW,0)</f>
        <v>1273755.0637441741</v>
      </c>
      <c r="E248" s="178">
        <f t="shared" si="79"/>
        <v>4976889.9692372996</v>
      </c>
      <c r="F248" s="177">
        <v>74400</v>
      </c>
      <c r="G248" s="179">
        <f t="shared" si="80"/>
        <v>66.893682382221769</v>
      </c>
      <c r="I248" s="77">
        <f t="shared" si="81"/>
        <v>125</v>
      </c>
      <c r="J248" s="73">
        <f t="shared" si="76"/>
        <v>2039</v>
      </c>
      <c r="K248" s="78">
        <f t="shared" si="77"/>
        <v>50983</v>
      </c>
      <c r="M248" s="41">
        <v>2.1000000000000001E-2</v>
      </c>
      <c r="T248" s="175"/>
    </row>
    <row r="249" spans="2:20" outlineLevel="1">
      <c r="B249" s="192">
        <f t="shared" si="74"/>
        <v>51014</v>
      </c>
      <c r="C249" s="177">
        <f t="shared" si="78"/>
        <v>2794336.9664499802</v>
      </c>
      <c r="D249" s="178">
        <f>IF(ISNUMBER($F249)*SUM(F249:F260)&lt;&gt;0,VLOOKUP($J249,'Table 1'!$B$13:$C$33,2,FALSE)/12*1000*Study_MW,0)</f>
        <v>1273755.0637441741</v>
      </c>
      <c r="E249" s="178">
        <f t="shared" si="79"/>
        <v>4068092.030194154</v>
      </c>
      <c r="F249" s="177">
        <v>72000</v>
      </c>
      <c r="G249" s="179">
        <f t="shared" si="80"/>
        <v>56.501278197141026</v>
      </c>
      <c r="I249" s="77">
        <f t="shared" si="81"/>
        <v>126</v>
      </c>
      <c r="J249" s="73">
        <f t="shared" si="76"/>
        <v>2039</v>
      </c>
      <c r="K249" s="78">
        <f t="shared" si="77"/>
        <v>51014</v>
      </c>
      <c r="M249" s="41">
        <v>2.1000000000000001E-2</v>
      </c>
      <c r="T249" s="175"/>
    </row>
    <row r="250" spans="2:20" outlineLevel="1">
      <c r="B250" s="192">
        <f t="shared" si="74"/>
        <v>51044</v>
      </c>
      <c r="C250" s="177">
        <f t="shared" si="78"/>
        <v>2900281.2334691505</v>
      </c>
      <c r="D250" s="178">
        <f>IF(ISNUMBER($F250)*SUM(F250:F261)&lt;&gt;0,VLOOKUP($J250,'Table 1'!$B$13:$C$33,2,FALSE)/12*1000*Study_MW,0)</f>
        <v>1273755.0637441741</v>
      </c>
      <c r="E250" s="178">
        <f t="shared" si="79"/>
        <v>4174036.2972133243</v>
      </c>
      <c r="F250" s="177">
        <v>74400</v>
      </c>
      <c r="G250" s="179">
        <f t="shared" si="80"/>
        <v>56.102638403404896</v>
      </c>
      <c r="I250" s="77">
        <f t="shared" si="81"/>
        <v>127</v>
      </c>
      <c r="J250" s="73">
        <f t="shared" si="76"/>
        <v>2039</v>
      </c>
      <c r="K250" s="78">
        <f t="shared" si="77"/>
        <v>51044</v>
      </c>
      <c r="M250" s="41">
        <v>2.1000000000000001E-2</v>
      </c>
      <c r="T250" s="175"/>
    </row>
    <row r="251" spans="2:20" outlineLevel="1">
      <c r="B251" s="192">
        <f t="shared" si="74"/>
        <v>51075</v>
      </c>
      <c r="C251" s="177">
        <f t="shared" si="78"/>
        <v>2886522.7065045298</v>
      </c>
      <c r="D251" s="178">
        <f>IF(ISNUMBER($F251)*SUM(F251:F262)&lt;&gt;0,VLOOKUP($J251,'Table 1'!$B$13:$C$33,2,FALSE)/12*1000*Study_MW,0)</f>
        <v>1273755.0637441741</v>
      </c>
      <c r="E251" s="178">
        <f t="shared" si="79"/>
        <v>4160277.7702487037</v>
      </c>
      <c r="F251" s="177">
        <v>72000</v>
      </c>
      <c r="G251" s="179">
        <f t="shared" si="80"/>
        <v>57.781635697898665</v>
      </c>
      <c r="I251" s="77">
        <f t="shared" si="81"/>
        <v>128</v>
      </c>
      <c r="J251" s="73">
        <f t="shared" si="76"/>
        <v>2039</v>
      </c>
      <c r="K251" s="78">
        <f t="shared" si="77"/>
        <v>51075</v>
      </c>
      <c r="M251" s="41">
        <v>2.1000000000000001E-2</v>
      </c>
      <c r="O251" s="175"/>
      <c r="P251" s="175"/>
      <c r="T251" s="175"/>
    </row>
    <row r="252" spans="2:20" outlineLevel="1" collapsed="1">
      <c r="B252" s="193">
        <f t="shared" si="74"/>
        <v>51105</v>
      </c>
      <c r="C252" s="180">
        <f t="shared" si="78"/>
        <v>3445741.4309871183</v>
      </c>
      <c r="D252" s="181">
        <f>IF(ISNUMBER($F252)*SUM(F252:F263)&lt;&gt;0,VLOOKUP($J252,'Table 1'!$B$13:$C$33,2,FALSE)/12*1000*Study_MW,0)</f>
        <v>1273755.0637441741</v>
      </c>
      <c r="E252" s="181">
        <f t="shared" si="79"/>
        <v>4719496.4947312921</v>
      </c>
      <c r="F252" s="180">
        <v>74400</v>
      </c>
      <c r="G252" s="182">
        <f t="shared" si="80"/>
        <v>63.434092671119515</v>
      </c>
      <c r="I252" s="64">
        <f t="shared" si="81"/>
        <v>129</v>
      </c>
      <c r="J252" s="73">
        <f t="shared" si="76"/>
        <v>2039</v>
      </c>
      <c r="K252" s="82">
        <f t="shared" si="77"/>
        <v>51105</v>
      </c>
      <c r="M252" s="41">
        <v>2.1000000000000001E-2</v>
      </c>
      <c r="O252" s="175"/>
      <c r="P252" s="175"/>
      <c r="T252" s="175"/>
    </row>
    <row r="253" spans="2:20" outlineLevel="1">
      <c r="B253" s="191">
        <f t="shared" si="74"/>
        <v>51136</v>
      </c>
      <c r="C253" s="183">
        <f>(C241*(1+M253))*IF(AND(MONTH(K253)=2,OR(J241=2036,J241=2040)),28/29,1)</f>
        <v>3296546.8829030339</v>
      </c>
      <c r="D253" s="184">
        <f>IF(ISNUMBER($F253)*SUM(F253:F264)&lt;&gt;0,VLOOKUP($J253,'Table 1'!$B$13:$C$33,2,FALSE)/12*1000*Study_MW,0)</f>
        <v>1300746.4991616174</v>
      </c>
      <c r="E253" s="184">
        <f t="shared" si="79"/>
        <v>4597293.3820646517</v>
      </c>
      <c r="F253" s="183">
        <v>74400</v>
      </c>
      <c r="G253" s="185">
        <f t="shared" si="80"/>
        <v>61.791577715922735</v>
      </c>
      <c r="I253" s="60">
        <f>I133</f>
        <v>1</v>
      </c>
      <c r="J253" s="73">
        <f t="shared" ref="J253:J276" si="82">YEAR(B253)</f>
        <v>2040</v>
      </c>
      <c r="K253" s="74">
        <f t="shared" ref="K253:K276" si="83">IF(ISNUMBER(F253),IF(F253&lt;&gt;0,B253,""),"")</f>
        <v>51136</v>
      </c>
      <c r="M253" s="41">
        <v>2.1000000000000001E-2</v>
      </c>
      <c r="O253" s="175"/>
      <c r="P253" s="175"/>
      <c r="T253" s="175"/>
    </row>
    <row r="254" spans="2:20" outlineLevel="1">
      <c r="B254" s="192">
        <f t="shared" si="74"/>
        <v>51167</v>
      </c>
      <c r="C254" s="177">
        <f t="shared" ref="C254:C264" si="84">(C242*(1+M254))*IF(AND(MONTH(K254)=2,OR(J242=2036,J242=2040)),28/29,1)</f>
        <v>2552386.3912539645</v>
      </c>
      <c r="D254" s="178">
        <f>IF(ISNUMBER($F254)*SUM(F254:F265)&lt;&gt;0,VLOOKUP($J254,'Table 1'!$B$13:$C$33,2,FALSE)/12*1000*Study_MW,0)</f>
        <v>1300746.4991616174</v>
      </c>
      <c r="E254" s="178">
        <f t="shared" ref="E254:E276" si="85">C254+D254</f>
        <v>3853132.8904155819</v>
      </c>
      <c r="F254" s="177">
        <v>67200</v>
      </c>
      <c r="G254" s="179">
        <f t="shared" ref="G254:G276" si="86">IFERROR(E254/$F254,0)</f>
        <v>57.338287059755686</v>
      </c>
      <c r="I254" s="77">
        <f t="shared" si="81"/>
        <v>2</v>
      </c>
      <c r="J254" s="73">
        <f t="shared" si="82"/>
        <v>2040</v>
      </c>
      <c r="K254" s="78">
        <f t="shared" si="83"/>
        <v>51167</v>
      </c>
      <c r="M254" s="41">
        <v>2.1000000000000001E-2</v>
      </c>
      <c r="O254" s="175"/>
      <c r="P254" s="175"/>
      <c r="T254" s="175"/>
    </row>
    <row r="255" spans="2:20" outlineLevel="1">
      <c r="B255" s="192">
        <f t="shared" si="74"/>
        <v>51196</v>
      </c>
      <c r="C255" s="177">
        <f t="shared" si="84"/>
        <v>2408236.3270295509</v>
      </c>
      <c r="D255" s="178">
        <f>IF(ISNUMBER($F255)*SUM(F255:F266)&lt;&gt;0,VLOOKUP($J255,'Table 1'!$B$13:$C$33,2,FALSE)/12*1000*Study_MW,0)</f>
        <v>1300746.4991616174</v>
      </c>
      <c r="E255" s="178">
        <f t="shared" si="85"/>
        <v>3708982.8261911683</v>
      </c>
      <c r="F255" s="177">
        <v>74400</v>
      </c>
      <c r="G255" s="179">
        <f t="shared" si="86"/>
        <v>49.85191970687054</v>
      </c>
      <c r="I255" s="77">
        <f t="shared" si="81"/>
        <v>3</v>
      </c>
      <c r="J255" s="73">
        <f t="shared" si="82"/>
        <v>2040</v>
      </c>
      <c r="K255" s="78">
        <f t="shared" si="83"/>
        <v>51196</v>
      </c>
      <c r="M255" s="41">
        <v>2.1000000000000001E-2</v>
      </c>
      <c r="O255" s="175"/>
      <c r="P255" s="175"/>
      <c r="T255" s="175"/>
    </row>
    <row r="256" spans="2:20" outlineLevel="1">
      <c r="B256" s="192">
        <f t="shared" si="74"/>
        <v>51227</v>
      </c>
      <c r="C256" s="177">
        <f t="shared" si="84"/>
        <v>2133493.3777064383</v>
      </c>
      <c r="D256" s="178">
        <f>IF(ISNUMBER($F256)*SUM(F256:F267)&lt;&gt;0,VLOOKUP($J256,'Table 1'!$B$13:$C$33,2,FALSE)/12*1000*Study_MW,0)</f>
        <v>1300746.4991616174</v>
      </c>
      <c r="E256" s="178">
        <f t="shared" si="85"/>
        <v>3434239.8768680557</v>
      </c>
      <c r="F256" s="177">
        <v>72000</v>
      </c>
      <c r="G256" s="179">
        <f t="shared" si="86"/>
        <v>47.697776067611883</v>
      </c>
      <c r="I256" s="77">
        <f t="shared" si="81"/>
        <v>4</v>
      </c>
      <c r="J256" s="73">
        <f t="shared" si="82"/>
        <v>2040</v>
      </c>
      <c r="K256" s="78">
        <f t="shared" si="83"/>
        <v>51227</v>
      </c>
      <c r="M256" s="41">
        <v>2.1000000000000001E-2</v>
      </c>
      <c r="O256" s="175"/>
      <c r="P256" s="175"/>
      <c r="T256" s="175"/>
    </row>
    <row r="257" spans="2:20" outlineLevel="1">
      <c r="B257" s="192">
        <f t="shared" si="74"/>
        <v>51257</v>
      </c>
      <c r="C257" s="177">
        <f t="shared" si="84"/>
        <v>1955608.9239378285</v>
      </c>
      <c r="D257" s="178">
        <f>IF(ISNUMBER($F257)*SUM(F257:F268)&lt;&gt;0,VLOOKUP($J257,'Table 1'!$B$13:$C$33,2,FALSE)/12*1000*Study_MW,0)</f>
        <v>1300746.4991616174</v>
      </c>
      <c r="E257" s="178">
        <f t="shared" si="85"/>
        <v>3256355.4230994461</v>
      </c>
      <c r="F257" s="177">
        <v>74400</v>
      </c>
      <c r="G257" s="179">
        <f t="shared" si="86"/>
        <v>43.76821805241191</v>
      </c>
      <c r="I257" s="77">
        <f t="shared" si="81"/>
        <v>5</v>
      </c>
      <c r="J257" s="73">
        <f t="shared" si="82"/>
        <v>2040</v>
      </c>
      <c r="K257" s="78">
        <f t="shared" si="83"/>
        <v>51257</v>
      </c>
      <c r="M257" s="41">
        <v>2.1000000000000001E-2</v>
      </c>
      <c r="O257" s="175"/>
      <c r="P257" s="175"/>
      <c r="T257" s="175"/>
    </row>
    <row r="258" spans="2:20" outlineLevel="1">
      <c r="B258" s="192">
        <f t="shared" si="74"/>
        <v>51288</v>
      </c>
      <c r="C258" s="177">
        <f t="shared" si="84"/>
        <v>2488358.1389382724</v>
      </c>
      <c r="D258" s="178">
        <f>IF(ISNUMBER($F258)*SUM(F258:F269)&lt;&gt;0,VLOOKUP($J258,'Table 1'!$B$13:$C$33,2,FALSE)/12*1000*Study_MW,0)</f>
        <v>1300746.4991616174</v>
      </c>
      <c r="E258" s="178">
        <f t="shared" si="85"/>
        <v>3789104.6380998897</v>
      </c>
      <c r="F258" s="177">
        <v>72000</v>
      </c>
      <c r="G258" s="179">
        <f t="shared" si="86"/>
        <v>52.626453306942913</v>
      </c>
      <c r="I258" s="77">
        <f t="shared" si="81"/>
        <v>6</v>
      </c>
      <c r="J258" s="73">
        <f t="shared" si="82"/>
        <v>2040</v>
      </c>
      <c r="K258" s="78">
        <f t="shared" si="83"/>
        <v>51288</v>
      </c>
      <c r="M258" s="41">
        <v>2.1000000000000001E-2</v>
      </c>
      <c r="O258" s="175"/>
      <c r="P258" s="175"/>
      <c r="T258" s="175"/>
    </row>
    <row r="259" spans="2:20" outlineLevel="1">
      <c r="B259" s="192">
        <f t="shared" si="74"/>
        <v>51318</v>
      </c>
      <c r="C259" s="177">
        <f t="shared" si="84"/>
        <v>3685238.3039260097</v>
      </c>
      <c r="D259" s="178">
        <f>IF(ISNUMBER($F259)*SUM(F259:F270)&lt;&gt;0,VLOOKUP($J259,'Table 1'!$B$13:$C$33,2,FALSE)/12*1000*Study_MW,0)</f>
        <v>1300746.4991616174</v>
      </c>
      <c r="E259" s="178">
        <f t="shared" si="85"/>
        <v>4985984.8030876275</v>
      </c>
      <c r="F259" s="177">
        <v>74400</v>
      </c>
      <c r="G259" s="179">
        <f t="shared" si="86"/>
        <v>67.015924772683164</v>
      </c>
      <c r="I259" s="77">
        <f t="shared" si="81"/>
        <v>7</v>
      </c>
      <c r="J259" s="73">
        <f t="shared" si="82"/>
        <v>2040</v>
      </c>
      <c r="K259" s="78">
        <f t="shared" si="83"/>
        <v>51318</v>
      </c>
      <c r="M259" s="41">
        <v>2.1000000000000001E-2</v>
      </c>
      <c r="O259" s="175"/>
      <c r="P259" s="175"/>
    </row>
    <row r="260" spans="2:20" outlineLevel="1">
      <c r="B260" s="192">
        <f t="shared" si="74"/>
        <v>51349</v>
      </c>
      <c r="C260" s="177">
        <f t="shared" si="84"/>
        <v>3780900.7385084811</v>
      </c>
      <c r="D260" s="178">
        <f>IF(ISNUMBER($F260)*SUM(F260:F271)&lt;&gt;0,VLOOKUP($J260,'Table 1'!$B$13:$C$33,2,FALSE)/12*1000*Study_MW,0)</f>
        <v>1300746.4991616174</v>
      </c>
      <c r="E260" s="178">
        <f t="shared" si="85"/>
        <v>5081647.2376700984</v>
      </c>
      <c r="F260" s="177">
        <v>74400</v>
      </c>
      <c r="G260" s="179">
        <f t="shared" si="86"/>
        <v>68.301710183737882</v>
      </c>
      <c r="I260" s="77">
        <f t="shared" si="81"/>
        <v>8</v>
      </c>
      <c r="J260" s="73">
        <f t="shared" si="82"/>
        <v>2040</v>
      </c>
      <c r="K260" s="78">
        <f t="shared" si="83"/>
        <v>51349</v>
      </c>
      <c r="M260" s="41">
        <v>2.1000000000000001E-2</v>
      </c>
      <c r="O260" s="175"/>
      <c r="P260" s="175"/>
    </row>
    <row r="261" spans="2:20" outlineLevel="1">
      <c r="B261" s="192">
        <f t="shared" si="74"/>
        <v>51380</v>
      </c>
      <c r="C261" s="177">
        <f t="shared" si="84"/>
        <v>2853018.0427454296</v>
      </c>
      <c r="D261" s="178">
        <f>IF(ISNUMBER($F261)*SUM(F261:F272)&lt;&gt;0,VLOOKUP($J261,'Table 1'!$B$13:$C$33,2,FALSE)/12*1000*Study_MW,0)</f>
        <v>1300746.4991616174</v>
      </c>
      <c r="E261" s="178">
        <f t="shared" si="85"/>
        <v>4153764.5419070469</v>
      </c>
      <c r="F261" s="177">
        <v>72000</v>
      </c>
      <c r="G261" s="179">
        <f t="shared" si="86"/>
        <v>57.691174193153429</v>
      </c>
      <c r="I261" s="77">
        <f t="shared" si="81"/>
        <v>9</v>
      </c>
      <c r="J261" s="73">
        <f t="shared" si="82"/>
        <v>2040</v>
      </c>
      <c r="K261" s="78">
        <f t="shared" si="83"/>
        <v>51380</v>
      </c>
      <c r="M261" s="41">
        <v>2.1000000000000001E-2</v>
      </c>
      <c r="O261" s="175"/>
      <c r="P261" s="175"/>
    </row>
    <row r="262" spans="2:20" outlineLevel="1">
      <c r="B262" s="192">
        <f t="shared" si="74"/>
        <v>51410</v>
      </c>
      <c r="C262" s="177">
        <f t="shared" si="84"/>
        <v>2961187.1393720023</v>
      </c>
      <c r="D262" s="178">
        <f>IF(ISNUMBER($F262)*SUM(F262:F273)&lt;&gt;0,VLOOKUP($J262,'Table 1'!$B$13:$C$33,2,FALSE)/12*1000*Study_MW,0)</f>
        <v>1300746.4991616174</v>
      </c>
      <c r="E262" s="178">
        <f t="shared" si="85"/>
        <v>4261933.6385336202</v>
      </c>
      <c r="F262" s="177">
        <v>74400</v>
      </c>
      <c r="G262" s="179">
        <f t="shared" si="86"/>
        <v>57.284054281365862</v>
      </c>
      <c r="I262" s="77">
        <f t="shared" si="81"/>
        <v>10</v>
      </c>
      <c r="J262" s="73">
        <f t="shared" si="82"/>
        <v>2040</v>
      </c>
      <c r="K262" s="78">
        <f t="shared" si="83"/>
        <v>51410</v>
      </c>
      <c r="M262" s="41">
        <v>2.1000000000000001E-2</v>
      </c>
    </row>
    <row r="263" spans="2:20" outlineLevel="1">
      <c r="B263" s="192">
        <f t="shared" si="74"/>
        <v>51441</v>
      </c>
      <c r="C263" s="177">
        <f t="shared" si="84"/>
        <v>2947139.6833411246</v>
      </c>
      <c r="D263" s="178">
        <f>IF(ISNUMBER($F263)*SUM(F263:F274)&lt;&gt;0,VLOOKUP($J263,'Table 1'!$B$13:$C$33,2,FALSE)/12*1000*Study_MW,0)</f>
        <v>1300746.4991616174</v>
      </c>
      <c r="E263" s="178">
        <f t="shared" si="85"/>
        <v>4247886.1825027419</v>
      </c>
      <c r="F263" s="177">
        <v>72000</v>
      </c>
      <c r="G263" s="179">
        <f t="shared" si="86"/>
        <v>58.998419201426969</v>
      </c>
      <c r="I263" s="77">
        <f t="shared" si="81"/>
        <v>11</v>
      </c>
      <c r="J263" s="73">
        <f t="shared" si="82"/>
        <v>2040</v>
      </c>
      <c r="K263" s="78">
        <f t="shared" si="83"/>
        <v>51441</v>
      </c>
      <c r="M263" s="41">
        <v>2.1000000000000001E-2</v>
      </c>
    </row>
    <row r="264" spans="2:20" outlineLevel="1">
      <c r="B264" s="193">
        <f t="shared" si="74"/>
        <v>51471</v>
      </c>
      <c r="C264" s="180">
        <f t="shared" si="84"/>
        <v>3518102.0010378473</v>
      </c>
      <c r="D264" s="181">
        <f>IF(ISNUMBER($F264)*SUM(F264:F275)&lt;&gt;0,VLOOKUP($J264,'Table 1'!$B$13:$C$33,2,FALSE)/12*1000*Study_MW,0)</f>
        <v>1300746.4991616174</v>
      </c>
      <c r="E264" s="181">
        <f t="shared" si="85"/>
        <v>4818848.5001994651</v>
      </c>
      <c r="F264" s="180">
        <v>74400</v>
      </c>
      <c r="G264" s="182">
        <f t="shared" si="86"/>
        <v>64.769469088702493</v>
      </c>
      <c r="I264" s="64">
        <f t="shared" si="81"/>
        <v>12</v>
      </c>
      <c r="J264" s="73">
        <f t="shared" si="82"/>
        <v>2040</v>
      </c>
      <c r="K264" s="82">
        <f t="shared" si="83"/>
        <v>51471</v>
      </c>
      <c r="M264" s="41">
        <v>2.1000000000000001E-2</v>
      </c>
    </row>
    <row r="265" spans="2:20" outlineLevel="1">
      <c r="B265" s="191">
        <f t="shared" si="74"/>
        <v>51502</v>
      </c>
      <c r="C265" s="183">
        <f>(C253*(1+M265))*IF(AND(MONTH(K265)=2,OR(J253=2036,J253=2040)),28/29,1)</f>
        <v>3365774.3674439974</v>
      </c>
      <c r="D265" s="184">
        <f>IF(ISNUMBER($F265)*SUM(F265:F276)&lt;&gt;0,VLOOKUP($J265,'Table 1'!$B$13:$C$38,2,FALSE)/12*1000*Study_MW,0)</f>
        <v>1327995.8145352779</v>
      </c>
      <c r="E265" s="184">
        <f t="shared" si="85"/>
        <v>4693770.1819792753</v>
      </c>
      <c r="F265" s="183">
        <v>74400</v>
      </c>
      <c r="G265" s="185">
        <f t="shared" si="86"/>
        <v>63.088308897570904</v>
      </c>
      <c r="I265" s="60">
        <f>I145</f>
        <v>14</v>
      </c>
      <c r="J265" s="73">
        <f t="shared" si="82"/>
        <v>2041</v>
      </c>
      <c r="K265" s="74">
        <f t="shared" si="83"/>
        <v>51502</v>
      </c>
      <c r="M265" s="41">
        <v>2.1000000000000001E-2</v>
      </c>
      <c r="O265" s="175"/>
      <c r="P265" s="175"/>
      <c r="T265" s="175"/>
    </row>
    <row r="266" spans="2:20" outlineLevel="1">
      <c r="B266" s="192">
        <f t="shared" si="74"/>
        <v>51533</v>
      </c>
      <c r="C266" s="177">
        <f t="shared" ref="C266:C276" si="87">(C254*(1+M266))*IF(AND(MONTH(K266)=2,OR(J254=2036,J254=2040)),28/29,1)</f>
        <v>2516124.9018333908</v>
      </c>
      <c r="D266" s="178">
        <f>IF(ISNUMBER($F266)*SUM(F266:F277)&lt;&gt;0,VLOOKUP($J266,'Table 1'!$B$13:$C$38,2,FALSE)/12*1000*Study_MW,0)</f>
        <v>1327995.8145352779</v>
      </c>
      <c r="E266" s="178">
        <f t="shared" si="85"/>
        <v>3844120.7163686687</v>
      </c>
      <c r="F266" s="177">
        <v>64882.758620689659</v>
      </c>
      <c r="G266" s="179">
        <f t="shared" si="86"/>
        <v>59.247183660018806</v>
      </c>
      <c r="I266" s="77">
        <f t="shared" si="81"/>
        <v>15</v>
      </c>
      <c r="J266" s="73">
        <f t="shared" si="82"/>
        <v>2041</v>
      </c>
      <c r="K266" s="78">
        <f t="shared" si="83"/>
        <v>51533</v>
      </c>
      <c r="M266" s="41">
        <v>2.1000000000000001E-2</v>
      </c>
      <c r="O266" s="175"/>
      <c r="P266" s="175"/>
      <c r="T266" s="175"/>
    </row>
    <row r="267" spans="2:20" outlineLevel="1">
      <c r="B267" s="192">
        <f t="shared" si="74"/>
        <v>51561</v>
      </c>
      <c r="C267" s="177">
        <f t="shared" si="87"/>
        <v>2458809.2898971713</v>
      </c>
      <c r="D267" s="178">
        <f>IF(ISNUMBER($F267)*SUM(F267:F278)&lt;&gt;0,VLOOKUP($J267,'Table 1'!$B$13:$C$38,2,FALSE)/12*1000*Study_MW,0)</f>
        <v>1327995.8145352779</v>
      </c>
      <c r="E267" s="178">
        <f t="shared" si="85"/>
        <v>3786805.1044324492</v>
      </c>
      <c r="F267" s="177">
        <v>74400</v>
      </c>
      <c r="G267" s="179">
        <f t="shared" si="86"/>
        <v>50.897918070328622</v>
      </c>
      <c r="I267" s="77">
        <f t="shared" si="81"/>
        <v>16</v>
      </c>
      <c r="J267" s="73">
        <f t="shared" si="82"/>
        <v>2041</v>
      </c>
      <c r="K267" s="78">
        <f t="shared" si="83"/>
        <v>51561</v>
      </c>
      <c r="M267" s="41">
        <v>2.1000000000000001E-2</v>
      </c>
      <c r="O267" s="175"/>
      <c r="P267" s="175"/>
      <c r="T267" s="175"/>
    </row>
    <row r="268" spans="2:20" outlineLevel="1">
      <c r="B268" s="192">
        <f t="shared" si="74"/>
        <v>51592</v>
      </c>
      <c r="C268" s="177">
        <f t="shared" si="87"/>
        <v>2178296.7386382734</v>
      </c>
      <c r="D268" s="178">
        <f>IF(ISNUMBER($F268)*SUM(F268:F279)&lt;&gt;0,VLOOKUP($J268,'Table 1'!$B$13:$C$38,2,FALSE)/12*1000*Study_MW,0)</f>
        <v>1327995.8145352779</v>
      </c>
      <c r="E268" s="178">
        <f t="shared" si="85"/>
        <v>3506292.5531735513</v>
      </c>
      <c r="F268" s="177">
        <v>72000</v>
      </c>
      <c r="G268" s="179">
        <f t="shared" si="86"/>
        <v>48.698507682965989</v>
      </c>
      <c r="I268" s="77">
        <f t="shared" si="81"/>
        <v>17</v>
      </c>
      <c r="J268" s="73">
        <f t="shared" si="82"/>
        <v>2041</v>
      </c>
      <c r="K268" s="78">
        <f t="shared" si="83"/>
        <v>51592</v>
      </c>
      <c r="M268" s="41">
        <v>2.1000000000000001E-2</v>
      </c>
      <c r="O268" s="175"/>
      <c r="P268" s="175"/>
      <c r="T268" s="175"/>
    </row>
    <row r="269" spans="2:20" outlineLevel="1">
      <c r="B269" s="192">
        <f t="shared" si="74"/>
        <v>51622</v>
      </c>
      <c r="C269" s="177">
        <f t="shared" si="87"/>
        <v>1996676.7113405226</v>
      </c>
      <c r="D269" s="178">
        <f>IF(ISNUMBER($F269)*SUM(F269:F280)&lt;&gt;0,VLOOKUP($J269,'Table 1'!$B$13:$C$38,2,FALSE)/12*1000*Study_MW,0)</f>
        <v>1327995.8145352779</v>
      </c>
      <c r="E269" s="178">
        <f t="shared" si="85"/>
        <v>3324672.5258758003</v>
      </c>
      <c r="F269" s="177">
        <v>74400</v>
      </c>
      <c r="G269" s="179">
        <f t="shared" si="86"/>
        <v>44.686458681126346</v>
      </c>
      <c r="I269" s="77">
        <f t="shared" si="81"/>
        <v>18</v>
      </c>
      <c r="J269" s="73">
        <f t="shared" si="82"/>
        <v>2041</v>
      </c>
      <c r="K269" s="78">
        <f t="shared" si="83"/>
        <v>51622</v>
      </c>
      <c r="M269" s="41">
        <v>2.1000000000000001E-2</v>
      </c>
      <c r="O269" s="175"/>
      <c r="P269" s="175"/>
      <c r="T269" s="175"/>
    </row>
    <row r="270" spans="2:20" outlineLevel="1">
      <c r="B270" s="192">
        <f t="shared" si="74"/>
        <v>51653</v>
      </c>
      <c r="C270" s="177">
        <f t="shared" si="87"/>
        <v>2540613.6598559758</v>
      </c>
      <c r="D270" s="178">
        <f>IF(ISNUMBER($F270)*SUM(F270:F281)&lt;&gt;0,VLOOKUP($J270,'Table 1'!$B$13:$C$38,2,FALSE)/12*1000*Study_MW,0)</f>
        <v>1327995.8145352779</v>
      </c>
      <c r="E270" s="178">
        <f t="shared" si="85"/>
        <v>3868609.4743912537</v>
      </c>
      <c r="F270" s="177">
        <v>72000</v>
      </c>
      <c r="G270" s="179">
        <f t="shared" si="86"/>
        <v>53.730687144322971</v>
      </c>
      <c r="I270" s="77">
        <f t="shared" si="81"/>
        <v>19</v>
      </c>
      <c r="J270" s="73">
        <f t="shared" si="82"/>
        <v>2041</v>
      </c>
      <c r="K270" s="78">
        <f t="shared" si="83"/>
        <v>51653</v>
      </c>
      <c r="M270" s="41">
        <v>2.1000000000000001E-2</v>
      </c>
      <c r="O270" s="175"/>
      <c r="P270" s="175"/>
      <c r="T270" s="175"/>
    </row>
    <row r="271" spans="2:20" outlineLevel="1">
      <c r="B271" s="192">
        <f t="shared" si="74"/>
        <v>51683</v>
      </c>
      <c r="C271" s="177">
        <f t="shared" si="87"/>
        <v>3762628.3083084556</v>
      </c>
      <c r="D271" s="178">
        <f>IF(ISNUMBER($F271)*SUM(F271:F282)&lt;&gt;0,VLOOKUP($J271,'Table 1'!$B$13:$C$38,2,FALSE)/12*1000*Study_MW,0)</f>
        <v>1327995.8145352779</v>
      </c>
      <c r="E271" s="178">
        <f t="shared" si="85"/>
        <v>5090624.1228437331</v>
      </c>
      <c r="F271" s="177">
        <v>74400</v>
      </c>
      <c r="G271" s="179">
        <f t="shared" si="86"/>
        <v>68.422367242523293</v>
      </c>
      <c r="I271" s="77">
        <f t="shared" si="81"/>
        <v>20</v>
      </c>
      <c r="J271" s="73">
        <f t="shared" si="82"/>
        <v>2041</v>
      </c>
      <c r="K271" s="78">
        <f t="shared" si="83"/>
        <v>51683</v>
      </c>
      <c r="M271" s="41">
        <v>2.1000000000000001E-2</v>
      </c>
      <c r="O271" s="175"/>
      <c r="P271" s="175"/>
    </row>
    <row r="272" spans="2:20" outlineLevel="1">
      <c r="B272" s="192">
        <f t="shared" si="74"/>
        <v>51714</v>
      </c>
      <c r="C272" s="177">
        <f t="shared" si="87"/>
        <v>3860299.6540171588</v>
      </c>
      <c r="D272" s="178">
        <f>IF(ISNUMBER($F272)*SUM(F272:F283)&lt;&gt;0,VLOOKUP($J272,'Table 1'!$B$13:$C$38,2,FALSE)/12*1000*Study_MW,0)</f>
        <v>1327995.8145352779</v>
      </c>
      <c r="E272" s="178">
        <f t="shared" si="85"/>
        <v>5188295.4685524367</v>
      </c>
      <c r="F272" s="177">
        <v>74400</v>
      </c>
      <c r="G272" s="179">
        <f t="shared" si="86"/>
        <v>69.735154147210167</v>
      </c>
      <c r="I272" s="77">
        <f t="shared" si="81"/>
        <v>21</v>
      </c>
      <c r="J272" s="73">
        <f t="shared" si="82"/>
        <v>2041</v>
      </c>
      <c r="K272" s="78">
        <f t="shared" si="83"/>
        <v>51714</v>
      </c>
      <c r="M272" s="41">
        <v>2.1000000000000001E-2</v>
      </c>
      <c r="O272" s="175"/>
      <c r="P272" s="175"/>
    </row>
    <row r="273" spans="2:20" outlineLevel="1">
      <c r="B273" s="192">
        <f t="shared" si="74"/>
        <v>51745</v>
      </c>
      <c r="C273" s="177">
        <f t="shared" si="87"/>
        <v>2912931.4216430834</v>
      </c>
      <c r="D273" s="178">
        <f>IF(ISNUMBER($F273)*SUM(F273:F284)&lt;&gt;0,VLOOKUP($J273,'Table 1'!$B$13:$C$38,2,FALSE)/12*1000*Study_MW,0)</f>
        <v>1327995.8145352779</v>
      </c>
      <c r="E273" s="178">
        <f t="shared" si="85"/>
        <v>4240927.2361783609</v>
      </c>
      <c r="F273" s="177">
        <v>72000</v>
      </c>
      <c r="G273" s="179">
        <f t="shared" si="86"/>
        <v>58.901767169143902</v>
      </c>
      <c r="I273" s="77">
        <f t="shared" si="81"/>
        <v>22</v>
      </c>
      <c r="J273" s="73">
        <f t="shared" si="82"/>
        <v>2041</v>
      </c>
      <c r="K273" s="78">
        <f t="shared" si="83"/>
        <v>51745</v>
      </c>
      <c r="M273" s="41">
        <v>2.1000000000000001E-2</v>
      </c>
      <c r="O273" s="175"/>
      <c r="P273" s="175"/>
    </row>
    <row r="274" spans="2:20" outlineLevel="1">
      <c r="B274" s="192">
        <f t="shared" si="74"/>
        <v>51775</v>
      </c>
      <c r="C274" s="177">
        <f t="shared" si="87"/>
        <v>3023372.0692988141</v>
      </c>
      <c r="D274" s="178">
        <f>IF(ISNUMBER($F274)*SUM(F274:F285)&lt;&gt;0,VLOOKUP($J274,'Table 1'!$B$13:$C$38,2,FALSE)/12*1000*Study_MW,0)</f>
        <v>1327995.8145352779</v>
      </c>
      <c r="E274" s="178">
        <f t="shared" si="85"/>
        <v>4351367.8838340919</v>
      </c>
      <c r="F274" s="177">
        <v>74400</v>
      </c>
      <c r="G274" s="179">
        <f t="shared" si="86"/>
        <v>58.486127470888334</v>
      </c>
      <c r="I274" s="77">
        <f t="shared" si="81"/>
        <v>23</v>
      </c>
      <c r="J274" s="73">
        <f t="shared" si="82"/>
        <v>2041</v>
      </c>
      <c r="K274" s="78">
        <f t="shared" si="83"/>
        <v>51775</v>
      </c>
      <c r="M274" s="41">
        <v>2.1000000000000001E-2</v>
      </c>
    </row>
    <row r="275" spans="2:20" outlineLevel="1">
      <c r="B275" s="192">
        <f t="shared" si="74"/>
        <v>51806</v>
      </c>
      <c r="C275" s="177">
        <f t="shared" si="87"/>
        <v>3009029.6166912881</v>
      </c>
      <c r="D275" s="178">
        <f>IF(ISNUMBER($F275)*SUM(F275:F286)&lt;&gt;0,VLOOKUP($J275,'Table 1'!$B$13:$C$38,2,FALSE)/12*1000*Study_MW,0)</f>
        <v>1327995.8145352779</v>
      </c>
      <c r="E275" s="178">
        <f t="shared" si="85"/>
        <v>4337025.4312265664</v>
      </c>
      <c r="F275" s="177">
        <v>72000</v>
      </c>
      <c r="G275" s="179">
        <f t="shared" si="86"/>
        <v>60.236464322591203</v>
      </c>
      <c r="I275" s="77">
        <f t="shared" si="81"/>
        <v>24</v>
      </c>
      <c r="J275" s="73">
        <f t="shared" si="82"/>
        <v>2041</v>
      </c>
      <c r="K275" s="78">
        <f t="shared" si="83"/>
        <v>51806</v>
      </c>
      <c r="M275" s="41">
        <v>2.1000000000000001E-2</v>
      </c>
    </row>
    <row r="276" spans="2:20" outlineLevel="1">
      <c r="B276" s="193">
        <f t="shared" si="74"/>
        <v>51836</v>
      </c>
      <c r="C276" s="180">
        <f t="shared" si="87"/>
        <v>3591982.1430596416</v>
      </c>
      <c r="D276" s="181">
        <f>IF(ISNUMBER($F276)*SUM(F276:F287)&lt;&gt;0,VLOOKUP($J276,'Table 1'!$B$13:$C$38,2,FALSE)/12*1000*Study_MW,0)</f>
        <v>1327995.8145352779</v>
      </c>
      <c r="E276" s="181">
        <f t="shared" si="85"/>
        <v>4919977.9575949199</v>
      </c>
      <c r="F276" s="180">
        <v>74400</v>
      </c>
      <c r="G276" s="182">
        <f t="shared" si="86"/>
        <v>66.128735989179035</v>
      </c>
      <c r="I276" s="64">
        <f t="shared" si="81"/>
        <v>25</v>
      </c>
      <c r="J276" s="73">
        <f t="shared" si="82"/>
        <v>2041</v>
      </c>
      <c r="K276" s="82">
        <f t="shared" si="83"/>
        <v>51836</v>
      </c>
      <c r="M276" s="41">
        <v>2.1000000000000001E-2</v>
      </c>
    </row>
    <row r="277" spans="2:20" outlineLevel="1">
      <c r="B277" s="191">
        <f t="shared" si="74"/>
        <v>51867</v>
      </c>
      <c r="C277" s="183">
        <f>(C265*(1+M277))*IF(AND(MONTH(K277)=2,OR(J265=2036,J265=2040)),28/29,1)</f>
        <v>3436455.6291603209</v>
      </c>
      <c r="D277" s="184">
        <f>IF(ISNUMBER($F277)*SUM(F277:F288)&lt;&gt;0,VLOOKUP($J277,'Table 1'!$B$13:$C$38,2,FALSE)/12*1000*Study_MW,0)</f>
        <v>1355932.8097921854</v>
      </c>
      <c r="E277" s="184">
        <f t="shared" ref="E277:E288" si="88">C277+D277</f>
        <v>4792388.4389525065</v>
      </c>
      <c r="F277" s="183">
        <v>74400</v>
      </c>
      <c r="G277" s="185">
        <f t="shared" ref="G277:G288" si="89">IFERROR(E277/$F277,0)</f>
        <v>64.413823104200361</v>
      </c>
      <c r="I277" s="60">
        <f>I157</f>
        <v>27</v>
      </c>
      <c r="J277" s="73">
        <f t="shared" ref="J277:J288" si="90">YEAR(B277)</f>
        <v>2042</v>
      </c>
      <c r="K277" s="74">
        <f t="shared" ref="K277:K288" si="91">IF(ISNUMBER(F277),IF(F277&lt;&gt;0,B277,""),"")</f>
        <v>51867</v>
      </c>
      <c r="M277" s="41">
        <v>2.1000000000000001E-2</v>
      </c>
      <c r="O277" s="175"/>
      <c r="P277" s="175"/>
      <c r="T277" s="175"/>
    </row>
    <row r="278" spans="2:20" outlineLevel="1">
      <c r="B278" s="192">
        <f t="shared" si="74"/>
        <v>51898</v>
      </c>
      <c r="C278" s="177">
        <f t="shared" ref="C278:C288" si="92">(C266*(1+M278))*IF(AND(MONTH(K278)=2,OR(J266=2036,J266=2040)),28/29,1)</f>
        <v>2568963.524771892</v>
      </c>
      <c r="D278" s="178">
        <f>IF(ISNUMBER($F278)*SUM(F278:F289)&lt;&gt;0,VLOOKUP($J278,'Table 1'!$B$13:$C$38,2,FALSE)/12*1000*Study_MW,0)</f>
        <v>1355932.8097921854</v>
      </c>
      <c r="E278" s="178">
        <f t="shared" si="88"/>
        <v>3924896.3345640777</v>
      </c>
      <c r="F278" s="177">
        <v>64882.758620689659</v>
      </c>
      <c r="G278" s="179">
        <f t="shared" si="89"/>
        <v>60.492131006780532</v>
      </c>
      <c r="I278" s="77">
        <f t="shared" si="81"/>
        <v>28</v>
      </c>
      <c r="J278" s="73">
        <f t="shared" si="90"/>
        <v>2042</v>
      </c>
      <c r="K278" s="78">
        <f t="shared" si="91"/>
        <v>51898</v>
      </c>
      <c r="M278" s="41">
        <v>2.1000000000000001E-2</v>
      </c>
      <c r="O278" s="175"/>
      <c r="P278" s="175"/>
      <c r="T278" s="175"/>
    </row>
    <row r="279" spans="2:20" outlineLevel="1">
      <c r="B279" s="192">
        <f t="shared" si="74"/>
        <v>51926</v>
      </c>
      <c r="C279" s="177">
        <f t="shared" si="92"/>
        <v>2510444.2849850119</v>
      </c>
      <c r="D279" s="178">
        <f>IF(ISNUMBER($F279)*SUM(F279:F290)&lt;&gt;0,VLOOKUP($J279,'Table 1'!$B$13:$C$38,2,FALSE)/12*1000*Study_MW,0)</f>
        <v>1355932.8097921854</v>
      </c>
      <c r="E279" s="178">
        <f t="shared" si="88"/>
        <v>3866377.0947771976</v>
      </c>
      <c r="F279" s="177">
        <v>74400</v>
      </c>
      <c r="G279" s="179">
        <f t="shared" si="89"/>
        <v>51.967434069585991</v>
      </c>
      <c r="I279" s="77">
        <f t="shared" si="81"/>
        <v>29</v>
      </c>
      <c r="J279" s="73">
        <f t="shared" si="90"/>
        <v>2042</v>
      </c>
      <c r="K279" s="78">
        <f t="shared" si="91"/>
        <v>51926</v>
      </c>
      <c r="M279" s="41">
        <v>2.1000000000000001E-2</v>
      </c>
      <c r="O279" s="175"/>
      <c r="P279" s="175"/>
      <c r="T279" s="175"/>
    </row>
    <row r="280" spans="2:20" outlineLevel="1">
      <c r="B280" s="192">
        <f t="shared" si="74"/>
        <v>51957</v>
      </c>
      <c r="C280" s="177">
        <f t="shared" si="92"/>
        <v>2224040.9701496768</v>
      </c>
      <c r="D280" s="178">
        <f>IF(ISNUMBER($F280)*SUM(F280:F291)&lt;&gt;0,VLOOKUP($J280,'Table 1'!$B$13:$C$38,2,FALSE)/12*1000*Study_MW,0)</f>
        <v>1355932.8097921854</v>
      </c>
      <c r="E280" s="178">
        <f t="shared" si="88"/>
        <v>3579973.7799418624</v>
      </c>
      <c r="F280" s="177">
        <v>72000</v>
      </c>
      <c r="G280" s="179">
        <f t="shared" si="89"/>
        <v>49.72185805474809</v>
      </c>
      <c r="I280" s="77">
        <f t="shared" si="81"/>
        <v>30</v>
      </c>
      <c r="J280" s="73">
        <f t="shared" si="90"/>
        <v>2042</v>
      </c>
      <c r="K280" s="78">
        <f t="shared" si="91"/>
        <v>51957</v>
      </c>
      <c r="M280" s="41">
        <v>2.1000000000000001E-2</v>
      </c>
      <c r="O280" s="175"/>
      <c r="P280" s="175"/>
      <c r="T280" s="175"/>
    </row>
    <row r="281" spans="2:20" outlineLevel="1">
      <c r="B281" s="192">
        <f t="shared" si="74"/>
        <v>51987</v>
      </c>
      <c r="C281" s="177">
        <f t="shared" si="92"/>
        <v>2038606.9222786734</v>
      </c>
      <c r="D281" s="178">
        <f>IF(ISNUMBER($F281)*SUM(F281:F292)&lt;&gt;0,VLOOKUP($J281,'Table 1'!$B$13:$C$38,2,FALSE)/12*1000*Study_MW,0)</f>
        <v>1355932.8097921854</v>
      </c>
      <c r="E281" s="178">
        <f t="shared" si="88"/>
        <v>3394539.7320708586</v>
      </c>
      <c r="F281" s="177">
        <v>74400</v>
      </c>
      <c r="G281" s="179">
        <f t="shared" si="89"/>
        <v>45.625534033210464</v>
      </c>
      <c r="I281" s="77">
        <f t="shared" si="81"/>
        <v>31</v>
      </c>
      <c r="J281" s="73">
        <f t="shared" si="90"/>
        <v>2042</v>
      </c>
      <c r="K281" s="78">
        <f t="shared" si="91"/>
        <v>51987</v>
      </c>
      <c r="M281" s="41">
        <v>2.1000000000000001E-2</v>
      </c>
      <c r="O281" s="175"/>
      <c r="P281" s="175"/>
      <c r="T281" s="175"/>
    </row>
    <row r="282" spans="2:20" outlineLevel="1">
      <c r="B282" s="192">
        <f t="shared" si="74"/>
        <v>52018</v>
      </c>
      <c r="C282" s="177">
        <f t="shared" si="92"/>
        <v>2593966.5467129508</v>
      </c>
      <c r="D282" s="178">
        <f>IF(ISNUMBER($F282)*SUM(F282:F293)&lt;&gt;0,VLOOKUP($J282,'Table 1'!$B$13:$C$38,2,FALSE)/12*1000*Study_MW,0)</f>
        <v>1355932.8097921854</v>
      </c>
      <c r="E282" s="178">
        <f t="shared" si="88"/>
        <v>3949899.356505136</v>
      </c>
      <c r="F282" s="177">
        <v>72000</v>
      </c>
      <c r="G282" s="179">
        <f t="shared" si="89"/>
        <v>54.859713284793557</v>
      </c>
      <c r="I282" s="77">
        <f t="shared" si="81"/>
        <v>32</v>
      </c>
      <c r="J282" s="73">
        <f t="shared" si="90"/>
        <v>2042</v>
      </c>
      <c r="K282" s="78">
        <f t="shared" si="91"/>
        <v>52018</v>
      </c>
      <c r="M282" s="41">
        <v>2.1000000000000001E-2</v>
      </c>
      <c r="O282" s="175"/>
      <c r="P282" s="175"/>
      <c r="T282" s="175"/>
    </row>
    <row r="283" spans="2:20" outlineLevel="1">
      <c r="B283" s="192">
        <f t="shared" si="74"/>
        <v>52048</v>
      </c>
      <c r="C283" s="177">
        <f t="shared" si="92"/>
        <v>3841643.5027829329</v>
      </c>
      <c r="D283" s="178">
        <f>IF(ISNUMBER($F283)*SUM(F283:F294)&lt;&gt;0,VLOOKUP($J283,'Table 1'!$B$13:$C$38,2,FALSE)/12*1000*Study_MW,0)</f>
        <v>1355932.8097921854</v>
      </c>
      <c r="E283" s="178">
        <f t="shared" si="88"/>
        <v>5197576.3125751186</v>
      </c>
      <c r="F283" s="177">
        <v>74400</v>
      </c>
      <c r="G283" s="179">
        <f t="shared" si="89"/>
        <v>69.859896674396751</v>
      </c>
      <c r="I283" s="77">
        <f t="shared" si="81"/>
        <v>33</v>
      </c>
      <c r="J283" s="73">
        <f t="shared" si="90"/>
        <v>2042</v>
      </c>
      <c r="K283" s="78">
        <f t="shared" si="91"/>
        <v>52048</v>
      </c>
      <c r="M283" s="41">
        <v>2.1000000000000001E-2</v>
      </c>
      <c r="O283" s="175"/>
      <c r="P283" s="175"/>
    </row>
    <row r="284" spans="2:20" outlineLevel="1">
      <c r="B284" s="192">
        <f t="shared" si="74"/>
        <v>52079</v>
      </c>
      <c r="C284" s="177">
        <f t="shared" si="92"/>
        <v>3941365.9467515186</v>
      </c>
      <c r="D284" s="178">
        <f>IF(ISNUMBER($F284)*SUM(F284:F295)&lt;&gt;0,VLOOKUP($J284,'Table 1'!$B$13:$C$38,2,FALSE)/12*1000*Study_MW,0)</f>
        <v>1355932.8097921854</v>
      </c>
      <c r="E284" s="178">
        <f t="shared" si="88"/>
        <v>5297298.7565437043</v>
      </c>
      <c r="F284" s="177">
        <v>74400</v>
      </c>
      <c r="G284" s="179">
        <f t="shared" si="89"/>
        <v>71.200252104082054</v>
      </c>
      <c r="I284" s="77">
        <f t="shared" si="81"/>
        <v>34</v>
      </c>
      <c r="J284" s="73">
        <f t="shared" si="90"/>
        <v>2042</v>
      </c>
      <c r="K284" s="78">
        <f t="shared" si="91"/>
        <v>52079</v>
      </c>
      <c r="M284" s="41">
        <v>2.1000000000000001E-2</v>
      </c>
      <c r="O284" s="175"/>
      <c r="P284" s="175"/>
    </row>
    <row r="285" spans="2:20" outlineLevel="1">
      <c r="B285" s="192">
        <f t="shared" si="74"/>
        <v>52110</v>
      </c>
      <c r="C285" s="177">
        <f t="shared" si="92"/>
        <v>2974102.9814975881</v>
      </c>
      <c r="D285" s="178">
        <f>IF(ISNUMBER($F285)*SUM(F285:F296)&lt;&gt;0,VLOOKUP($J285,'Table 1'!$B$13:$C$38,2,FALSE)/12*1000*Study_MW,0)</f>
        <v>1355932.8097921854</v>
      </c>
      <c r="E285" s="178">
        <f t="shared" si="88"/>
        <v>4330035.7912897738</v>
      </c>
      <c r="F285" s="177">
        <v>72000</v>
      </c>
      <c r="G285" s="179">
        <f t="shared" si="89"/>
        <v>60.13938599013575</v>
      </c>
      <c r="I285" s="77">
        <f t="shared" si="81"/>
        <v>35</v>
      </c>
      <c r="J285" s="73">
        <f t="shared" si="90"/>
        <v>2042</v>
      </c>
      <c r="K285" s="78">
        <f t="shared" si="91"/>
        <v>52110</v>
      </c>
      <c r="M285" s="41">
        <v>2.1000000000000001E-2</v>
      </c>
      <c r="O285" s="175"/>
      <c r="P285" s="175"/>
    </row>
    <row r="286" spans="2:20" outlineLevel="1">
      <c r="B286" s="192">
        <f t="shared" si="74"/>
        <v>52140</v>
      </c>
      <c r="C286" s="177">
        <f t="shared" si="92"/>
        <v>3086862.8827540888</v>
      </c>
      <c r="D286" s="178">
        <f>IF(ISNUMBER($F286)*SUM(F286:F297)&lt;&gt;0,VLOOKUP($J286,'Table 1'!$B$13:$C$38,2,FALSE)/12*1000*Study_MW,0)</f>
        <v>1355932.8097921854</v>
      </c>
      <c r="E286" s="178">
        <f t="shared" si="88"/>
        <v>4442795.6925462745</v>
      </c>
      <c r="F286" s="177">
        <v>74400</v>
      </c>
      <c r="G286" s="179">
        <f t="shared" si="89"/>
        <v>59.714995867557455</v>
      </c>
      <c r="I286" s="77">
        <f t="shared" si="81"/>
        <v>36</v>
      </c>
      <c r="J286" s="73">
        <f t="shared" si="90"/>
        <v>2042</v>
      </c>
      <c r="K286" s="78">
        <f t="shared" si="91"/>
        <v>52140</v>
      </c>
      <c r="M286" s="41">
        <v>2.1000000000000001E-2</v>
      </c>
    </row>
    <row r="287" spans="2:20" outlineLevel="1">
      <c r="B287" s="192">
        <f t="shared" si="74"/>
        <v>52171</v>
      </c>
      <c r="C287" s="177">
        <f t="shared" si="92"/>
        <v>3072219.238641805</v>
      </c>
      <c r="D287" s="178">
        <f>IF(ISNUMBER($F287)*SUM(F287:F298)&lt;&gt;0,VLOOKUP($J287,'Table 1'!$B$13:$C$38,2,FALSE)/12*1000*Study_MW,0)</f>
        <v>1355932.8097921854</v>
      </c>
      <c r="E287" s="178">
        <f t="shared" si="88"/>
        <v>4428152.0484339902</v>
      </c>
      <c r="F287" s="177">
        <v>72000</v>
      </c>
      <c r="G287" s="179">
        <f t="shared" si="89"/>
        <v>61.502111783805418</v>
      </c>
      <c r="I287" s="77">
        <f t="shared" si="81"/>
        <v>37</v>
      </c>
      <c r="J287" s="73">
        <f t="shared" si="90"/>
        <v>2042</v>
      </c>
      <c r="K287" s="78">
        <f t="shared" si="91"/>
        <v>52171</v>
      </c>
      <c r="M287" s="41">
        <v>2.1000000000000001E-2</v>
      </c>
    </row>
    <row r="288" spans="2:20" outlineLevel="1">
      <c r="B288" s="193">
        <f t="shared" si="74"/>
        <v>52201</v>
      </c>
      <c r="C288" s="180">
        <f t="shared" si="92"/>
        <v>3667413.7680638935</v>
      </c>
      <c r="D288" s="181">
        <f>IF(ISNUMBER($F288)*SUM(F288:F299)&lt;&gt;0,VLOOKUP($J288,'Table 1'!$B$13:$C$38,2,FALSE)/12*1000*Study_MW,0)</f>
        <v>1355932.8097921854</v>
      </c>
      <c r="E288" s="181">
        <f t="shared" si="88"/>
        <v>5023346.5778560787</v>
      </c>
      <c r="F288" s="180">
        <v>74400</v>
      </c>
      <c r="G288" s="182">
        <f t="shared" si="89"/>
        <v>67.518099164732234</v>
      </c>
      <c r="I288" s="64">
        <f t="shared" si="81"/>
        <v>38</v>
      </c>
      <c r="J288" s="73">
        <f t="shared" si="90"/>
        <v>2042</v>
      </c>
      <c r="K288" s="82">
        <f t="shared" si="91"/>
        <v>52201</v>
      </c>
      <c r="M288" s="41">
        <v>2.1000000000000001E-2</v>
      </c>
    </row>
    <row r="289" spans="2:13">
      <c r="B289" s="191">
        <f t="shared" si="74"/>
        <v>52232</v>
      </c>
      <c r="C289" s="183">
        <f>(C277*(1+M289))*IF(AND(MONTH(K289)=2,OR(J277=2036,J277=2040)),28/29,1)</f>
        <v>3508621.197372687</v>
      </c>
      <c r="D289" s="184">
        <f>IF(ISNUMBER($F289)*SUM(F289:F300)&lt;&gt;0,VLOOKUP($J289,'Table 1'!$B$13:$C$38,2,FALSE)/12*1000*Study_MW,0)</f>
        <v>0</v>
      </c>
      <c r="E289" s="184">
        <f t="shared" ref="E289:E323" si="93">C289+D289</f>
        <v>3508621.197372687</v>
      </c>
      <c r="F289" s="183">
        <v>74400</v>
      </c>
      <c r="G289" s="185">
        <f t="shared" ref="G289:G323" si="94">IFERROR(E289/$F289,0)</f>
        <v>47.158887061460845</v>
      </c>
      <c r="I289" s="60">
        <f>I169</f>
        <v>40</v>
      </c>
      <c r="J289" s="73">
        <f t="shared" ref="J289:J324" si="95">YEAR(B289)</f>
        <v>2043</v>
      </c>
      <c r="K289" s="74">
        <f t="shared" ref="K289:K324" si="96">IF(ISNUMBER(F289),IF(F289&lt;&gt;0,B289,""),"")</f>
        <v>52232</v>
      </c>
      <c r="M289" s="41">
        <v>2.1000000000000001E-2</v>
      </c>
    </row>
    <row r="290" spans="2:13">
      <c r="B290" s="192">
        <f t="shared" si="74"/>
        <v>52263</v>
      </c>
      <c r="C290" s="177">
        <f t="shared" ref="C290:C300" si="97">(C278*(1+M290))*IF(AND(MONTH(K290)=2,OR(J278=2036,J278=2040)),28/29,1)</f>
        <v>2622911.7587921014</v>
      </c>
      <c r="D290" s="178">
        <f>IF(ISNUMBER($F290)*SUM(F290:F301)&lt;&gt;0,VLOOKUP($J290,'Table 1'!$B$13:$C$38,2,FALSE)/12*1000*Study_MW,0)</f>
        <v>0</v>
      </c>
      <c r="E290" s="178">
        <f t="shared" si="93"/>
        <v>2622911.7587921014</v>
      </c>
      <c r="F290" s="177">
        <v>64882.758620689659</v>
      </c>
      <c r="G290" s="179">
        <f t="shared" si="94"/>
        <v>40.425404445669081</v>
      </c>
      <c r="I290" s="77">
        <f t="shared" si="81"/>
        <v>41</v>
      </c>
      <c r="J290" s="73">
        <f t="shared" si="95"/>
        <v>2043</v>
      </c>
      <c r="K290" s="78">
        <f t="shared" si="96"/>
        <v>52263</v>
      </c>
      <c r="M290" s="41">
        <v>2.1000000000000001E-2</v>
      </c>
    </row>
    <row r="291" spans="2:13">
      <c r="B291" s="192">
        <f t="shared" si="74"/>
        <v>52291</v>
      </c>
      <c r="C291" s="177">
        <f t="shared" si="97"/>
        <v>2563163.6149696968</v>
      </c>
      <c r="D291" s="178">
        <f>IF(ISNUMBER($F291)*SUM(F291:F302)&lt;&gt;0,VLOOKUP($J291,'Table 1'!$B$13:$C$38,2,FALSE)/12*1000*Study_MW,0)</f>
        <v>0</v>
      </c>
      <c r="E291" s="178">
        <f t="shared" si="93"/>
        <v>2563163.6149696968</v>
      </c>
      <c r="F291" s="177">
        <v>74400</v>
      </c>
      <c r="G291" s="179">
        <f t="shared" si="94"/>
        <v>34.451123857119583</v>
      </c>
      <c r="I291" s="77">
        <f t="shared" si="81"/>
        <v>42</v>
      </c>
      <c r="J291" s="73">
        <f t="shared" si="95"/>
        <v>2043</v>
      </c>
      <c r="K291" s="78">
        <f t="shared" si="96"/>
        <v>52291</v>
      </c>
      <c r="M291" s="41">
        <v>2.1000000000000001E-2</v>
      </c>
    </row>
    <row r="292" spans="2:13">
      <c r="B292" s="192">
        <f t="shared" si="74"/>
        <v>52322</v>
      </c>
      <c r="C292" s="177">
        <f t="shared" si="97"/>
        <v>2270745.8305228199</v>
      </c>
      <c r="D292" s="178">
        <f>IF(ISNUMBER($F292)*SUM(F292:F303)&lt;&gt;0,VLOOKUP($J292,'Table 1'!$B$13:$C$38,2,FALSE)/12*1000*Study_MW,0)</f>
        <v>0</v>
      </c>
      <c r="E292" s="178">
        <f t="shared" si="93"/>
        <v>2270745.8305228199</v>
      </c>
      <c r="F292" s="177">
        <v>72000</v>
      </c>
      <c r="G292" s="179">
        <f t="shared" si="94"/>
        <v>31.538136535039165</v>
      </c>
      <c r="I292" s="77">
        <f t="shared" si="81"/>
        <v>43</v>
      </c>
      <c r="J292" s="73">
        <f t="shared" si="95"/>
        <v>2043</v>
      </c>
      <c r="K292" s="78">
        <f t="shared" si="96"/>
        <v>52322</v>
      </c>
      <c r="M292" s="41">
        <v>2.1000000000000001E-2</v>
      </c>
    </row>
    <row r="293" spans="2:13">
      <c r="B293" s="192">
        <f t="shared" si="74"/>
        <v>52352</v>
      </c>
      <c r="C293" s="177">
        <f t="shared" si="97"/>
        <v>2081417.6676465254</v>
      </c>
      <c r="D293" s="178">
        <f>IF(ISNUMBER($F293)*SUM(F293:F304)&lt;&gt;0,VLOOKUP($J293,'Table 1'!$B$13:$C$38,2,FALSE)/12*1000*Study_MW,0)</f>
        <v>0</v>
      </c>
      <c r="E293" s="178">
        <f t="shared" si="93"/>
        <v>2081417.6676465254</v>
      </c>
      <c r="F293" s="177">
        <v>74400</v>
      </c>
      <c r="G293" s="179">
        <f t="shared" si="94"/>
        <v>27.976043919980182</v>
      </c>
      <c r="I293" s="77">
        <f t="shared" si="81"/>
        <v>44</v>
      </c>
      <c r="J293" s="73">
        <f t="shared" si="95"/>
        <v>2043</v>
      </c>
      <c r="K293" s="78">
        <f t="shared" si="96"/>
        <v>52352</v>
      </c>
      <c r="M293" s="41">
        <v>2.1000000000000001E-2</v>
      </c>
    </row>
    <row r="294" spans="2:13">
      <c r="B294" s="192">
        <f t="shared" si="74"/>
        <v>52383</v>
      </c>
      <c r="C294" s="177">
        <f t="shared" si="97"/>
        <v>2648439.8441939224</v>
      </c>
      <c r="D294" s="178">
        <f>IF(ISNUMBER($F294)*SUM(F294:F305)&lt;&gt;0,VLOOKUP($J294,'Table 1'!$B$13:$C$38,2,FALSE)/12*1000*Study_MW,0)</f>
        <v>0</v>
      </c>
      <c r="E294" s="178">
        <f t="shared" si="93"/>
        <v>2648439.8441939224</v>
      </c>
      <c r="F294" s="177">
        <v>72000</v>
      </c>
      <c r="G294" s="179">
        <f t="shared" si="94"/>
        <v>36.78388672491559</v>
      </c>
      <c r="I294" s="77">
        <f t="shared" si="81"/>
        <v>45</v>
      </c>
      <c r="J294" s="73">
        <f t="shared" si="95"/>
        <v>2043</v>
      </c>
      <c r="K294" s="78">
        <f t="shared" si="96"/>
        <v>52383</v>
      </c>
      <c r="M294" s="41">
        <v>2.1000000000000001E-2</v>
      </c>
    </row>
    <row r="295" spans="2:13">
      <c r="B295" s="192">
        <f t="shared" si="74"/>
        <v>52413</v>
      </c>
      <c r="C295" s="177">
        <f t="shared" si="97"/>
        <v>3922318.0163413743</v>
      </c>
      <c r="D295" s="178">
        <f>IF(ISNUMBER($F295)*SUM(F295:F306)&lt;&gt;0,VLOOKUP($J295,'Table 1'!$B$13:$C$38,2,FALSE)/12*1000*Study_MW,0)</f>
        <v>0</v>
      </c>
      <c r="E295" s="178">
        <f t="shared" si="93"/>
        <v>3922318.0163413743</v>
      </c>
      <c r="F295" s="177">
        <v>74400</v>
      </c>
      <c r="G295" s="179">
        <f t="shared" si="94"/>
        <v>52.719328176631372</v>
      </c>
      <c r="I295" s="77">
        <f t="shared" si="81"/>
        <v>46</v>
      </c>
      <c r="J295" s="73">
        <f t="shared" si="95"/>
        <v>2043</v>
      </c>
      <c r="K295" s="78">
        <f t="shared" si="96"/>
        <v>52413</v>
      </c>
      <c r="M295" s="41">
        <v>2.1000000000000001E-2</v>
      </c>
    </row>
    <row r="296" spans="2:13">
      <c r="B296" s="192">
        <f t="shared" si="74"/>
        <v>52444</v>
      </c>
      <c r="C296" s="177">
        <f t="shared" si="97"/>
        <v>4024134.6316333003</v>
      </c>
      <c r="D296" s="178">
        <f>IF(ISNUMBER($F296)*SUM(F296:F307)&lt;&gt;0,VLOOKUP($J296,'Table 1'!$B$13:$C$38,2,FALSE)/12*1000*Study_MW,0)</f>
        <v>0</v>
      </c>
      <c r="E296" s="178">
        <f t="shared" si="93"/>
        <v>4024134.6316333003</v>
      </c>
      <c r="F296" s="177">
        <v>74400</v>
      </c>
      <c r="G296" s="179">
        <f t="shared" si="94"/>
        <v>54.087831070340059</v>
      </c>
      <c r="I296" s="77">
        <f t="shared" si="81"/>
        <v>47</v>
      </c>
      <c r="J296" s="73">
        <f t="shared" si="95"/>
        <v>2043</v>
      </c>
      <c r="K296" s="78">
        <f t="shared" si="96"/>
        <v>52444</v>
      </c>
      <c r="M296" s="41">
        <v>2.1000000000000001E-2</v>
      </c>
    </row>
    <row r="297" spans="2:13">
      <c r="B297" s="192">
        <f t="shared" si="74"/>
        <v>52475</v>
      </c>
      <c r="C297" s="177">
        <f t="shared" si="97"/>
        <v>3036559.1441090372</v>
      </c>
      <c r="D297" s="178">
        <f>IF(ISNUMBER($F297)*SUM(F297:F308)&lt;&gt;0,VLOOKUP($J297,'Table 1'!$B$13:$C$38,2,FALSE)/12*1000*Study_MW,0)</f>
        <v>0</v>
      </c>
      <c r="E297" s="178">
        <f t="shared" si="93"/>
        <v>3036559.1441090372</v>
      </c>
      <c r="F297" s="177">
        <v>72000</v>
      </c>
      <c r="G297" s="179">
        <f t="shared" si="94"/>
        <v>42.174432557069963</v>
      </c>
      <c r="I297" s="77">
        <f t="shared" si="81"/>
        <v>48</v>
      </c>
      <c r="J297" s="73">
        <f t="shared" si="95"/>
        <v>2043</v>
      </c>
      <c r="K297" s="78">
        <f t="shared" si="96"/>
        <v>52475</v>
      </c>
      <c r="M297" s="41">
        <v>2.1000000000000001E-2</v>
      </c>
    </row>
    <row r="298" spans="2:13">
      <c r="B298" s="192">
        <f t="shared" si="74"/>
        <v>52505</v>
      </c>
      <c r="C298" s="177">
        <f t="shared" si="97"/>
        <v>3151687.0032919245</v>
      </c>
      <c r="D298" s="178">
        <f>IF(ISNUMBER($F298)*SUM(F298:F309)&lt;&gt;0,VLOOKUP($J298,'Table 1'!$B$13:$C$38,2,FALSE)/12*1000*Study_MW,0)</f>
        <v>0</v>
      </c>
      <c r="E298" s="178">
        <f t="shared" si="93"/>
        <v>3151687.0032919245</v>
      </c>
      <c r="F298" s="177">
        <v>74400</v>
      </c>
      <c r="G298" s="179">
        <f t="shared" si="94"/>
        <v>42.361384452848448</v>
      </c>
      <c r="I298" s="77">
        <f t="shared" si="81"/>
        <v>49</v>
      </c>
      <c r="J298" s="73">
        <f t="shared" si="95"/>
        <v>2043</v>
      </c>
      <c r="K298" s="78">
        <f t="shared" si="96"/>
        <v>52505</v>
      </c>
      <c r="M298" s="41">
        <v>2.1000000000000001E-2</v>
      </c>
    </row>
    <row r="299" spans="2:13">
      <c r="B299" s="192">
        <f t="shared" si="74"/>
        <v>52536</v>
      </c>
      <c r="C299" s="177">
        <f t="shared" si="97"/>
        <v>3136735.8426532825</v>
      </c>
      <c r="D299" s="178">
        <f>IF(ISNUMBER($F299)*SUM(F299:F310)&lt;&gt;0,VLOOKUP($J299,'Table 1'!$B$13:$C$38,2,FALSE)/12*1000*Study_MW,0)</f>
        <v>0</v>
      </c>
      <c r="E299" s="178">
        <f t="shared" si="93"/>
        <v>3136735.8426532825</v>
      </c>
      <c r="F299" s="177">
        <v>72000</v>
      </c>
      <c r="G299" s="179">
        <f t="shared" si="94"/>
        <v>43.565775592406702</v>
      </c>
      <c r="I299" s="77">
        <f t="shared" si="81"/>
        <v>50</v>
      </c>
      <c r="J299" s="73">
        <f t="shared" si="95"/>
        <v>2043</v>
      </c>
      <c r="K299" s="78">
        <f t="shared" si="96"/>
        <v>52536</v>
      </c>
      <c r="M299" s="41">
        <v>2.1000000000000001E-2</v>
      </c>
    </row>
    <row r="300" spans="2:13">
      <c r="B300" s="193">
        <f t="shared" si="74"/>
        <v>52566</v>
      </c>
      <c r="C300" s="180">
        <f t="shared" si="97"/>
        <v>3744429.4571932349</v>
      </c>
      <c r="D300" s="181">
        <f>IF(ISNUMBER($F300)*SUM(F300:F311)&lt;&gt;0,VLOOKUP($J300,'Table 1'!$B$13:$C$38,2,FALSE)/12*1000*Study_MW,0)</f>
        <v>0</v>
      </c>
      <c r="E300" s="181">
        <f t="shared" si="93"/>
        <v>3744429.4571932349</v>
      </c>
      <c r="F300" s="180">
        <v>74400</v>
      </c>
      <c r="G300" s="182">
        <f t="shared" si="94"/>
        <v>50.328352919263914</v>
      </c>
      <c r="I300" s="64">
        <f t="shared" si="81"/>
        <v>51</v>
      </c>
      <c r="J300" s="73">
        <f t="shared" si="95"/>
        <v>2043</v>
      </c>
      <c r="K300" s="82">
        <f t="shared" si="96"/>
        <v>52566</v>
      </c>
      <c r="M300" s="41">
        <v>2.1000000000000001E-2</v>
      </c>
    </row>
    <row r="301" spans="2:13">
      <c r="B301" s="191">
        <f t="shared" si="74"/>
        <v>52597</v>
      </c>
      <c r="C301" s="183">
        <f>(C289*(1+M301))*IF(AND(MONTH(K301)=2,OR(J289=2036,J289=2040)),28/29,1)</f>
        <v>3585810.8637148864</v>
      </c>
      <c r="D301" s="184">
        <f>IF(ISNUMBER($F301)*SUM(F301:F312)&lt;&gt;0,VLOOKUP($J301,'Table 1'!$B$13:$C$38,2,FALSE)/12*1000*Study_MW,0)</f>
        <v>0</v>
      </c>
      <c r="E301" s="184">
        <f t="shared" si="93"/>
        <v>3585810.8637148864</v>
      </c>
      <c r="F301" s="183">
        <v>74400</v>
      </c>
      <c r="G301" s="185">
        <f t="shared" si="94"/>
        <v>48.196382576812987</v>
      </c>
      <c r="I301" s="60">
        <f>I181</f>
        <v>53</v>
      </c>
      <c r="J301" s="73">
        <f t="shared" si="95"/>
        <v>2044</v>
      </c>
      <c r="K301" s="74">
        <f t="shared" si="96"/>
        <v>52597</v>
      </c>
      <c r="M301" s="41">
        <v>2.1999999999999999E-2</v>
      </c>
    </row>
    <row r="302" spans="2:13">
      <c r="B302" s="192">
        <f t="shared" si="74"/>
        <v>52628</v>
      </c>
      <c r="C302" s="177">
        <f t="shared" ref="C302:C312" si="98">(C290*(1+M302))*IF(AND(MONTH(K302)=2,OR(J290=2036,J290=2040)),28/29,1)</f>
        <v>2680615.8174855276</v>
      </c>
      <c r="D302" s="178">
        <f>IF(ISNUMBER($F302)*SUM(F302:F313)&lt;&gt;0,VLOOKUP($J302,'Table 1'!$B$13:$C$38,2,FALSE)/12*1000*Study_MW,0)</f>
        <v>0</v>
      </c>
      <c r="E302" s="178">
        <f t="shared" si="93"/>
        <v>2680615.8174855276</v>
      </c>
      <c r="F302" s="177">
        <v>64882.758620689659</v>
      </c>
      <c r="G302" s="179">
        <f t="shared" si="94"/>
        <v>41.3147633434738</v>
      </c>
      <c r="I302" s="77">
        <f t="shared" si="81"/>
        <v>54</v>
      </c>
      <c r="J302" s="73">
        <f t="shared" si="95"/>
        <v>2044</v>
      </c>
      <c r="K302" s="78">
        <f t="shared" si="96"/>
        <v>52628</v>
      </c>
      <c r="M302" s="41">
        <v>2.1999999999999999E-2</v>
      </c>
    </row>
    <row r="303" spans="2:13">
      <c r="B303" s="192">
        <f t="shared" si="74"/>
        <v>52657</v>
      </c>
      <c r="C303" s="177">
        <f t="shared" si="98"/>
        <v>2619553.2144990303</v>
      </c>
      <c r="D303" s="178">
        <f>IF(ISNUMBER($F303)*SUM(F303:F314)&lt;&gt;0,VLOOKUP($J303,'Table 1'!$B$13:$C$38,2,FALSE)/12*1000*Study_MW,0)</f>
        <v>0</v>
      </c>
      <c r="E303" s="178">
        <f t="shared" si="93"/>
        <v>2619553.2144990303</v>
      </c>
      <c r="F303" s="177">
        <v>74400</v>
      </c>
      <c r="G303" s="179">
        <f t="shared" si="94"/>
        <v>35.209048581976212</v>
      </c>
      <c r="I303" s="77">
        <f t="shared" si="81"/>
        <v>55</v>
      </c>
      <c r="J303" s="73">
        <f t="shared" si="95"/>
        <v>2044</v>
      </c>
      <c r="K303" s="78">
        <f t="shared" si="96"/>
        <v>52657</v>
      </c>
      <c r="M303" s="41">
        <v>2.1999999999999999E-2</v>
      </c>
    </row>
    <row r="304" spans="2:13">
      <c r="B304" s="192">
        <f t="shared" si="74"/>
        <v>52688</v>
      </c>
      <c r="C304" s="177">
        <f t="shared" si="98"/>
        <v>2320702.2387943221</v>
      </c>
      <c r="D304" s="178">
        <f>IF(ISNUMBER($F304)*SUM(F304:F315)&lt;&gt;0,VLOOKUP($J304,'Table 1'!$B$13:$C$38,2,FALSE)/12*1000*Study_MW,0)</f>
        <v>0</v>
      </c>
      <c r="E304" s="178">
        <f t="shared" si="93"/>
        <v>2320702.2387943221</v>
      </c>
      <c r="F304" s="177">
        <v>72000</v>
      </c>
      <c r="G304" s="179">
        <f t="shared" si="94"/>
        <v>32.231975538810026</v>
      </c>
      <c r="I304" s="77">
        <f t="shared" si="81"/>
        <v>56</v>
      </c>
      <c r="J304" s="73">
        <f t="shared" si="95"/>
        <v>2044</v>
      </c>
      <c r="K304" s="78">
        <f t="shared" si="96"/>
        <v>52688</v>
      </c>
      <c r="M304" s="41">
        <v>2.1999999999999999E-2</v>
      </c>
    </row>
    <row r="305" spans="2:13">
      <c r="B305" s="192">
        <f t="shared" ref="B305:B323" si="99">EDATE(B304,1)</f>
        <v>52718</v>
      </c>
      <c r="C305" s="177">
        <f t="shared" si="98"/>
        <v>2127208.8563347491</v>
      </c>
      <c r="D305" s="178">
        <f>IF(ISNUMBER($F305)*SUM(F305:F316)&lt;&gt;0,VLOOKUP($J305,'Table 1'!$B$13:$C$38,2,FALSE)/12*1000*Study_MW,0)</f>
        <v>0</v>
      </c>
      <c r="E305" s="178">
        <f t="shared" si="93"/>
        <v>2127208.8563347491</v>
      </c>
      <c r="F305" s="177">
        <v>74400</v>
      </c>
      <c r="G305" s="179">
        <f t="shared" si="94"/>
        <v>28.591516886219747</v>
      </c>
      <c r="I305" s="77">
        <f t="shared" si="81"/>
        <v>57</v>
      </c>
      <c r="J305" s="73">
        <f t="shared" si="95"/>
        <v>2044</v>
      </c>
      <c r="K305" s="78">
        <f t="shared" si="96"/>
        <v>52718</v>
      </c>
      <c r="M305" s="41">
        <v>2.1999999999999999E-2</v>
      </c>
    </row>
    <row r="306" spans="2:13">
      <c r="B306" s="192">
        <f t="shared" si="99"/>
        <v>52749</v>
      </c>
      <c r="C306" s="177">
        <f t="shared" si="98"/>
        <v>2706705.5207661889</v>
      </c>
      <c r="D306" s="178">
        <f>IF(ISNUMBER($F306)*SUM(F306:F317)&lt;&gt;0,VLOOKUP($J306,'Table 1'!$B$13:$C$38,2,FALSE)/12*1000*Study_MW,0)</f>
        <v>0</v>
      </c>
      <c r="E306" s="178">
        <f t="shared" si="93"/>
        <v>2706705.5207661889</v>
      </c>
      <c r="F306" s="177">
        <v>72000</v>
      </c>
      <c r="G306" s="179">
        <f t="shared" si="94"/>
        <v>37.593132232863731</v>
      </c>
      <c r="I306" s="77">
        <f t="shared" ref="I306:I312" si="100">I186</f>
        <v>58</v>
      </c>
      <c r="J306" s="73">
        <f t="shared" si="95"/>
        <v>2044</v>
      </c>
      <c r="K306" s="78">
        <f t="shared" si="96"/>
        <v>52749</v>
      </c>
      <c r="M306" s="41">
        <v>2.1999999999999999E-2</v>
      </c>
    </row>
    <row r="307" spans="2:13">
      <c r="B307" s="192">
        <f t="shared" si="99"/>
        <v>52779</v>
      </c>
      <c r="C307" s="177">
        <f t="shared" si="98"/>
        <v>4008609.0127008846</v>
      </c>
      <c r="D307" s="178">
        <f>IF(ISNUMBER($F307)*SUM(F307:F318)&lt;&gt;0,VLOOKUP($J307,'Table 1'!$B$13:$C$38,2,FALSE)/12*1000*Study_MW,0)</f>
        <v>0</v>
      </c>
      <c r="E307" s="178">
        <f t="shared" si="93"/>
        <v>4008609.0127008846</v>
      </c>
      <c r="F307" s="177">
        <v>74400</v>
      </c>
      <c r="G307" s="179">
        <f t="shared" si="94"/>
        <v>53.879153396517268</v>
      </c>
      <c r="I307" s="77">
        <f t="shared" si="100"/>
        <v>59</v>
      </c>
      <c r="J307" s="73">
        <f t="shared" si="95"/>
        <v>2044</v>
      </c>
      <c r="K307" s="78">
        <f t="shared" si="96"/>
        <v>52779</v>
      </c>
      <c r="M307" s="41">
        <v>2.1999999999999999E-2</v>
      </c>
    </row>
    <row r="308" spans="2:13">
      <c r="B308" s="192">
        <f t="shared" si="99"/>
        <v>52810</v>
      </c>
      <c r="C308" s="177">
        <f t="shared" si="98"/>
        <v>4112665.5935292332</v>
      </c>
      <c r="D308" s="178">
        <f>IF(ISNUMBER($F308)*SUM(F308:F319)&lt;&gt;0,VLOOKUP($J308,'Table 1'!$B$13:$C$38,2,FALSE)/12*1000*Study_MW,0)</f>
        <v>0</v>
      </c>
      <c r="E308" s="178">
        <f t="shared" si="93"/>
        <v>4112665.5935292332</v>
      </c>
      <c r="F308" s="177">
        <v>74400</v>
      </c>
      <c r="G308" s="179">
        <f t="shared" si="94"/>
        <v>55.277763353887543</v>
      </c>
      <c r="I308" s="77">
        <f t="shared" si="100"/>
        <v>60</v>
      </c>
      <c r="J308" s="73">
        <f t="shared" si="95"/>
        <v>2044</v>
      </c>
      <c r="K308" s="78">
        <f t="shared" si="96"/>
        <v>52810</v>
      </c>
      <c r="M308" s="41">
        <v>2.1999999999999999E-2</v>
      </c>
    </row>
    <row r="309" spans="2:13">
      <c r="B309" s="192">
        <f t="shared" si="99"/>
        <v>52841</v>
      </c>
      <c r="C309" s="177">
        <f t="shared" si="98"/>
        <v>3103363.4452794362</v>
      </c>
      <c r="D309" s="178">
        <f>IF(ISNUMBER($F309)*SUM(F309:F320)&lt;&gt;0,VLOOKUP($J309,'Table 1'!$B$13:$C$38,2,FALSE)/12*1000*Study_MW,0)</f>
        <v>0</v>
      </c>
      <c r="E309" s="178">
        <f t="shared" si="93"/>
        <v>3103363.4452794362</v>
      </c>
      <c r="F309" s="177">
        <v>72000</v>
      </c>
      <c r="G309" s="179">
        <f t="shared" si="94"/>
        <v>43.102270073325499</v>
      </c>
      <c r="I309" s="77">
        <f t="shared" si="100"/>
        <v>61</v>
      </c>
      <c r="J309" s="73">
        <f t="shared" si="95"/>
        <v>2044</v>
      </c>
      <c r="K309" s="78">
        <f t="shared" si="96"/>
        <v>52841</v>
      </c>
      <c r="M309" s="41">
        <v>2.1999999999999999E-2</v>
      </c>
    </row>
    <row r="310" spans="2:13">
      <c r="B310" s="192">
        <f t="shared" si="99"/>
        <v>52871</v>
      </c>
      <c r="C310" s="177">
        <f t="shared" si="98"/>
        <v>3221024.117364347</v>
      </c>
      <c r="D310" s="178">
        <f>IF(ISNUMBER($F310)*SUM(F310:F321)&lt;&gt;0,VLOOKUP($J310,'Table 1'!$B$13:$C$38,2,FALSE)/12*1000*Study_MW,0)</f>
        <v>0</v>
      </c>
      <c r="E310" s="178">
        <f t="shared" si="93"/>
        <v>3221024.117364347</v>
      </c>
      <c r="F310" s="177">
        <v>74400</v>
      </c>
      <c r="G310" s="179">
        <f t="shared" si="94"/>
        <v>43.293334910811119</v>
      </c>
      <c r="I310" s="77">
        <f t="shared" si="100"/>
        <v>62</v>
      </c>
      <c r="J310" s="73">
        <f t="shared" si="95"/>
        <v>2044</v>
      </c>
      <c r="K310" s="78">
        <f t="shared" si="96"/>
        <v>52871</v>
      </c>
      <c r="M310" s="41">
        <v>2.1999999999999999E-2</v>
      </c>
    </row>
    <row r="311" spans="2:13">
      <c r="B311" s="192">
        <f t="shared" si="99"/>
        <v>52902</v>
      </c>
      <c r="C311" s="177">
        <f t="shared" si="98"/>
        <v>3205744.0311916545</v>
      </c>
      <c r="D311" s="178">
        <f>IF(ISNUMBER($F311)*SUM(F311:F322)&lt;&gt;0,VLOOKUP($J311,'Table 1'!$B$13:$C$38,2,FALSE)/12*1000*Study_MW,0)</f>
        <v>0</v>
      </c>
      <c r="E311" s="178">
        <f t="shared" si="93"/>
        <v>3205744.0311916545</v>
      </c>
      <c r="F311" s="177">
        <v>72000</v>
      </c>
      <c r="G311" s="179">
        <f t="shared" si="94"/>
        <v>44.524222655439644</v>
      </c>
      <c r="I311" s="77">
        <f t="shared" si="100"/>
        <v>63</v>
      </c>
      <c r="J311" s="73">
        <f t="shared" si="95"/>
        <v>2044</v>
      </c>
      <c r="K311" s="78">
        <f t="shared" si="96"/>
        <v>52902</v>
      </c>
      <c r="M311" s="41">
        <v>2.1999999999999999E-2</v>
      </c>
    </row>
    <row r="312" spans="2:13">
      <c r="B312" s="193">
        <f t="shared" si="99"/>
        <v>52932</v>
      </c>
      <c r="C312" s="180">
        <f t="shared" si="98"/>
        <v>3826806.9052514862</v>
      </c>
      <c r="D312" s="181">
        <f>IF(ISNUMBER($F312)*SUM(F312:F323)&lt;&gt;0,VLOOKUP($J312,'Table 1'!$B$13:$C$38,2,FALSE)/12*1000*Study_MW,0)</f>
        <v>0</v>
      </c>
      <c r="E312" s="181">
        <f t="shared" si="93"/>
        <v>3826806.9052514862</v>
      </c>
      <c r="F312" s="180">
        <v>74400</v>
      </c>
      <c r="G312" s="182">
        <f t="shared" si="94"/>
        <v>51.435576683487717</v>
      </c>
      <c r="I312" s="64">
        <f t="shared" si="100"/>
        <v>64</v>
      </c>
      <c r="J312" s="73">
        <f t="shared" si="95"/>
        <v>2044</v>
      </c>
      <c r="K312" s="82">
        <f t="shared" si="96"/>
        <v>52932</v>
      </c>
      <c r="M312" s="41">
        <v>2.1999999999999999E-2</v>
      </c>
    </row>
    <row r="313" spans="2:13">
      <c r="B313" s="191">
        <f t="shared" si="99"/>
        <v>52963</v>
      </c>
      <c r="C313" s="183">
        <f>(C301*(1+M313))*IF(AND(MONTH(K313)=2,OR(J301=2036,J301=2040)),28/29,1)</f>
        <v>3664698.7027166141</v>
      </c>
      <c r="D313" s="184">
        <f>IF(ISNUMBER($F313)*SUM(F313:F324)&lt;&gt;0,VLOOKUP($J313,'Table 1'!$B$13:$C$38,2,FALSE)/12*1000*Study_MW,0)</f>
        <v>0</v>
      </c>
      <c r="E313" s="184">
        <f t="shared" si="93"/>
        <v>3664698.7027166141</v>
      </c>
      <c r="F313" s="183">
        <v>74400</v>
      </c>
      <c r="G313" s="185">
        <f t="shared" si="94"/>
        <v>49.256702993502877</v>
      </c>
      <c r="I313" s="60">
        <f>I193</f>
        <v>66</v>
      </c>
      <c r="J313" s="73">
        <f t="shared" si="95"/>
        <v>2045</v>
      </c>
      <c r="K313" s="74">
        <f t="shared" si="96"/>
        <v>52963</v>
      </c>
      <c r="M313" s="41">
        <v>2.1999999999999999E-2</v>
      </c>
    </row>
    <row r="314" spans="2:13">
      <c r="B314" s="192">
        <f t="shared" si="99"/>
        <v>52994</v>
      </c>
      <c r="C314" s="177">
        <f t="shared" ref="C314:C323" si="101">(C302*(1+M314))*IF(AND(MONTH(K314)=2,OR(J302=2036,J302=2040)),28/29,1)</f>
        <v>2739589.3654702092</v>
      </c>
      <c r="D314" s="178">
        <f>IF(ISNUMBER($F314)*SUM(F314:F325)&lt;&gt;0,VLOOKUP($J314,'Table 1'!$B$13:$C$38,2,FALSE)/12*1000*Study_MW,0)</f>
        <v>0</v>
      </c>
      <c r="E314" s="178">
        <f t="shared" si="93"/>
        <v>2739589.3654702092</v>
      </c>
      <c r="F314" s="177">
        <v>64882.758620689659</v>
      </c>
      <c r="G314" s="179">
        <f t="shared" si="94"/>
        <v>42.223688137030216</v>
      </c>
      <c r="I314" s="77">
        <f t="shared" ref="I314:I324" si="102">I194</f>
        <v>67</v>
      </c>
      <c r="J314" s="73">
        <f t="shared" si="95"/>
        <v>2045</v>
      </c>
      <c r="K314" s="78">
        <f t="shared" si="96"/>
        <v>52994</v>
      </c>
      <c r="M314" s="41">
        <v>2.1999999999999999E-2</v>
      </c>
    </row>
    <row r="315" spans="2:13">
      <c r="B315" s="192">
        <f t="shared" si="99"/>
        <v>53022</v>
      </c>
      <c r="C315" s="177">
        <f t="shared" si="101"/>
        <v>2677183.3852180089</v>
      </c>
      <c r="D315" s="178">
        <f>IF(ISNUMBER($F315)*SUM(F315:F326)&lt;&gt;0,VLOOKUP($J315,'Table 1'!$B$13:$C$38,2,FALSE)/12*1000*Study_MW,0)</f>
        <v>0</v>
      </c>
      <c r="E315" s="178">
        <f t="shared" si="93"/>
        <v>2677183.3852180089</v>
      </c>
      <c r="F315" s="177">
        <v>74400</v>
      </c>
      <c r="G315" s="179">
        <f t="shared" si="94"/>
        <v>35.983647650779687</v>
      </c>
      <c r="I315" s="77">
        <f t="shared" si="102"/>
        <v>68</v>
      </c>
      <c r="J315" s="73">
        <f t="shared" si="95"/>
        <v>2045</v>
      </c>
      <c r="K315" s="78">
        <f t="shared" si="96"/>
        <v>53022</v>
      </c>
      <c r="M315" s="41">
        <v>2.1999999999999999E-2</v>
      </c>
    </row>
    <row r="316" spans="2:13">
      <c r="B316" s="192">
        <f t="shared" si="99"/>
        <v>53053</v>
      </c>
      <c r="C316" s="177">
        <f t="shared" si="101"/>
        <v>2371757.6880477974</v>
      </c>
      <c r="D316" s="178">
        <f>IF(ISNUMBER($F316)*SUM(F316:F327)&lt;&gt;0,VLOOKUP($J316,'Table 1'!$B$13:$C$38,2,FALSE)/12*1000*Study_MW,0)</f>
        <v>0</v>
      </c>
      <c r="E316" s="178">
        <f t="shared" si="93"/>
        <v>2371757.6880477974</v>
      </c>
      <c r="F316" s="177">
        <v>72000</v>
      </c>
      <c r="G316" s="179">
        <f t="shared" si="94"/>
        <v>32.941079000663855</v>
      </c>
      <c r="I316" s="77">
        <f t="shared" si="102"/>
        <v>69</v>
      </c>
      <c r="J316" s="73">
        <f t="shared" si="95"/>
        <v>2045</v>
      </c>
      <c r="K316" s="78">
        <f t="shared" si="96"/>
        <v>53053</v>
      </c>
      <c r="M316" s="41">
        <v>2.1999999999999999E-2</v>
      </c>
    </row>
    <row r="317" spans="2:13">
      <c r="B317" s="192">
        <f t="shared" si="99"/>
        <v>53083</v>
      </c>
      <c r="C317" s="177">
        <f t="shared" si="101"/>
        <v>2174007.4511741134</v>
      </c>
      <c r="D317" s="178">
        <f>IF(ISNUMBER($F317)*SUM(F317:F328)&lt;&gt;0,VLOOKUP($J317,'Table 1'!$B$13:$C$38,2,FALSE)/12*1000*Study_MW,0)</f>
        <v>0</v>
      </c>
      <c r="E317" s="178">
        <f t="shared" si="93"/>
        <v>2174007.4511741134</v>
      </c>
      <c r="F317" s="177">
        <v>74400</v>
      </c>
      <c r="G317" s="179">
        <f t="shared" si="94"/>
        <v>29.220530257716579</v>
      </c>
      <c r="I317" s="77">
        <f t="shared" si="102"/>
        <v>70</v>
      </c>
      <c r="J317" s="73">
        <f t="shared" si="95"/>
        <v>2045</v>
      </c>
      <c r="K317" s="78">
        <f t="shared" si="96"/>
        <v>53083</v>
      </c>
      <c r="M317" s="41">
        <v>2.1999999999999999E-2</v>
      </c>
    </row>
    <row r="318" spans="2:13">
      <c r="B318" s="192">
        <f t="shared" si="99"/>
        <v>53114</v>
      </c>
      <c r="C318" s="177">
        <f t="shared" si="101"/>
        <v>2766253.0422230451</v>
      </c>
      <c r="D318" s="178">
        <f>IF(ISNUMBER($F318)*SUM(F318:F329)&lt;&gt;0,VLOOKUP($J318,'Table 1'!$B$13:$C$38,2,FALSE)/12*1000*Study_MW,0)</f>
        <v>0</v>
      </c>
      <c r="E318" s="178">
        <f t="shared" si="93"/>
        <v>2766253.0422230451</v>
      </c>
      <c r="F318" s="177">
        <v>72000</v>
      </c>
      <c r="G318" s="179">
        <f t="shared" si="94"/>
        <v>38.420181141986738</v>
      </c>
      <c r="I318" s="77">
        <f t="shared" si="102"/>
        <v>71</v>
      </c>
      <c r="J318" s="73">
        <f t="shared" si="95"/>
        <v>2045</v>
      </c>
      <c r="K318" s="78">
        <f t="shared" si="96"/>
        <v>53114</v>
      </c>
      <c r="M318" s="41">
        <v>2.1999999999999999E-2</v>
      </c>
    </row>
    <row r="319" spans="2:13">
      <c r="B319" s="192">
        <f t="shared" si="99"/>
        <v>53144</v>
      </c>
      <c r="C319" s="177">
        <f t="shared" si="101"/>
        <v>4096798.4109803042</v>
      </c>
      <c r="D319" s="178">
        <f>IF(ISNUMBER($F319)*SUM(F319:F330)&lt;&gt;0,VLOOKUP($J319,'Table 1'!$B$13:$C$38,2,FALSE)/12*1000*Study_MW,0)</f>
        <v>0</v>
      </c>
      <c r="E319" s="178">
        <f t="shared" si="93"/>
        <v>4096798.4109803042</v>
      </c>
      <c r="F319" s="177">
        <v>74400</v>
      </c>
      <c r="G319" s="179">
        <f t="shared" si="94"/>
        <v>55.064494771240646</v>
      </c>
      <c r="I319" s="77">
        <f t="shared" si="102"/>
        <v>72</v>
      </c>
      <c r="J319" s="73">
        <f t="shared" si="95"/>
        <v>2045</v>
      </c>
      <c r="K319" s="78">
        <f t="shared" si="96"/>
        <v>53144</v>
      </c>
      <c r="M319" s="41">
        <v>2.1999999999999999E-2</v>
      </c>
    </row>
    <row r="320" spans="2:13">
      <c r="B320" s="192">
        <f t="shared" si="99"/>
        <v>53175</v>
      </c>
      <c r="C320" s="177">
        <f t="shared" si="101"/>
        <v>4203144.2365868762</v>
      </c>
      <c r="D320" s="178">
        <f>IF(ISNUMBER($F320)*SUM(F320:F331)&lt;&gt;0,VLOOKUP($J320,'Table 1'!$B$13:$C$38,2,FALSE)/12*1000*Study_MW,0)</f>
        <v>0</v>
      </c>
      <c r="E320" s="178">
        <f t="shared" si="93"/>
        <v>4203144.2365868762</v>
      </c>
      <c r="F320" s="177">
        <v>74400</v>
      </c>
      <c r="G320" s="179">
        <f t="shared" si="94"/>
        <v>56.493874147673068</v>
      </c>
      <c r="I320" s="77">
        <f t="shared" si="102"/>
        <v>73</v>
      </c>
      <c r="J320" s="73">
        <f t="shared" si="95"/>
        <v>2045</v>
      </c>
      <c r="K320" s="78">
        <f t="shared" si="96"/>
        <v>53175</v>
      </c>
      <c r="M320" s="41">
        <v>2.1999999999999999E-2</v>
      </c>
    </row>
    <row r="321" spans="2:13">
      <c r="B321" s="192">
        <f t="shared" si="99"/>
        <v>53206</v>
      </c>
      <c r="C321" s="177">
        <f t="shared" si="101"/>
        <v>3171637.4410755839</v>
      </c>
      <c r="D321" s="178">
        <f>IF(ISNUMBER($F321)*SUM(F321:F332)&lt;&gt;0,VLOOKUP($J321,'Table 1'!$B$13:$C$38,2,FALSE)/12*1000*Study_MW,0)</f>
        <v>0</v>
      </c>
      <c r="E321" s="178">
        <f t="shared" si="93"/>
        <v>3171637.4410755839</v>
      </c>
      <c r="F321" s="177">
        <v>72000</v>
      </c>
      <c r="G321" s="179">
        <f t="shared" si="94"/>
        <v>44.050520014938662</v>
      </c>
      <c r="I321" s="77">
        <f t="shared" si="102"/>
        <v>74</v>
      </c>
      <c r="J321" s="73">
        <f t="shared" si="95"/>
        <v>2045</v>
      </c>
      <c r="K321" s="78">
        <f t="shared" si="96"/>
        <v>53206</v>
      </c>
      <c r="M321" s="41">
        <v>2.1999999999999999E-2</v>
      </c>
    </row>
    <row r="322" spans="2:13">
      <c r="B322" s="192">
        <f t="shared" si="99"/>
        <v>53236</v>
      </c>
      <c r="C322" s="177">
        <f t="shared" si="101"/>
        <v>3291886.6479463628</v>
      </c>
      <c r="D322" s="178">
        <f>IF(ISNUMBER($F322)*SUM(F322:F333)&lt;&gt;0,VLOOKUP($J322,'Table 1'!$B$13:$C$38,2,FALSE)/12*1000*Study_MW,0)</f>
        <v>0</v>
      </c>
      <c r="E322" s="178">
        <f t="shared" si="93"/>
        <v>3291886.6479463628</v>
      </c>
      <c r="F322" s="177">
        <v>74400</v>
      </c>
      <c r="G322" s="179">
        <f t="shared" si="94"/>
        <v>44.245788278848963</v>
      </c>
      <c r="I322" s="77">
        <f t="shared" si="102"/>
        <v>75</v>
      </c>
      <c r="J322" s="73">
        <f t="shared" si="95"/>
        <v>2045</v>
      </c>
      <c r="K322" s="78">
        <f t="shared" si="96"/>
        <v>53236</v>
      </c>
      <c r="M322" s="41">
        <v>2.1999999999999999E-2</v>
      </c>
    </row>
    <row r="323" spans="2:13">
      <c r="B323" s="192">
        <f t="shared" si="99"/>
        <v>53267</v>
      </c>
      <c r="C323" s="177">
        <f t="shared" si="101"/>
        <v>3276270.3998778709</v>
      </c>
      <c r="D323" s="178">
        <f>IF(ISNUMBER($F323)*SUM(F323:F334)&lt;&gt;0,VLOOKUP($J323,'Table 1'!$B$13:$C$38,2,FALSE)/12*1000*Study_MW,0)</f>
        <v>0</v>
      </c>
      <c r="E323" s="178">
        <f t="shared" si="93"/>
        <v>3276270.3998778709</v>
      </c>
      <c r="F323" s="177">
        <v>72000</v>
      </c>
      <c r="G323" s="179">
        <f t="shared" si="94"/>
        <v>45.503755553859321</v>
      </c>
      <c r="I323" s="77">
        <f t="shared" si="102"/>
        <v>76</v>
      </c>
      <c r="J323" s="73">
        <f t="shared" si="95"/>
        <v>2045</v>
      </c>
      <c r="K323" s="78">
        <f t="shared" si="96"/>
        <v>53267</v>
      </c>
      <c r="M323" s="41">
        <v>2.1999999999999999E-2</v>
      </c>
    </row>
    <row r="324" spans="2:13">
      <c r="B324" s="193"/>
      <c r="C324" s="180"/>
      <c r="D324" s="181"/>
      <c r="E324" s="181"/>
      <c r="F324" s="180"/>
      <c r="G324" s="182"/>
      <c r="I324" s="64">
        <f t="shared" si="102"/>
        <v>77</v>
      </c>
      <c r="J324" s="73">
        <f t="shared" si="95"/>
        <v>1900</v>
      </c>
      <c r="K324" s="82" t="str">
        <f t="shared" si="96"/>
        <v/>
      </c>
      <c r="M324" s="41" t="e">
        <v>#N/A</v>
      </c>
    </row>
  </sheetData>
  <printOptions horizontalCentered="1"/>
  <pageMargins left="0.25" right="0.25" top="0.75" bottom="0.75" header="0.3" footer="0.3"/>
  <pageSetup scale="86" fitToHeight="0" orientation="portrait" r:id="rId1"/>
  <headerFooter alignWithMargins="0">
    <oddFooter xml:space="preserve">&amp;C 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zoomScaleSheetLayoutView="70" workbookViewId="0">
      <selection activeCell="K22" sqref="K22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bestFit="1" customWidth="1"/>
    <col min="6" max="6" width="13.5" style="118" customWidth="1"/>
    <col min="7" max="7" width="9.5" style="118" bestFit="1" customWidth="1"/>
    <col min="8" max="8" width="15.33203125" style="118" customWidth="1"/>
    <col min="9" max="9" width="12.6640625" style="118" customWidth="1"/>
    <col min="10" max="10" width="14" style="118" customWidth="1"/>
    <col min="11" max="11" width="13.1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/>
    <col min="16" max="16" width="10" style="118" customWidth="1"/>
    <col min="17" max="17" width="25.1640625" style="118" customWidth="1"/>
    <col min="18" max="18" width="18.1640625" style="118" customWidth="1"/>
    <col min="19" max="19" width="9.33203125" style="118"/>
    <col min="20" max="20" width="16.6640625" style="118" customWidth="1"/>
    <col min="21" max="21" width="9.33203125" style="118"/>
    <col min="22" max="22" width="9.6640625" style="118" bestFit="1" customWidth="1"/>
    <col min="23" max="16384" width="9.33203125" style="118"/>
  </cols>
  <sheetData>
    <row r="1" spans="2:24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24" ht="15.75">
      <c r="B2" s="116" t="s">
        <v>227</v>
      </c>
      <c r="C2" s="117"/>
      <c r="D2" s="117"/>
      <c r="E2" s="117"/>
      <c r="F2" s="117"/>
      <c r="G2" s="117"/>
      <c r="H2" s="117"/>
      <c r="I2" s="117"/>
      <c r="J2" s="117"/>
    </row>
    <row r="3" spans="2:24" ht="15.75">
      <c r="B3" s="116" t="str">
        <f>TEXT($C$63,"0%")&amp;" Capacity Factor"</f>
        <v>30% Capacity Factor</v>
      </c>
      <c r="C3" s="117"/>
      <c r="D3" s="117"/>
      <c r="E3" s="117"/>
      <c r="F3" s="117"/>
      <c r="G3" s="117"/>
      <c r="H3" s="117"/>
      <c r="I3" s="117"/>
      <c r="J3" s="117"/>
      <c r="T3" s="120"/>
      <c r="U3" s="120"/>
      <c r="V3" s="120"/>
      <c r="W3" s="120"/>
      <c r="X3" s="120"/>
    </row>
    <row r="4" spans="2:24">
      <c r="B4" s="119"/>
      <c r="C4" s="119"/>
      <c r="D4" s="119"/>
      <c r="E4" s="119"/>
      <c r="F4" s="119"/>
      <c r="G4" s="119"/>
      <c r="H4" s="119"/>
      <c r="I4" s="120"/>
      <c r="J4" s="120"/>
      <c r="K4" s="120"/>
      <c r="T4" s="120"/>
      <c r="U4" s="120"/>
      <c r="V4" s="120"/>
      <c r="W4" s="120"/>
      <c r="X4" s="120"/>
    </row>
    <row r="5" spans="2:24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228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Q5" s="120"/>
      <c r="R5" s="277"/>
      <c r="S5" s="120"/>
      <c r="T5" s="120"/>
      <c r="U5" s="120"/>
      <c r="V5" s="120"/>
      <c r="W5" s="120"/>
      <c r="X5" s="120"/>
    </row>
    <row r="6" spans="2:24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Q6" s="387"/>
      <c r="R6" s="387"/>
      <c r="S6" s="120"/>
      <c r="T6" s="120"/>
      <c r="U6" s="120"/>
      <c r="V6" s="120"/>
      <c r="W6" s="120"/>
      <c r="X6" s="120"/>
    </row>
    <row r="7" spans="2:24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Q7" s="120"/>
      <c r="R7" s="120"/>
      <c r="S7" s="120"/>
      <c r="T7" s="120"/>
      <c r="U7" s="120"/>
      <c r="V7" s="120"/>
      <c r="W7" s="120"/>
      <c r="X7" s="120"/>
    </row>
    <row r="8" spans="2:24" ht="6" customHeight="1">
      <c r="K8" s="120"/>
      <c r="Q8" s="120"/>
      <c r="R8" s="120"/>
      <c r="S8" s="120"/>
    </row>
    <row r="9" spans="2:24" ht="15.75">
      <c r="B9" s="43" t="str">
        <f>C52</f>
        <v>2019 IRP Utah Wind Resource - 30% Capacity Factor</v>
      </c>
      <c r="C9" s="120"/>
      <c r="E9" s="120"/>
      <c r="F9" s="120"/>
      <c r="G9" s="120"/>
      <c r="H9" s="120"/>
      <c r="I9" s="120"/>
      <c r="J9" s="120"/>
      <c r="K9" s="120"/>
      <c r="N9" s="118"/>
      <c r="Q9" s="120"/>
      <c r="R9" s="120"/>
      <c r="S9" s="120"/>
    </row>
    <row r="10" spans="2:24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</row>
    <row r="11" spans="2:24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</row>
    <row r="12" spans="2:24">
      <c r="B12" s="136">
        <f t="shared" si="0"/>
        <v>2018</v>
      </c>
      <c r="C12" s="137"/>
      <c r="D12" s="129"/>
      <c r="E12" s="149"/>
      <c r="F12" s="149"/>
      <c r="G12" s="131"/>
      <c r="H12" s="149">
        <f>$C$58</f>
        <v>0</v>
      </c>
      <c r="I12" s="131"/>
      <c r="J12" s="131"/>
      <c r="K12" s="129">
        <f>(D12+E12+F12)</f>
        <v>0</v>
      </c>
      <c r="L12" s="120"/>
      <c r="N12" s="118"/>
      <c r="Q12" s="129"/>
      <c r="R12" s="149"/>
      <c r="T12" s="162"/>
      <c r="U12" s="154"/>
      <c r="V12" s="154"/>
    </row>
    <row r="13" spans="2:24">
      <c r="B13" s="136">
        <f t="shared" si="0"/>
        <v>2019</v>
      </c>
      <c r="C13" s="137"/>
      <c r="D13" s="129"/>
      <c r="E13" s="149"/>
      <c r="F13" s="149"/>
      <c r="G13" s="131"/>
      <c r="H13" s="129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2">(D13+E13+F13)</f>
        <v>0</v>
      </c>
      <c r="L13" s="120"/>
      <c r="N13" s="118"/>
      <c r="Q13" s="129"/>
      <c r="V13" s="154"/>
      <c r="X13" s="160"/>
    </row>
    <row r="14" spans="2:24">
      <c r="B14" s="136">
        <f t="shared" si="0"/>
        <v>2020</v>
      </c>
      <c r="C14" s="137"/>
      <c r="D14" s="129"/>
      <c r="E14" s="129"/>
      <c r="F14" s="129"/>
      <c r="G14" s="131"/>
      <c r="H14" s="129">
        <f t="shared" si="1"/>
        <v>0</v>
      </c>
      <c r="I14" s="131"/>
      <c r="J14" s="131"/>
      <c r="K14" s="129">
        <f t="shared" si="2"/>
        <v>0</v>
      </c>
      <c r="L14" s="120"/>
      <c r="N14" s="118"/>
      <c r="O14" s="133"/>
      <c r="P14" s="373"/>
      <c r="Q14" s="129"/>
      <c r="V14" s="154"/>
      <c r="X14" s="160"/>
    </row>
    <row r="15" spans="2:24">
      <c r="B15" s="136">
        <f t="shared" si="0"/>
        <v>2021</v>
      </c>
      <c r="C15" s="137"/>
      <c r="D15" s="129"/>
      <c r="E15" s="129"/>
      <c r="F15" s="129"/>
      <c r="G15" s="131"/>
      <c r="H15" s="129">
        <f t="shared" si="1"/>
        <v>0</v>
      </c>
      <c r="I15" s="131"/>
      <c r="J15" s="131"/>
      <c r="K15" s="129">
        <f t="shared" si="2"/>
        <v>0</v>
      </c>
      <c r="L15" s="120"/>
      <c r="N15" s="118"/>
      <c r="O15" s="374"/>
      <c r="P15" s="373"/>
      <c r="Q15" s="129"/>
      <c r="V15" s="154"/>
      <c r="X15" s="160"/>
    </row>
    <row r="16" spans="2:24">
      <c r="B16" s="136">
        <f t="shared" si="0"/>
        <v>2022</v>
      </c>
      <c r="C16" s="137"/>
      <c r="D16" s="129"/>
      <c r="E16" s="129"/>
      <c r="F16" s="129"/>
      <c r="G16" s="131"/>
      <c r="H16" s="129">
        <f t="shared" si="1"/>
        <v>0</v>
      </c>
      <c r="I16" s="131"/>
      <c r="J16" s="131"/>
      <c r="K16" s="129">
        <f t="shared" si="2"/>
        <v>0</v>
      </c>
      <c r="L16" s="120"/>
      <c r="N16" s="118"/>
      <c r="Q16" s="129"/>
      <c r="V16" s="154"/>
      <c r="X16" s="160"/>
    </row>
    <row r="17" spans="2:25">
      <c r="B17" s="136">
        <f t="shared" si="0"/>
        <v>2023</v>
      </c>
      <c r="C17" s="137">
        <v>1265.623188405797</v>
      </c>
      <c r="D17" s="129">
        <f t="shared" ref="D17" si="3">C17*$C$62</f>
        <v>87.31076284841852</v>
      </c>
      <c r="E17" s="149">
        <v>32.333333333333336</v>
      </c>
      <c r="F17" s="200">
        <f>$C$60</f>
        <v>1.4680258019147514</v>
      </c>
      <c r="G17" s="131">
        <f t="shared" ref="G17:G23" si="4">(D17+E17+F17)/(8.76*$C$63)</f>
        <v>46.866388818073915</v>
      </c>
      <c r="H17" s="129">
        <v>-21.479999999999997</v>
      </c>
      <c r="I17" s="131">
        <f t="shared" ref="I17:I23" si="5">(G17+H17)</f>
        <v>25.386388818073918</v>
      </c>
      <c r="J17" s="131">
        <f>ROUND(I17*$C$63*8.76,2)</f>
        <v>65.599999999999994</v>
      </c>
      <c r="K17" s="129">
        <f t="shared" si="2"/>
        <v>121.1121219836666</v>
      </c>
      <c r="L17" s="120"/>
      <c r="N17" s="118"/>
      <c r="O17" s="133"/>
      <c r="Q17" s="129"/>
      <c r="R17" s="129"/>
      <c r="V17" s="154"/>
      <c r="X17" s="160"/>
    </row>
    <row r="18" spans="2:25">
      <c r="B18" s="136">
        <f t="shared" si="0"/>
        <v>2024</v>
      </c>
      <c r="C18" s="137"/>
      <c r="D18" s="129">
        <f t="shared" ref="D18:E33" si="6">ROUND(D17*(1+(IFERROR(INDEX($D$66:$D$74,MATCH($B18,$C$66:$C$74,0),1),0)+IFERROR(INDEX($G$66:$G$74,MATCH($B18,$F$66:$F$74,0),1),0)+IFERROR(INDEX($J$66:$J$74,MATCH($B18,$I$66:$I$74,0),1),0))),2)</f>
        <v>89.41</v>
      </c>
      <c r="E18" s="149">
        <v>33.072463768115945</v>
      </c>
      <c r="F18" s="129">
        <f t="shared" ref="F18:F37" si="7">ROUND(F17*(1+(IFERROR(INDEX($D$66:$D$74,MATCH($B18,$C$66:$C$74,0),1),0)+IFERROR(INDEX($G$66:$G$74,MATCH($B18,$F$66:$F$74,0),1),0)+IFERROR(INDEX($J$66:$J$74,MATCH($B18,$I$66:$I$74,0),1),0))),2)</f>
        <v>1.5</v>
      </c>
      <c r="G18" s="131">
        <f t="shared" si="4"/>
        <v>47.977116232534613</v>
      </c>
      <c r="H18" s="129">
        <v>-21.479999999999997</v>
      </c>
      <c r="I18" s="131">
        <f t="shared" si="5"/>
        <v>26.497116232534616</v>
      </c>
      <c r="J18" s="131">
        <f t="shared" ref="J18:J37" si="8">ROUND(I18*$C$63*8.76,2)</f>
        <v>68.47</v>
      </c>
      <c r="K18" s="129">
        <f t="shared" si="2"/>
        <v>123.98246376811593</v>
      </c>
      <c r="L18" s="120"/>
      <c r="N18" s="118"/>
      <c r="Q18" s="129"/>
      <c r="R18" s="129"/>
      <c r="T18" s="162"/>
      <c r="U18" s="154"/>
      <c r="V18" s="154"/>
      <c r="W18" s="154"/>
      <c r="X18" s="160"/>
      <c r="Y18" s="154"/>
    </row>
    <row r="19" spans="2:25">
      <c r="B19" s="136">
        <f t="shared" si="0"/>
        <v>2025</v>
      </c>
      <c r="C19" s="137"/>
      <c r="D19" s="129">
        <f t="shared" si="6"/>
        <v>91.47</v>
      </c>
      <c r="E19" s="149">
        <v>33.826086956521742</v>
      </c>
      <c r="F19" s="129">
        <f t="shared" si="7"/>
        <v>1.53</v>
      </c>
      <c r="G19" s="131">
        <f t="shared" si="4"/>
        <v>49.077504433295324</v>
      </c>
      <c r="H19" s="129">
        <v>-22.278000000000002</v>
      </c>
      <c r="I19" s="131">
        <f t="shared" si="5"/>
        <v>26.799504433295322</v>
      </c>
      <c r="J19" s="131">
        <f t="shared" si="8"/>
        <v>69.260000000000005</v>
      </c>
      <c r="K19" s="129">
        <f t="shared" si="2"/>
        <v>126.82608695652175</v>
      </c>
      <c r="L19" s="120"/>
      <c r="N19" s="118"/>
      <c r="Q19" s="129"/>
      <c r="R19" s="129"/>
      <c r="T19" s="162"/>
      <c r="U19" s="154"/>
      <c r="V19" s="154"/>
      <c r="W19" s="154"/>
      <c r="X19" s="160"/>
      <c r="Y19" s="154"/>
    </row>
    <row r="20" spans="2:25">
      <c r="B20" s="136">
        <f t="shared" si="0"/>
        <v>2026</v>
      </c>
      <c r="C20" s="137"/>
      <c r="D20" s="129">
        <f t="shared" si="6"/>
        <v>93.57</v>
      </c>
      <c r="E20" s="149">
        <v>34.594202898550726</v>
      </c>
      <c r="F20" s="129">
        <f t="shared" si="7"/>
        <v>1.57</v>
      </c>
      <c r="G20" s="131">
        <f t="shared" si="4"/>
        <v>50.202849198417589</v>
      </c>
      <c r="H20" s="129">
        <v>-22.278000000000002</v>
      </c>
      <c r="I20" s="131">
        <f t="shared" si="5"/>
        <v>27.924849198417586</v>
      </c>
      <c r="J20" s="131">
        <f t="shared" si="8"/>
        <v>72.16</v>
      </c>
      <c r="K20" s="129">
        <f t="shared" si="2"/>
        <v>129.73420289855071</v>
      </c>
      <c r="L20" s="120"/>
      <c r="N20" s="118"/>
      <c r="Q20" s="129"/>
      <c r="R20" s="129"/>
      <c r="T20" s="162"/>
      <c r="U20" s="154"/>
      <c r="V20" s="154"/>
      <c r="W20" s="154"/>
      <c r="X20" s="160"/>
      <c r="Y20" s="154"/>
    </row>
    <row r="21" spans="2:25">
      <c r="B21" s="136">
        <f t="shared" si="0"/>
        <v>2027</v>
      </c>
      <c r="C21" s="137"/>
      <c r="D21" s="129">
        <f t="shared" si="6"/>
        <v>95.72</v>
      </c>
      <c r="E21" s="149">
        <v>35.376811594202898</v>
      </c>
      <c r="F21" s="129">
        <f t="shared" si="7"/>
        <v>1.61</v>
      </c>
      <c r="G21" s="131">
        <f t="shared" si="4"/>
        <v>51.353150527901455</v>
      </c>
      <c r="H21" s="129">
        <v>-23.07</v>
      </c>
      <c r="I21" s="131">
        <f t="shared" si="5"/>
        <v>28.283150527901455</v>
      </c>
      <c r="J21" s="131">
        <f t="shared" si="8"/>
        <v>73.09</v>
      </c>
      <c r="K21" s="129">
        <f t="shared" si="2"/>
        <v>132.70681159420292</v>
      </c>
      <c r="L21" s="120"/>
      <c r="N21" s="118"/>
      <c r="Q21" s="129"/>
      <c r="R21" s="129"/>
      <c r="T21" s="162"/>
      <c r="U21" s="154"/>
      <c r="V21" s="154"/>
      <c r="W21" s="154"/>
      <c r="X21" s="160"/>
      <c r="Y21" s="154"/>
    </row>
    <row r="22" spans="2:25">
      <c r="B22" s="136">
        <f t="shared" si="0"/>
        <v>2028</v>
      </c>
      <c r="C22" s="137"/>
      <c r="D22" s="129">
        <f t="shared" si="6"/>
        <v>97.92</v>
      </c>
      <c r="E22" s="149">
        <v>36.188405797101453</v>
      </c>
      <c r="F22" s="129">
        <f t="shared" si="7"/>
        <v>1.65</v>
      </c>
      <c r="G22" s="131">
        <f t="shared" si="4"/>
        <v>52.534016638457352</v>
      </c>
      <c r="H22" s="129">
        <v>-23.07</v>
      </c>
      <c r="I22" s="131">
        <f t="shared" si="5"/>
        <v>29.464016638457352</v>
      </c>
      <c r="J22" s="131">
        <f t="shared" si="8"/>
        <v>76.14</v>
      </c>
      <c r="K22" s="129">
        <f t="shared" si="2"/>
        <v>135.75840579710146</v>
      </c>
      <c r="L22" s="120"/>
      <c r="N22" s="118"/>
      <c r="Q22" s="129"/>
      <c r="R22" s="129"/>
      <c r="T22" s="162"/>
      <c r="U22" s="154"/>
      <c r="V22" s="154"/>
      <c r="W22" s="154"/>
      <c r="X22" s="160"/>
      <c r="Y22" s="154"/>
    </row>
    <row r="23" spans="2:25">
      <c r="B23" s="136">
        <f t="shared" si="0"/>
        <v>2029</v>
      </c>
      <c r="C23" s="137"/>
      <c r="D23" s="129">
        <f t="shared" si="6"/>
        <v>100.17</v>
      </c>
      <c r="E23" s="149">
        <v>37.014492753623188</v>
      </c>
      <c r="F23" s="129">
        <f t="shared" si="7"/>
        <v>1.69</v>
      </c>
      <c r="G23" s="131">
        <f t="shared" si="4"/>
        <v>53.739839313374823</v>
      </c>
      <c r="H23" s="129">
        <v>-23.867999999999999</v>
      </c>
      <c r="I23" s="131">
        <f t="shared" si="5"/>
        <v>29.871839313374824</v>
      </c>
      <c r="J23" s="131">
        <f t="shared" si="8"/>
        <v>77.19</v>
      </c>
      <c r="K23" s="129">
        <f t="shared" si="2"/>
        <v>138.8744927536232</v>
      </c>
      <c r="L23" s="120"/>
      <c r="N23" s="118"/>
      <c r="Q23" s="129"/>
      <c r="R23" s="129"/>
      <c r="T23" s="162"/>
      <c r="U23" s="154"/>
      <c r="V23" s="154"/>
      <c r="W23" s="154"/>
      <c r="X23" s="160"/>
      <c r="Y23" s="154"/>
    </row>
    <row r="24" spans="2:25">
      <c r="B24" s="136">
        <f t="shared" si="0"/>
        <v>2030</v>
      </c>
      <c r="C24" s="137"/>
      <c r="D24" s="129">
        <f t="shared" si="6"/>
        <v>102.37</v>
      </c>
      <c r="E24" s="149">
        <v>37.855072463768117</v>
      </c>
      <c r="F24" s="129">
        <f t="shared" si="7"/>
        <v>1.73</v>
      </c>
      <c r="G24" s="131">
        <f>(D24+E24+F24)/(8.76*$C$63)</f>
        <v>54.931921857351654</v>
      </c>
      <c r="H24" s="129">
        <v>-24.666</v>
      </c>
      <c r="I24" s="131">
        <f>(G24+H24)</f>
        <v>30.265921857351653</v>
      </c>
      <c r="J24" s="131">
        <f t="shared" si="8"/>
        <v>78.209999999999994</v>
      </c>
      <c r="K24" s="129">
        <f t="shared" si="2"/>
        <v>141.95507246376812</v>
      </c>
      <c r="L24" s="120"/>
      <c r="N24" s="118"/>
      <c r="Q24" s="129"/>
      <c r="R24" s="129"/>
      <c r="T24" s="162"/>
      <c r="U24" s="154"/>
      <c r="V24" s="154"/>
      <c r="W24" s="154"/>
      <c r="X24" s="160"/>
      <c r="Y24" s="154"/>
    </row>
    <row r="25" spans="2:25">
      <c r="B25" s="136">
        <f t="shared" si="0"/>
        <v>2031</v>
      </c>
      <c r="C25" s="137"/>
      <c r="D25" s="129">
        <f t="shared" si="6"/>
        <v>104.62</v>
      </c>
      <c r="E25" s="149">
        <v>38.724637681159422</v>
      </c>
      <c r="F25" s="129">
        <f t="shared" si="7"/>
        <v>1.77</v>
      </c>
      <c r="G25" s="131">
        <f t="shared" ref="G25:G37" si="9">(D25+E25+F25)/(8.76*$C$63)</f>
        <v>56.154569182400536</v>
      </c>
      <c r="H25" s="129">
        <v>-24.666</v>
      </c>
      <c r="I25" s="131">
        <f t="shared" ref="I25:I37" si="10">(G25+H25)</f>
        <v>31.488569182400536</v>
      </c>
      <c r="J25" s="131">
        <f t="shared" si="8"/>
        <v>81.37</v>
      </c>
      <c r="K25" s="129">
        <f t="shared" si="2"/>
        <v>145.11463768115945</v>
      </c>
      <c r="L25" s="120"/>
      <c r="N25" s="118"/>
      <c r="Q25" s="129"/>
      <c r="R25" s="129"/>
      <c r="T25" s="162"/>
      <c r="U25" s="154"/>
      <c r="V25" s="154"/>
      <c r="W25" s="154"/>
      <c r="X25" s="160"/>
      <c r="Y25" s="154"/>
    </row>
    <row r="26" spans="2:25">
      <c r="B26" s="136">
        <f t="shared" si="0"/>
        <v>2032</v>
      </c>
      <c r="C26" s="137"/>
      <c r="D26" s="129">
        <f t="shared" si="6"/>
        <v>106.92</v>
      </c>
      <c r="E26" s="149">
        <v>39.608695652173914</v>
      </c>
      <c r="F26" s="129">
        <f t="shared" si="7"/>
        <v>1.81</v>
      </c>
      <c r="G26" s="131">
        <f t="shared" si="9"/>
        <v>57.402173071810985</v>
      </c>
      <c r="H26" s="129">
        <v>-25.457999999999998</v>
      </c>
      <c r="I26" s="131">
        <f t="shared" si="10"/>
        <v>31.944173071810987</v>
      </c>
      <c r="J26" s="131">
        <f t="shared" si="8"/>
        <v>82.55</v>
      </c>
      <c r="K26" s="129">
        <f t="shared" si="2"/>
        <v>148.33869565217393</v>
      </c>
      <c r="L26" s="120"/>
      <c r="N26" s="118"/>
      <c r="Q26" s="129"/>
      <c r="R26" s="129"/>
      <c r="T26" s="162"/>
      <c r="U26" s="154"/>
      <c r="V26" s="154"/>
      <c r="W26" s="154"/>
      <c r="X26" s="160"/>
      <c r="Y26" s="154"/>
    </row>
    <row r="27" spans="2:25">
      <c r="B27" s="136">
        <f t="shared" si="0"/>
        <v>2033</v>
      </c>
      <c r="C27" s="137"/>
      <c r="D27" s="129">
        <f t="shared" si="6"/>
        <v>109.17</v>
      </c>
      <c r="E27" s="149">
        <v>40.507246376811594</v>
      </c>
      <c r="F27" s="129">
        <f t="shared" si="7"/>
        <v>1.85</v>
      </c>
      <c r="G27" s="131">
        <f t="shared" si="9"/>
        <v>58.63603683028078</v>
      </c>
      <c r="H27" s="129">
        <v>0</v>
      </c>
      <c r="I27" s="131">
        <f t="shared" si="10"/>
        <v>58.63603683028078</v>
      </c>
      <c r="J27" s="131">
        <f t="shared" si="8"/>
        <v>151.53</v>
      </c>
      <c r="K27" s="129">
        <f t="shared" si="2"/>
        <v>151.52724637681158</v>
      </c>
      <c r="L27" s="120"/>
      <c r="N27" s="118"/>
      <c r="Q27" s="129"/>
      <c r="R27" s="129"/>
      <c r="T27" s="162"/>
      <c r="U27" s="154"/>
      <c r="V27" s="154"/>
      <c r="W27" s="154"/>
      <c r="X27" s="160"/>
      <c r="Y27" s="154"/>
    </row>
    <row r="28" spans="2:25">
      <c r="B28" s="136">
        <f t="shared" si="0"/>
        <v>2034</v>
      </c>
      <c r="C28" s="137"/>
      <c r="D28" s="129">
        <f t="shared" si="6"/>
        <v>111.46</v>
      </c>
      <c r="E28" s="149">
        <v>41.434782608695649</v>
      </c>
      <c r="F28" s="129">
        <f t="shared" si="7"/>
        <v>1.89</v>
      </c>
      <c r="G28" s="131">
        <f t="shared" si="9"/>
        <v>59.896595700292409</v>
      </c>
      <c r="H28" s="129">
        <v>0</v>
      </c>
      <c r="I28" s="131">
        <f t="shared" si="10"/>
        <v>59.896595700292409</v>
      </c>
      <c r="J28" s="131">
        <f t="shared" si="8"/>
        <v>154.78</v>
      </c>
      <c r="K28" s="129">
        <f t="shared" si="2"/>
        <v>154.78478260869562</v>
      </c>
      <c r="L28" s="120"/>
      <c r="N28" s="118"/>
      <c r="Q28" s="129"/>
      <c r="R28" s="129"/>
      <c r="T28" s="162"/>
      <c r="U28" s="154"/>
      <c r="V28" s="154"/>
      <c r="W28" s="154"/>
      <c r="X28" s="160"/>
      <c r="Y28" s="154"/>
    </row>
    <row r="29" spans="2:25">
      <c r="B29" s="136">
        <f t="shared" si="0"/>
        <v>2035</v>
      </c>
      <c r="C29" s="137"/>
      <c r="D29" s="129">
        <f t="shared" si="6"/>
        <v>113.8</v>
      </c>
      <c r="E29" s="149">
        <v>42.376811594202898</v>
      </c>
      <c r="F29" s="129">
        <f t="shared" si="7"/>
        <v>1.93</v>
      </c>
      <c r="G29" s="131">
        <f t="shared" si="9"/>
        <v>61.182111134665632</v>
      </c>
      <c r="H29" s="129">
        <v>0</v>
      </c>
      <c r="I29" s="131">
        <f t="shared" si="10"/>
        <v>61.182111134665632</v>
      </c>
      <c r="J29" s="131">
        <f t="shared" si="8"/>
        <v>158.11000000000001</v>
      </c>
      <c r="K29" s="129">
        <f t="shared" si="2"/>
        <v>158.1068115942029</v>
      </c>
      <c r="L29" s="120"/>
      <c r="N29" s="118"/>
      <c r="Q29" s="129"/>
      <c r="R29" s="129"/>
      <c r="T29" s="162"/>
      <c r="U29" s="154"/>
      <c r="V29" s="154"/>
      <c r="W29" s="154"/>
      <c r="X29" s="160"/>
      <c r="Y29" s="154"/>
    </row>
    <row r="30" spans="2:25">
      <c r="B30" s="136">
        <f t="shared" si="0"/>
        <v>2036</v>
      </c>
      <c r="C30" s="137"/>
      <c r="D30" s="129">
        <f t="shared" si="6"/>
        <v>116.19</v>
      </c>
      <c r="E30" s="149">
        <v>43.347826086956523</v>
      </c>
      <c r="F30" s="129">
        <f t="shared" si="7"/>
        <v>1.97</v>
      </c>
      <c r="G30" s="131">
        <f t="shared" si="9"/>
        <v>62.498191350110886</v>
      </c>
      <c r="H30" s="129">
        <v>0</v>
      </c>
      <c r="I30" s="131">
        <f t="shared" si="10"/>
        <v>62.498191350110886</v>
      </c>
      <c r="J30" s="131">
        <f t="shared" si="8"/>
        <v>161.51</v>
      </c>
      <c r="K30" s="129">
        <f t="shared" si="2"/>
        <v>161.50782608695653</v>
      </c>
      <c r="L30" s="120"/>
      <c r="N30" s="118"/>
      <c r="Q30" s="129"/>
      <c r="R30" s="129"/>
      <c r="T30" s="162"/>
      <c r="U30" s="154"/>
      <c r="V30" s="154"/>
      <c r="W30" s="154"/>
      <c r="X30" s="160"/>
      <c r="Y30" s="154"/>
    </row>
    <row r="31" spans="2:25">
      <c r="B31" s="136">
        <f t="shared" si="0"/>
        <v>2037</v>
      </c>
      <c r="C31" s="137"/>
      <c r="D31" s="129">
        <f t="shared" si="6"/>
        <v>118.63</v>
      </c>
      <c r="E31" s="149">
        <v>44.333333333333336</v>
      </c>
      <c r="F31" s="129">
        <f t="shared" si="7"/>
        <v>2.0099999999999998</v>
      </c>
      <c r="G31" s="131">
        <f t="shared" si="9"/>
        <v>63.839228129917714</v>
      </c>
      <c r="H31" s="129">
        <v>0</v>
      </c>
      <c r="I31" s="131">
        <f t="shared" si="10"/>
        <v>63.839228129917714</v>
      </c>
      <c r="J31" s="131">
        <f t="shared" si="8"/>
        <v>164.97</v>
      </c>
      <c r="K31" s="129">
        <f t="shared" si="2"/>
        <v>164.97333333333333</v>
      </c>
      <c r="L31" s="120"/>
      <c r="N31" s="118"/>
      <c r="Q31" s="129"/>
      <c r="R31" s="129"/>
      <c r="T31" s="162"/>
      <c r="U31" s="154"/>
      <c r="V31" s="154"/>
      <c r="W31" s="154"/>
      <c r="X31" s="160"/>
      <c r="Y31" s="154"/>
    </row>
    <row r="32" spans="2:25">
      <c r="B32" s="136">
        <f t="shared" si="0"/>
        <v>2038</v>
      </c>
      <c r="C32" s="137"/>
      <c r="D32" s="129">
        <f t="shared" si="6"/>
        <v>121.12</v>
      </c>
      <c r="E32" s="149">
        <v>45.347826086956523</v>
      </c>
      <c r="F32" s="129">
        <f t="shared" si="7"/>
        <v>2.0499999999999998</v>
      </c>
      <c r="G32" s="131">
        <f t="shared" si="9"/>
        <v>65.210829690796601</v>
      </c>
      <c r="H32" s="129">
        <v>0</v>
      </c>
      <c r="I32" s="131">
        <f t="shared" si="10"/>
        <v>65.210829690796601</v>
      </c>
      <c r="J32" s="131">
        <f t="shared" si="8"/>
        <v>168.52</v>
      </c>
      <c r="K32" s="129">
        <f t="shared" si="2"/>
        <v>168.51782608695655</v>
      </c>
      <c r="L32" s="120"/>
      <c r="N32" s="118"/>
      <c r="Q32" s="129"/>
      <c r="R32" s="129"/>
      <c r="T32" s="162"/>
      <c r="U32" s="154"/>
      <c r="V32" s="154"/>
      <c r="W32" s="154"/>
      <c r="X32" s="160"/>
      <c r="Y32" s="154"/>
    </row>
    <row r="33" spans="2:18">
      <c r="B33" s="136">
        <f t="shared" si="0"/>
        <v>2039</v>
      </c>
      <c r="C33" s="137"/>
      <c r="D33" s="129">
        <f t="shared" si="6"/>
        <v>123.66</v>
      </c>
      <c r="E33" s="129">
        <f t="shared" si="6"/>
        <v>46.3</v>
      </c>
      <c r="F33" s="129">
        <f t="shared" si="7"/>
        <v>2.09</v>
      </c>
      <c r="G33" s="131">
        <f t="shared" si="9"/>
        <v>66.577664267471562</v>
      </c>
      <c r="H33" s="129">
        <v>0</v>
      </c>
      <c r="I33" s="131">
        <f t="shared" si="10"/>
        <v>66.577664267471562</v>
      </c>
      <c r="J33" s="131">
        <f t="shared" si="8"/>
        <v>172.05</v>
      </c>
      <c r="K33" s="129">
        <f t="shared" si="2"/>
        <v>172.04999999999998</v>
      </c>
      <c r="L33" s="120"/>
      <c r="N33" s="118"/>
      <c r="Q33" s="129"/>
      <c r="R33" s="129"/>
    </row>
    <row r="34" spans="2:18">
      <c r="B34" s="136">
        <f t="shared" si="0"/>
        <v>2040</v>
      </c>
      <c r="C34" s="137"/>
      <c r="D34" s="129">
        <f t="shared" ref="D34:E37" si="11">ROUND(D33*(1+(IFERROR(INDEX($D$66:$D$74,MATCH($B34,$C$66:$C$74,0),1),0)+IFERROR(INDEX($G$66:$G$74,MATCH($B34,$F$66:$F$74,0),1),0)+IFERROR(INDEX($J$66:$J$74,MATCH($B34,$I$66:$I$74,0),1),0))),2)</f>
        <v>126.26</v>
      </c>
      <c r="E34" s="129">
        <f t="shared" si="11"/>
        <v>47.27</v>
      </c>
      <c r="F34" s="129">
        <f t="shared" si="7"/>
        <v>2.13</v>
      </c>
      <c r="G34" s="131">
        <f t="shared" si="9"/>
        <v>67.974614967881749</v>
      </c>
      <c r="H34" s="129">
        <v>0</v>
      </c>
      <c r="I34" s="131">
        <f t="shared" si="10"/>
        <v>67.974614967881749</v>
      </c>
      <c r="J34" s="131">
        <f t="shared" si="8"/>
        <v>175.66</v>
      </c>
      <c r="K34" s="129">
        <f t="shared" si="2"/>
        <v>175.66</v>
      </c>
      <c r="L34" s="120"/>
      <c r="N34" s="118"/>
      <c r="Q34" s="129"/>
      <c r="R34" s="129"/>
    </row>
    <row r="35" spans="2:18">
      <c r="B35" s="136">
        <f t="shared" si="0"/>
        <v>2041</v>
      </c>
      <c r="C35" s="137"/>
      <c r="D35" s="129">
        <f t="shared" si="11"/>
        <v>128.91</v>
      </c>
      <c r="E35" s="129">
        <f t="shared" si="11"/>
        <v>48.26</v>
      </c>
      <c r="F35" s="129">
        <f t="shared" si="7"/>
        <v>2.17</v>
      </c>
      <c r="G35" s="131">
        <f t="shared" si="9"/>
        <v>69.398653355003489</v>
      </c>
      <c r="H35" s="129">
        <v>0</v>
      </c>
      <c r="I35" s="131">
        <f t="shared" si="10"/>
        <v>69.398653355003489</v>
      </c>
      <c r="J35" s="131">
        <f t="shared" si="8"/>
        <v>179.34</v>
      </c>
      <c r="K35" s="129">
        <f t="shared" si="2"/>
        <v>179.33999999999997</v>
      </c>
      <c r="L35" s="120"/>
      <c r="N35" s="118"/>
      <c r="Q35" s="129"/>
      <c r="R35" s="129"/>
    </row>
    <row r="36" spans="2:18">
      <c r="B36" s="136">
        <f t="shared" si="0"/>
        <v>2042</v>
      </c>
      <c r="C36" s="137"/>
      <c r="D36" s="129">
        <f t="shared" si="11"/>
        <v>131.62</v>
      </c>
      <c r="E36" s="129">
        <f t="shared" si="11"/>
        <v>49.27</v>
      </c>
      <c r="F36" s="129">
        <f t="shared" si="7"/>
        <v>2.2200000000000002</v>
      </c>
      <c r="G36" s="131">
        <f t="shared" si="9"/>
        <v>70.857518767897233</v>
      </c>
      <c r="H36" s="129">
        <v>0</v>
      </c>
      <c r="I36" s="131">
        <f t="shared" si="10"/>
        <v>70.857518767897233</v>
      </c>
      <c r="J36" s="131">
        <f t="shared" si="8"/>
        <v>183.11</v>
      </c>
      <c r="K36" s="129">
        <f t="shared" si="2"/>
        <v>183.11</v>
      </c>
      <c r="L36" s="120"/>
      <c r="N36" s="118"/>
      <c r="Q36" s="129"/>
      <c r="R36" s="129"/>
    </row>
    <row r="37" spans="2:18">
      <c r="B37" s="136">
        <f t="shared" si="0"/>
        <v>2043</v>
      </c>
      <c r="C37" s="137"/>
      <c r="D37" s="129">
        <f t="shared" si="11"/>
        <v>134.38</v>
      </c>
      <c r="E37" s="129">
        <f t="shared" si="11"/>
        <v>50.3</v>
      </c>
      <c r="F37" s="129">
        <f t="shared" si="7"/>
        <v>2.27</v>
      </c>
      <c r="G37" s="131">
        <f t="shared" si="9"/>
        <v>72.343471867502529</v>
      </c>
      <c r="H37" s="129">
        <v>0</v>
      </c>
      <c r="I37" s="131">
        <f t="shared" si="10"/>
        <v>72.343471867502529</v>
      </c>
      <c r="J37" s="131">
        <f t="shared" si="8"/>
        <v>186.95</v>
      </c>
      <c r="K37" s="129">
        <f t="shared" si="2"/>
        <v>186.95000000000002</v>
      </c>
      <c r="L37" s="120"/>
      <c r="Q37" s="129"/>
      <c r="R37" s="129"/>
    </row>
    <row r="38" spans="2:18">
      <c r="B38" s="136"/>
      <c r="C38" s="137"/>
      <c r="D38" s="129"/>
      <c r="E38" s="129"/>
      <c r="F38" s="131"/>
      <c r="G38" s="129"/>
      <c r="H38" s="129"/>
      <c r="I38" s="131"/>
      <c r="J38" s="131"/>
      <c r="K38" s="129"/>
      <c r="L38" s="120"/>
    </row>
    <row r="39" spans="2:18">
      <c r="B39" s="136"/>
      <c r="C39" s="137"/>
      <c r="D39" s="129"/>
      <c r="E39" s="129"/>
      <c r="F39" s="131"/>
      <c r="G39" s="129"/>
      <c r="H39" s="129"/>
      <c r="I39" s="131"/>
      <c r="J39" s="131"/>
      <c r="K39" s="129"/>
      <c r="L39" s="120"/>
      <c r="Q39" s="375"/>
      <c r="R39" s="375"/>
    </row>
    <row r="40" spans="2:18">
      <c r="B40" s="127"/>
      <c r="C40" s="132"/>
      <c r="D40" s="129"/>
      <c r="E40" s="129"/>
      <c r="F40" s="130"/>
      <c r="G40" s="129"/>
      <c r="H40" s="129"/>
      <c r="I40" s="131"/>
      <c r="J40" s="131"/>
      <c r="K40" s="138"/>
    </row>
    <row r="42" spans="2:18" ht="14.25">
      <c r="B42" s="139" t="s">
        <v>25</v>
      </c>
      <c r="C42" s="140"/>
      <c r="D42" s="140"/>
      <c r="E42" s="140"/>
      <c r="F42" s="140"/>
      <c r="G42" s="140"/>
      <c r="H42" s="140"/>
    </row>
    <row r="44" spans="2:18">
      <c r="B44" s="118" t="s">
        <v>63</v>
      </c>
      <c r="C44" s="141" t="s">
        <v>64</v>
      </c>
      <c r="D44" s="142" t="s">
        <v>102</v>
      </c>
    </row>
    <row r="45" spans="2:18">
      <c r="C45" s="141" t="str">
        <f>C7</f>
        <v>(a)</v>
      </c>
      <c r="D45" s="118" t="s">
        <v>65</v>
      </c>
    </row>
    <row r="46" spans="2:18">
      <c r="C46" s="141" t="str">
        <f>D7</f>
        <v>(b)</v>
      </c>
      <c r="D46" s="131" t="str">
        <f>"= "&amp;C7&amp;" x "&amp;C62</f>
        <v>= (a) x 0.0689863805027125</v>
      </c>
    </row>
    <row r="47" spans="2:18">
      <c r="C47" s="141" t="str">
        <f>G7</f>
        <v>(e)</v>
      </c>
      <c r="D47" s="131" t="str">
        <f>"= ("&amp;$D$7&amp;" + "&amp;$E$7&amp;") /  (8.76 x "&amp;TEXT(C63,"0.0%")&amp;")"</f>
        <v>= ((b) + (c)) /  (8.76 x 29.5%)</v>
      </c>
    </row>
    <row r="48" spans="2:18">
      <c r="C48" s="141" t="str">
        <f>I7</f>
        <v>(g)</v>
      </c>
      <c r="D48" s="131" t="str">
        <f>"= "&amp;$G$7&amp;" + "&amp;$H$7</f>
        <v>= (e) + (f)</v>
      </c>
    </row>
    <row r="49" spans="2:27">
      <c r="C49" s="141" t="str">
        <f>K7</f>
        <v>(i)</v>
      </c>
      <c r="D49" s="85" t="str">
        <f>D44</f>
        <v>Plant Costs  - 2019 IRP Update - Table 6.1 &amp; 6.2</v>
      </c>
    </row>
    <row r="50" spans="2:27">
      <c r="C50" s="141"/>
      <c r="D50" s="131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3"/>
      <c r="E52" s="143"/>
      <c r="F52" s="143"/>
      <c r="G52" s="143"/>
      <c r="H52" s="143"/>
      <c r="I52" s="144"/>
      <c r="J52" s="144"/>
      <c r="K52" s="145"/>
    </row>
    <row r="53" spans="2:27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</row>
    <row r="54" spans="2:27">
      <c r="P54" s="118" t="s">
        <v>103</v>
      </c>
      <c r="Q54" s="279">
        <v>2023</v>
      </c>
    </row>
    <row r="55" spans="2:27">
      <c r="B55" s="85" t="s">
        <v>101</v>
      </c>
      <c r="C55" s="376">
        <v>1301.4978814276944</v>
      </c>
      <c r="D55" s="118" t="s">
        <v>65</v>
      </c>
      <c r="T55" s="118" t="str">
        <f>$Q$56&amp;"Proposed Station Capital Costs"</f>
        <v>H3.US1_WD_CPProposed Station Capital Costs</v>
      </c>
    </row>
    <row r="56" spans="2:27">
      <c r="B56" s="85" t="s">
        <v>101</v>
      </c>
      <c r="C56" s="149">
        <v>28.802174620531375</v>
      </c>
      <c r="D56" s="118" t="s">
        <v>68</v>
      </c>
      <c r="O56" s="118">
        <v>69</v>
      </c>
      <c r="P56" s="118" t="s">
        <v>32</v>
      </c>
      <c r="Q56" s="279" t="s">
        <v>229</v>
      </c>
      <c r="T56" s="118" t="str">
        <f>Q56&amp;"Proposed Station Fixed Costs"</f>
        <v>H3.US1_WD_CPProposed Station Fixed Costs</v>
      </c>
      <c r="AA56" s="280"/>
    </row>
    <row r="57" spans="2:27" ht="24" customHeight="1">
      <c r="B57" s="85"/>
      <c r="C57" s="154"/>
      <c r="D57" s="118" t="s">
        <v>105</v>
      </c>
    </row>
    <row r="58" spans="2:27">
      <c r="B58" s="85" t="s">
        <v>101</v>
      </c>
      <c r="C58" s="149">
        <v>0</v>
      </c>
      <c r="D58" s="118" t="s">
        <v>69</v>
      </c>
      <c r="K58" s="120"/>
      <c r="L58" s="377"/>
      <c r="M58" s="52"/>
      <c r="N58" s="164"/>
      <c r="O58" s="52"/>
      <c r="P58" s="52"/>
      <c r="Q58" s="120"/>
      <c r="R58" s="120"/>
      <c r="U58" s="120"/>
      <c r="V58" s="120"/>
      <c r="W58" s="120"/>
      <c r="X58" s="120"/>
      <c r="Y58" s="120"/>
    </row>
    <row r="59" spans="2:27">
      <c r="B59" s="85"/>
      <c r="C59" s="159"/>
      <c r="D59" s="118" t="s">
        <v>70</v>
      </c>
      <c r="I59" s="378" t="s">
        <v>91</v>
      </c>
      <c r="L59" s="379"/>
      <c r="M59" s="153"/>
      <c r="O59" s="151"/>
      <c r="P59" s="120"/>
      <c r="Q59" s="215" t="str">
        <f>Q56&amp;Q54</f>
        <v>H3.US1_WD_CP2023</v>
      </c>
      <c r="R59" s="120"/>
      <c r="U59" s="120"/>
      <c r="V59" s="120"/>
      <c r="W59" s="120"/>
      <c r="X59" s="120"/>
      <c r="Y59" s="120"/>
    </row>
    <row r="60" spans="2:27">
      <c r="B60" s="371" t="s">
        <v>253</v>
      </c>
      <c r="C60" s="154">
        <v>1.4680258019147514</v>
      </c>
      <c r="D60" s="118" t="s">
        <v>218</v>
      </c>
      <c r="F60" s="118" t="s">
        <v>221</v>
      </c>
      <c r="K60" s="379"/>
      <c r="L60" s="379"/>
      <c r="M60" s="379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7">
      <c r="B61" s="85"/>
      <c r="C61" s="201"/>
      <c r="K61" s="379"/>
      <c r="L61" s="379"/>
      <c r="M61" s="379"/>
      <c r="N61" s="165"/>
      <c r="O61" s="379"/>
      <c r="R61" s="120"/>
      <c r="T61" s="120"/>
      <c r="U61" s="120"/>
      <c r="V61" s="120"/>
      <c r="W61" s="120"/>
      <c r="X61" s="120"/>
      <c r="Y61" s="120"/>
    </row>
    <row r="62" spans="2:27">
      <c r="C62" s="380">
        <v>6.898638050271251E-2</v>
      </c>
      <c r="D62" s="118" t="s">
        <v>36</v>
      </c>
      <c r="K62" s="291"/>
      <c r="L62" s="157"/>
      <c r="M62" s="157"/>
      <c r="O62" s="158"/>
    </row>
    <row r="63" spans="2:27">
      <c r="C63" s="381">
        <v>0.29499999999999998</v>
      </c>
      <c r="D63" s="118" t="s">
        <v>37</v>
      </c>
    </row>
    <row r="64" spans="2:27" ht="13.5" thickBot="1">
      <c r="D64" s="155"/>
    </row>
    <row r="65" spans="3:14" ht="13.5" thickBot="1">
      <c r="C65" s="40" t="s">
        <v>254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2.1000000000000001E-2</v>
      </c>
    </row>
    <row r="69" spans="3:14">
      <c r="C69" s="87">
        <f t="shared" si="12"/>
        <v>2020</v>
      </c>
      <c r="D69" s="41">
        <v>1.9E-2</v>
      </c>
      <c r="E69" s="85"/>
      <c r="F69" s="87">
        <f t="shared" si="13"/>
        <v>2029</v>
      </c>
      <c r="G69" s="41">
        <v>2.3E-2</v>
      </c>
      <c r="H69" s="41"/>
      <c r="I69" s="87">
        <f t="shared" si="14"/>
        <v>2038</v>
      </c>
      <c r="J69" s="41">
        <v>2.1000000000000001E-2</v>
      </c>
    </row>
    <row r="70" spans="3:14">
      <c r="C70" s="87">
        <f t="shared" si="12"/>
        <v>2021</v>
      </c>
      <c r="D70" s="41">
        <v>0.02</v>
      </c>
      <c r="E70" s="85"/>
      <c r="F70" s="87">
        <f t="shared" si="13"/>
        <v>2030</v>
      </c>
      <c r="G70" s="41">
        <v>2.1999999999999999E-2</v>
      </c>
      <c r="H70" s="41"/>
      <c r="I70" s="87">
        <f t="shared" si="14"/>
        <v>2039</v>
      </c>
      <c r="J70" s="41">
        <v>2.1000000000000001E-2</v>
      </c>
    </row>
    <row r="71" spans="3:14">
      <c r="C71" s="87">
        <f t="shared" si="12"/>
        <v>2022</v>
      </c>
      <c r="D71" s="41">
        <v>2.5000000000000001E-2</v>
      </c>
      <c r="E71" s="85"/>
      <c r="F71" s="87">
        <f t="shared" si="13"/>
        <v>2031</v>
      </c>
      <c r="G71" s="41">
        <v>2.1999999999999999E-2</v>
      </c>
      <c r="H71" s="41"/>
      <c r="I71" s="87">
        <f t="shared" si="14"/>
        <v>2040</v>
      </c>
      <c r="J71" s="41">
        <v>2.1000000000000001E-2</v>
      </c>
    </row>
    <row r="72" spans="3:14" s="120" customFormat="1">
      <c r="C72" s="87">
        <f t="shared" si="12"/>
        <v>2023</v>
      </c>
      <c r="D72" s="41">
        <v>2.5000000000000001E-2</v>
      </c>
      <c r="E72" s="86"/>
      <c r="F72" s="87">
        <f t="shared" si="13"/>
        <v>2032</v>
      </c>
      <c r="G72" s="41">
        <v>2.1999999999999999E-2</v>
      </c>
      <c r="H72" s="41"/>
      <c r="I72" s="87">
        <f t="shared" si="14"/>
        <v>2041</v>
      </c>
      <c r="J72" s="41">
        <v>2.1000000000000001E-2</v>
      </c>
      <c r="N72" s="165"/>
    </row>
    <row r="73" spans="3:14" s="120" customFormat="1">
      <c r="C73" s="87">
        <f t="shared" si="12"/>
        <v>2024</v>
      </c>
      <c r="D73" s="41">
        <v>2.4E-2</v>
      </c>
      <c r="E73" s="86"/>
      <c r="F73" s="87">
        <f t="shared" si="13"/>
        <v>2033</v>
      </c>
      <c r="G73" s="41">
        <v>2.1000000000000001E-2</v>
      </c>
      <c r="H73" s="41"/>
      <c r="I73" s="87">
        <f t="shared" si="14"/>
        <v>2042</v>
      </c>
      <c r="J73" s="41">
        <v>2.1000000000000001E-2</v>
      </c>
      <c r="N73" s="165"/>
    </row>
    <row r="74" spans="3:14" s="120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2.1000000000000001E-2</v>
      </c>
      <c r="H74" s="41"/>
      <c r="I74" s="87">
        <f t="shared" si="14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K22" sqref="K22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bestFit="1" customWidth="1"/>
    <col min="6" max="6" width="13.5" style="118" customWidth="1"/>
    <col min="7" max="7" width="9.5" style="118" bestFit="1" customWidth="1"/>
    <col min="8" max="8" width="9.5" style="118" customWidth="1"/>
    <col min="9" max="9" width="10.5" style="118" customWidth="1"/>
    <col min="10" max="10" width="12.6640625" style="118" customWidth="1"/>
    <col min="11" max="11" width="14" style="118" customWidth="1"/>
    <col min="12" max="12" width="13.1640625" style="118" customWidth="1"/>
    <col min="13" max="13" width="3.1640625" style="118" customWidth="1"/>
    <col min="14" max="14" width="15" style="118" hidden="1" customWidth="1"/>
    <col min="15" max="15" width="5.6640625" style="162" customWidth="1"/>
    <col min="16" max="16" width="9.33203125" style="118"/>
    <col min="17" max="17" width="10" style="118" customWidth="1"/>
    <col min="18" max="18" width="12.6640625" style="118" customWidth="1"/>
    <col min="19" max="19" width="18.1640625" style="118" customWidth="1"/>
    <col min="20" max="22" width="9.33203125" style="118"/>
    <col min="23" max="23" width="9.6640625" style="118" bestFit="1" customWidth="1"/>
    <col min="24" max="16384" width="9.33203125" style="118"/>
  </cols>
  <sheetData>
    <row r="1" spans="2:25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25" ht="15.75">
      <c r="B2" s="116" t="s">
        <v>99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25" ht="15.75">
      <c r="B3" s="116" t="str">
        <f>TEXT($C$63,"0%")&amp;" Capacity Factor"</f>
        <v>44% Capacity Factor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25">
      <c r="B4" s="119"/>
      <c r="C4" s="119"/>
      <c r="D4" s="119"/>
      <c r="E4" s="119"/>
      <c r="F4" s="119"/>
      <c r="G4" s="119"/>
      <c r="H4" s="119"/>
      <c r="I4" s="119"/>
      <c r="J4" s="120"/>
      <c r="K4" s="120"/>
      <c r="L4" s="120"/>
    </row>
    <row r="5" spans="2:25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104</v>
      </c>
      <c r="J5" s="122" t="s">
        <v>73</v>
      </c>
      <c r="K5" s="17" t="s">
        <v>52</v>
      </c>
      <c r="L5" s="122" t="s">
        <v>224</v>
      </c>
      <c r="N5" s="215"/>
      <c r="O5" s="215"/>
      <c r="Q5" s="215"/>
      <c r="S5" s="277"/>
      <c r="U5" s="274"/>
      <c r="V5" s="275"/>
      <c r="W5" s="274"/>
      <c r="X5" s="275"/>
      <c r="Y5" s="120"/>
    </row>
    <row r="6" spans="2:25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8" t="s">
        <v>31</v>
      </c>
      <c r="J6" s="124" t="s">
        <v>31</v>
      </c>
      <c r="K6" s="19" t="s">
        <v>9</v>
      </c>
      <c r="L6" s="125" t="s">
        <v>9</v>
      </c>
      <c r="S6" s="278"/>
    </row>
    <row r="7" spans="2:25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L7" s="126" t="s">
        <v>24</v>
      </c>
    </row>
    <row r="8" spans="2:25" ht="6" customHeight="1">
      <c r="L8" s="120"/>
    </row>
    <row r="9" spans="2:25" ht="15.75">
      <c r="B9" s="43" t="str">
        <f>C52</f>
        <v>2019 IRP Wyoming Wind Resource - 44% Capacity Factor</v>
      </c>
      <c r="C9" s="120"/>
      <c r="E9" s="120"/>
      <c r="F9" s="120"/>
      <c r="G9" s="120"/>
      <c r="H9" s="120"/>
      <c r="I9" s="120"/>
      <c r="J9" s="120"/>
      <c r="K9" s="120"/>
      <c r="L9" s="120"/>
      <c r="O9" s="118"/>
    </row>
    <row r="10" spans="2:25">
      <c r="B10" s="127">
        <v>2016</v>
      </c>
      <c r="C10" s="128"/>
      <c r="D10" s="129"/>
      <c r="E10" s="129"/>
      <c r="F10" s="129"/>
      <c r="G10" s="130"/>
      <c r="H10" s="130"/>
      <c r="I10" s="129"/>
      <c r="J10" s="131"/>
      <c r="K10" s="131"/>
      <c r="L10" s="129"/>
      <c r="O10" s="163"/>
    </row>
    <row r="11" spans="2:25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29"/>
      <c r="J11" s="131"/>
      <c r="K11" s="131"/>
      <c r="L11" s="129"/>
      <c r="O11" s="118"/>
    </row>
    <row r="12" spans="2:25">
      <c r="B12" s="136">
        <f t="shared" si="0"/>
        <v>2018</v>
      </c>
      <c r="C12" s="137"/>
      <c r="D12" s="129"/>
      <c r="E12" s="149"/>
      <c r="F12" s="149"/>
      <c r="G12" s="131"/>
      <c r="H12" s="149"/>
      <c r="I12" s="129"/>
      <c r="J12" s="131"/>
      <c r="K12" s="131"/>
      <c r="L12" s="129">
        <f t="shared" ref="L12:L37" si="1">(D12+E12+F12)</f>
        <v>0</v>
      </c>
      <c r="M12" s="120"/>
      <c r="O12" s="118"/>
      <c r="S12" s="149"/>
      <c r="U12" s="162"/>
      <c r="V12" s="154"/>
      <c r="W12" s="154"/>
    </row>
    <row r="13" spans="2:25">
      <c r="B13" s="136">
        <f t="shared" si="0"/>
        <v>2019</v>
      </c>
      <c r="C13" s="137"/>
      <c r="D13" s="129"/>
      <c r="E13" s="149"/>
      <c r="F13" s="149"/>
      <c r="G13" s="131"/>
      <c r="H13" s="129"/>
      <c r="I13" s="129"/>
      <c r="J13" s="131"/>
      <c r="K13" s="131"/>
      <c r="L13" s="129">
        <f t="shared" si="1"/>
        <v>0</v>
      </c>
      <c r="M13" s="120"/>
      <c r="O13" s="118"/>
      <c r="W13" s="154"/>
    </row>
    <row r="14" spans="2:25">
      <c r="B14" s="136">
        <f t="shared" si="0"/>
        <v>2020</v>
      </c>
      <c r="C14" s="137"/>
      <c r="D14" s="129"/>
      <c r="E14" s="129"/>
      <c r="F14" s="129"/>
      <c r="G14" s="131"/>
      <c r="H14" s="129"/>
      <c r="I14" s="129"/>
      <c r="J14" s="131"/>
      <c r="K14" s="131"/>
      <c r="L14" s="129">
        <f t="shared" si="1"/>
        <v>0</v>
      </c>
      <c r="M14" s="120"/>
      <c r="O14" s="118"/>
      <c r="P14" s="133"/>
      <c r="Q14" s="134"/>
      <c r="R14" s="135"/>
      <c r="W14" s="154"/>
    </row>
    <row r="15" spans="2:25">
      <c r="B15" s="136">
        <f t="shared" si="0"/>
        <v>2021</v>
      </c>
      <c r="C15" s="137"/>
      <c r="D15" s="129"/>
      <c r="E15" s="129"/>
      <c r="F15" s="129"/>
      <c r="G15" s="131"/>
      <c r="H15" s="129"/>
      <c r="I15" s="129"/>
      <c r="J15" s="131"/>
      <c r="K15" s="131"/>
      <c r="L15" s="129">
        <f t="shared" si="1"/>
        <v>0</v>
      </c>
      <c r="M15" s="120"/>
      <c r="O15" s="118"/>
      <c r="P15" s="273"/>
      <c r="Q15" s="134"/>
      <c r="R15" s="135"/>
      <c r="W15" s="154"/>
    </row>
    <row r="16" spans="2:25">
      <c r="B16" s="136">
        <f t="shared" si="0"/>
        <v>2022</v>
      </c>
      <c r="C16" s="137"/>
      <c r="D16" s="129"/>
      <c r="E16" s="129"/>
      <c r="F16" s="129"/>
      <c r="G16" s="131"/>
      <c r="H16" s="129"/>
      <c r="I16" s="129"/>
      <c r="J16" s="131"/>
      <c r="K16" s="131"/>
      <c r="L16" s="129">
        <f t="shared" si="1"/>
        <v>0</v>
      </c>
      <c r="M16" s="120"/>
      <c r="O16" s="118"/>
      <c r="W16" s="154"/>
    </row>
    <row r="17" spans="2:26">
      <c r="B17" s="136">
        <f t="shared" si="0"/>
        <v>2023</v>
      </c>
      <c r="C17" s="137"/>
      <c r="D17" s="129"/>
      <c r="E17" s="129"/>
      <c r="F17" s="129"/>
      <c r="G17" s="131"/>
      <c r="H17" s="129"/>
      <c r="I17" s="129"/>
      <c r="J17" s="131"/>
      <c r="K17" s="131"/>
      <c r="L17" s="129">
        <f t="shared" si="1"/>
        <v>0</v>
      </c>
      <c r="M17" s="120"/>
      <c r="O17" s="118"/>
      <c r="P17" s="133"/>
      <c r="W17" s="154"/>
    </row>
    <row r="18" spans="2:26">
      <c r="B18" s="136">
        <f t="shared" si="0"/>
        <v>2024</v>
      </c>
      <c r="C18" s="349">
        <v>1252.8729166666667</v>
      </c>
      <c r="D18" s="129">
        <f>C18*$C$62</f>
        <v>86.431167750709889</v>
      </c>
      <c r="E18" s="270">
        <v>32.969791666666666</v>
      </c>
      <c r="F18" s="372">
        <f>C60</f>
        <v>47.870308055404152</v>
      </c>
      <c r="G18" s="131">
        <f>(D18+E18+F18)/(8.76*$C$63)</f>
        <v>43.795627401653867</v>
      </c>
      <c r="H18" s="129"/>
      <c r="I18" s="129">
        <v>-20.480000000000004</v>
      </c>
      <c r="J18" s="131">
        <f>(G18+H18+I18)</f>
        <v>23.315627401653863</v>
      </c>
      <c r="K18" s="131">
        <f t="shared" ref="K18:K32" si="2">ROUND(J18*$C$63*8.76,2)</f>
        <v>89.05</v>
      </c>
      <c r="L18" s="129">
        <f t="shared" si="1"/>
        <v>167.27126747278072</v>
      </c>
      <c r="M18" s="120"/>
      <c r="O18" s="118"/>
      <c r="Q18" s="131"/>
      <c r="U18" s="162"/>
      <c r="V18" s="154"/>
      <c r="W18" s="154"/>
      <c r="X18" s="154"/>
      <c r="Y18" s="154"/>
      <c r="Z18" s="154"/>
    </row>
    <row r="19" spans="2:26">
      <c r="B19" s="136">
        <f t="shared" si="0"/>
        <v>2025</v>
      </c>
      <c r="C19" s="137"/>
      <c r="D19" s="129">
        <f t="shared" ref="D19:D37" si="3">ROUND(D18*(1+(IFERROR(INDEX($D$66:$D$74,MATCH($B19,$C$66:$C$74,0),1),0)+IFERROR(INDEX($G$66:$G$74,MATCH($B19,$F$66:$F$74,0),1),0)+IFERROR(INDEX($J$66:$J$74,MATCH($B19,$I$66:$I$74,0),1),0))),2)</f>
        <v>88.42</v>
      </c>
      <c r="E19" s="270">
        <v>33.73020833333333</v>
      </c>
      <c r="F19" s="129">
        <f t="shared" ref="F19:F37" si="4">ROUND(F18*(1+(IFERROR(INDEX($D$66:$D$74,MATCH($B19,$C$66:$C$74,0),1),0)+IFERROR(INDEX($G$66:$G$74,MATCH($B19,$F$66:$F$74,0),1),0)+IFERROR(INDEX($J$66:$J$74,MATCH($B19,$I$66:$I$74,0),1),0))),2)</f>
        <v>48.97</v>
      </c>
      <c r="G19" s="131">
        <f t="shared" ref="G19:G37" si="5">(D19+E19+F19)/(8.76*$C$63)</f>
        <v>44.8033723800148</v>
      </c>
      <c r="H19" s="129"/>
      <c r="I19" s="129">
        <f t="shared" ref="I19:I27" si="6">ROUND(I18*(1+(IFERROR(INDEX($D$66:$D$74,MATCH($B19,$C$66:$C$74,0),1),0)+IFERROR(INDEX($G$66:$G$74,MATCH($B19,$F$66:$F$74,0),1),0)+IFERROR(INDEX($J$66:$J$74,MATCH($B19,$I$66:$I$74,0),1),0))),2)</f>
        <v>-20.95</v>
      </c>
      <c r="J19" s="131">
        <f t="shared" ref="J19:J37" si="7">(G19+H19+I19)</f>
        <v>23.8533723800148</v>
      </c>
      <c r="K19" s="131">
        <f t="shared" si="2"/>
        <v>91.1</v>
      </c>
      <c r="L19" s="129">
        <f t="shared" si="1"/>
        <v>171.12020833333332</v>
      </c>
      <c r="M19" s="120"/>
      <c r="O19" s="118"/>
      <c r="Q19" s="131"/>
      <c r="U19" s="162"/>
      <c r="V19" s="154"/>
      <c r="W19" s="154"/>
      <c r="X19" s="154"/>
      <c r="Y19" s="154"/>
      <c r="Z19" s="154"/>
    </row>
    <row r="20" spans="2:26">
      <c r="B20" s="136">
        <f t="shared" si="0"/>
        <v>2026</v>
      </c>
      <c r="C20" s="137"/>
      <c r="D20" s="129">
        <f t="shared" si="3"/>
        <v>90.45</v>
      </c>
      <c r="E20" s="270">
        <v>34.490104166666669</v>
      </c>
      <c r="F20" s="129">
        <f t="shared" si="4"/>
        <v>50.1</v>
      </c>
      <c r="G20" s="131">
        <f t="shared" si="5"/>
        <v>45.829695071076486</v>
      </c>
      <c r="H20" s="129"/>
      <c r="I20" s="129">
        <f t="shared" si="6"/>
        <v>-21.43</v>
      </c>
      <c r="J20" s="131">
        <f t="shared" si="7"/>
        <v>24.399695071076486</v>
      </c>
      <c r="K20" s="131">
        <f t="shared" si="2"/>
        <v>93.19</v>
      </c>
      <c r="L20" s="129">
        <f t="shared" si="1"/>
        <v>175.04010416666668</v>
      </c>
      <c r="M20" s="120"/>
      <c r="O20" s="118"/>
      <c r="Q20" s="131"/>
      <c r="S20" s="154"/>
      <c r="U20" s="162"/>
      <c r="V20" s="154"/>
      <c r="W20" s="154"/>
      <c r="X20" s="154"/>
      <c r="Y20" s="154"/>
      <c r="Z20" s="154"/>
    </row>
    <row r="21" spans="2:26">
      <c r="B21" s="136">
        <f t="shared" si="0"/>
        <v>2027</v>
      </c>
      <c r="C21" s="137"/>
      <c r="D21" s="129">
        <f t="shared" si="3"/>
        <v>92.53</v>
      </c>
      <c r="E21" s="270">
        <v>35.280208333333334</v>
      </c>
      <c r="F21" s="129">
        <f t="shared" si="4"/>
        <v>51.25</v>
      </c>
      <c r="G21" s="131">
        <f t="shared" si="5"/>
        <v>46.882254705849491</v>
      </c>
      <c r="H21" s="200">
        <v>1</v>
      </c>
      <c r="I21" s="129">
        <f t="shared" si="6"/>
        <v>-21.92</v>
      </c>
      <c r="J21" s="131">
        <f t="shared" si="7"/>
        <v>25.962254705849489</v>
      </c>
      <c r="K21" s="131">
        <f t="shared" si="2"/>
        <v>99.16</v>
      </c>
      <c r="L21" s="129">
        <f t="shared" si="1"/>
        <v>179.06020833333332</v>
      </c>
      <c r="M21" s="120"/>
      <c r="O21" s="118"/>
      <c r="Q21" s="131"/>
      <c r="S21" s="154"/>
      <c r="U21" s="162"/>
      <c r="V21" s="154"/>
      <c r="W21" s="154"/>
      <c r="X21" s="154"/>
      <c r="Y21" s="154"/>
      <c r="Z21" s="154"/>
    </row>
    <row r="22" spans="2:26">
      <c r="B22" s="136">
        <f t="shared" si="0"/>
        <v>2028</v>
      </c>
      <c r="C22" s="137"/>
      <c r="D22" s="129">
        <f t="shared" si="3"/>
        <v>94.66</v>
      </c>
      <c r="E22" s="270">
        <v>36.09010416666667</v>
      </c>
      <c r="F22" s="129">
        <f t="shared" si="4"/>
        <v>52.43</v>
      </c>
      <c r="G22" s="131">
        <f t="shared" si="5"/>
        <v>47.960942191012805</v>
      </c>
      <c r="H22" s="200">
        <v>1</v>
      </c>
      <c r="I22" s="129">
        <f t="shared" si="6"/>
        <v>-22.42</v>
      </c>
      <c r="J22" s="131">
        <f t="shared" si="7"/>
        <v>26.540942191012803</v>
      </c>
      <c r="K22" s="131">
        <f t="shared" si="2"/>
        <v>101.37</v>
      </c>
      <c r="L22" s="129">
        <f t="shared" si="1"/>
        <v>183.18010416666667</v>
      </c>
      <c r="M22" s="120"/>
      <c r="O22" s="118"/>
      <c r="Q22" s="131"/>
      <c r="S22" s="154"/>
      <c r="U22" s="162"/>
      <c r="V22" s="154"/>
      <c r="W22" s="154"/>
      <c r="X22" s="154"/>
      <c r="Y22" s="154"/>
      <c r="Z22" s="154"/>
    </row>
    <row r="23" spans="2:26">
      <c r="B23" s="136">
        <f t="shared" si="0"/>
        <v>2029</v>
      </c>
      <c r="C23" s="137"/>
      <c r="D23" s="129">
        <f t="shared" si="3"/>
        <v>96.84</v>
      </c>
      <c r="E23" s="270">
        <v>36.90989583333333</v>
      </c>
      <c r="F23" s="129">
        <f t="shared" si="4"/>
        <v>53.64</v>
      </c>
      <c r="G23" s="131">
        <f t="shared" si="5"/>
        <v>49.06316656019159</v>
      </c>
      <c r="H23" s="200">
        <v>1</v>
      </c>
      <c r="I23" s="129">
        <f t="shared" si="6"/>
        <v>-22.94</v>
      </c>
      <c r="J23" s="131">
        <f t="shared" si="7"/>
        <v>27.123166560191589</v>
      </c>
      <c r="K23" s="131">
        <f t="shared" si="2"/>
        <v>103.59</v>
      </c>
      <c r="L23" s="129">
        <f t="shared" si="1"/>
        <v>187.38989583333336</v>
      </c>
      <c r="M23" s="120"/>
      <c r="O23" s="118"/>
      <c r="Q23" s="131"/>
      <c r="S23" s="154"/>
      <c r="U23" s="162"/>
      <c r="V23" s="154"/>
      <c r="W23" s="154"/>
      <c r="X23" s="154"/>
      <c r="Y23" s="154"/>
      <c r="Z23" s="154"/>
    </row>
    <row r="24" spans="2:26">
      <c r="B24" s="136">
        <f t="shared" si="0"/>
        <v>2030</v>
      </c>
      <c r="C24" s="137"/>
      <c r="D24" s="129">
        <f t="shared" si="3"/>
        <v>98.97</v>
      </c>
      <c r="E24" s="270">
        <v>37.75</v>
      </c>
      <c r="F24" s="129">
        <f t="shared" si="4"/>
        <v>54.82</v>
      </c>
      <c r="G24" s="131">
        <f t="shared" si="5"/>
        <v>50.149763311130656</v>
      </c>
      <c r="H24" s="200">
        <v>1</v>
      </c>
      <c r="I24" s="129">
        <f t="shared" si="6"/>
        <v>-23.44</v>
      </c>
      <c r="J24" s="131">
        <f t="shared" si="7"/>
        <v>27.709763311130654</v>
      </c>
      <c r="K24" s="131">
        <f t="shared" si="2"/>
        <v>105.83</v>
      </c>
      <c r="L24" s="129">
        <f t="shared" si="1"/>
        <v>191.54</v>
      </c>
      <c r="M24" s="120"/>
      <c r="O24" s="118"/>
      <c r="Q24" s="131"/>
      <c r="S24" s="154"/>
      <c r="U24" s="162"/>
      <c r="V24" s="154"/>
      <c r="W24" s="154"/>
      <c r="X24" s="154"/>
      <c r="Y24" s="154"/>
      <c r="Z24" s="154"/>
    </row>
    <row r="25" spans="2:26">
      <c r="B25" s="136">
        <f t="shared" si="0"/>
        <v>2031</v>
      </c>
      <c r="C25" s="137"/>
      <c r="D25" s="129">
        <f t="shared" si="3"/>
        <v>101.15</v>
      </c>
      <c r="E25" s="270">
        <v>38.609895833333333</v>
      </c>
      <c r="F25" s="129">
        <f t="shared" si="4"/>
        <v>56.03</v>
      </c>
      <c r="G25" s="131">
        <f t="shared" si="5"/>
        <v>51.262487912460024</v>
      </c>
      <c r="H25" s="200">
        <v>1</v>
      </c>
      <c r="I25" s="129">
        <f t="shared" si="6"/>
        <v>-23.96</v>
      </c>
      <c r="J25" s="131">
        <f t="shared" si="7"/>
        <v>28.302487912460023</v>
      </c>
      <c r="K25" s="131">
        <f t="shared" si="2"/>
        <v>108.1</v>
      </c>
      <c r="L25" s="129">
        <f t="shared" si="1"/>
        <v>195.78989583333333</v>
      </c>
      <c r="M25" s="120"/>
      <c r="O25" s="118"/>
      <c r="Q25" s="131"/>
      <c r="S25" s="154"/>
      <c r="U25" s="162"/>
      <c r="V25" s="154"/>
      <c r="W25" s="154"/>
      <c r="X25" s="154"/>
      <c r="Y25" s="154"/>
      <c r="Z25" s="154"/>
    </row>
    <row r="26" spans="2:26">
      <c r="B26" s="136">
        <f t="shared" si="0"/>
        <v>2032</v>
      </c>
      <c r="C26" s="137"/>
      <c r="D26" s="129">
        <f t="shared" si="3"/>
        <v>103.38</v>
      </c>
      <c r="E26" s="270">
        <v>39.490104166666669</v>
      </c>
      <c r="F26" s="129">
        <f t="shared" si="4"/>
        <v>57.26</v>
      </c>
      <c r="G26" s="131">
        <f t="shared" si="5"/>
        <v>52.398858491125907</v>
      </c>
      <c r="H26" s="200">
        <v>1</v>
      </c>
      <c r="I26" s="129">
        <f t="shared" si="6"/>
        <v>-24.49</v>
      </c>
      <c r="J26" s="131">
        <f t="shared" si="7"/>
        <v>28.908858491125908</v>
      </c>
      <c r="K26" s="131">
        <f t="shared" si="2"/>
        <v>110.41</v>
      </c>
      <c r="L26" s="129">
        <f t="shared" si="1"/>
        <v>200.13010416666665</v>
      </c>
      <c r="M26" s="120"/>
      <c r="O26" s="118"/>
      <c r="Q26" s="131"/>
      <c r="S26" s="154"/>
      <c r="U26" s="162"/>
      <c r="V26" s="154"/>
      <c r="W26" s="154"/>
      <c r="X26" s="154"/>
      <c r="Y26" s="154"/>
      <c r="Z26" s="154"/>
    </row>
    <row r="27" spans="2:26">
      <c r="B27" s="136">
        <f t="shared" si="0"/>
        <v>2033</v>
      </c>
      <c r="C27" s="137"/>
      <c r="D27" s="129">
        <f t="shared" si="3"/>
        <v>105.55</v>
      </c>
      <c r="E27" s="270">
        <v>40.390104166666667</v>
      </c>
      <c r="F27" s="129">
        <f t="shared" si="4"/>
        <v>58.46</v>
      </c>
      <c r="G27" s="131">
        <f t="shared" si="5"/>
        <v>53.516846845195701</v>
      </c>
      <c r="H27" s="200">
        <v>1</v>
      </c>
      <c r="I27" s="129">
        <f t="shared" si="6"/>
        <v>-25</v>
      </c>
      <c r="J27" s="131">
        <f t="shared" si="7"/>
        <v>29.516846845195701</v>
      </c>
      <c r="K27" s="131">
        <f t="shared" si="2"/>
        <v>112.74</v>
      </c>
      <c r="L27" s="129">
        <f t="shared" si="1"/>
        <v>204.40010416666667</v>
      </c>
      <c r="M27" s="120"/>
      <c r="O27" s="118"/>
      <c r="Q27" s="131"/>
      <c r="S27" s="154"/>
      <c r="U27" s="162"/>
      <c r="V27" s="154"/>
      <c r="W27" s="154"/>
      <c r="X27" s="154"/>
      <c r="Y27" s="154"/>
      <c r="Z27" s="154"/>
    </row>
    <row r="28" spans="2:26">
      <c r="B28" s="136">
        <f t="shared" si="0"/>
        <v>2034</v>
      </c>
      <c r="C28" s="137"/>
      <c r="D28" s="129">
        <f t="shared" si="3"/>
        <v>107.77</v>
      </c>
      <c r="E28" s="270">
        <v>41.309895833333336</v>
      </c>
      <c r="F28" s="129">
        <f t="shared" si="4"/>
        <v>59.69</v>
      </c>
      <c r="G28" s="131">
        <f t="shared" si="5"/>
        <v>54.660963049655784</v>
      </c>
      <c r="H28" s="200">
        <v>1</v>
      </c>
      <c r="I28" s="129"/>
      <c r="J28" s="131">
        <f t="shared" si="7"/>
        <v>55.660963049655784</v>
      </c>
      <c r="K28" s="131">
        <f t="shared" si="2"/>
        <v>212.59</v>
      </c>
      <c r="L28" s="129">
        <f t="shared" si="1"/>
        <v>208.76989583333332</v>
      </c>
      <c r="M28" s="120"/>
      <c r="O28" s="118"/>
      <c r="Q28" s="131"/>
      <c r="S28" s="154"/>
      <c r="U28" s="162"/>
      <c r="V28" s="154"/>
      <c r="W28" s="154"/>
      <c r="X28" s="154"/>
      <c r="Y28" s="154"/>
      <c r="Z28" s="154"/>
    </row>
    <row r="29" spans="2:26">
      <c r="B29" s="136">
        <f t="shared" si="0"/>
        <v>2035</v>
      </c>
      <c r="C29" s="137"/>
      <c r="D29" s="129">
        <f t="shared" si="3"/>
        <v>110.03</v>
      </c>
      <c r="E29" s="270">
        <v>42.25</v>
      </c>
      <c r="F29" s="129">
        <f t="shared" si="4"/>
        <v>60.94</v>
      </c>
      <c r="G29" s="131">
        <f t="shared" si="5"/>
        <v>55.826106991747309</v>
      </c>
      <c r="H29" s="200">
        <v>1</v>
      </c>
      <c r="I29" s="129"/>
      <c r="J29" s="131">
        <f t="shared" si="7"/>
        <v>56.826106991747309</v>
      </c>
      <c r="K29" s="131">
        <f t="shared" si="2"/>
        <v>217.04</v>
      </c>
      <c r="L29" s="129">
        <f t="shared" si="1"/>
        <v>213.22</v>
      </c>
      <c r="M29" s="120"/>
      <c r="O29" s="118"/>
      <c r="Q29" s="131"/>
      <c r="S29" s="154"/>
      <c r="U29" s="162"/>
      <c r="V29" s="154"/>
      <c r="W29" s="154"/>
      <c r="X29" s="154"/>
      <c r="Y29" s="154"/>
      <c r="Z29" s="154"/>
    </row>
    <row r="30" spans="2:26">
      <c r="B30" s="136">
        <f t="shared" si="0"/>
        <v>2036</v>
      </c>
      <c r="C30" s="137"/>
      <c r="D30" s="129">
        <f t="shared" si="3"/>
        <v>112.34</v>
      </c>
      <c r="E30" s="270">
        <v>43.219791666666666</v>
      </c>
      <c r="F30" s="129">
        <f t="shared" si="4"/>
        <v>62.22</v>
      </c>
      <c r="G30" s="131">
        <f t="shared" si="5"/>
        <v>57.019969750603941</v>
      </c>
      <c r="H30" s="200">
        <v>1</v>
      </c>
      <c r="I30" s="129"/>
      <c r="J30" s="131">
        <f t="shared" si="7"/>
        <v>58.019969750603941</v>
      </c>
      <c r="K30" s="131">
        <f t="shared" si="2"/>
        <v>221.6</v>
      </c>
      <c r="L30" s="129">
        <f t="shared" si="1"/>
        <v>217.77979166666668</v>
      </c>
      <c r="M30" s="120"/>
      <c r="O30" s="118"/>
      <c r="Q30" s="131"/>
      <c r="S30" s="154"/>
      <c r="U30" s="162"/>
      <c r="V30" s="154"/>
      <c r="W30" s="154"/>
      <c r="X30" s="154"/>
      <c r="Y30" s="154"/>
      <c r="Z30" s="154"/>
    </row>
    <row r="31" spans="2:26">
      <c r="B31" s="136">
        <f t="shared" si="0"/>
        <v>2037</v>
      </c>
      <c r="C31" s="137"/>
      <c r="D31" s="129">
        <f t="shared" si="3"/>
        <v>114.7</v>
      </c>
      <c r="E31" s="270">
        <v>44.2</v>
      </c>
      <c r="F31" s="129">
        <f t="shared" si="4"/>
        <v>63.53</v>
      </c>
      <c r="G31" s="131">
        <f t="shared" si="5"/>
        <v>58.237505760127348</v>
      </c>
      <c r="H31" s="200">
        <v>1</v>
      </c>
      <c r="I31" s="129"/>
      <c r="J31" s="131">
        <f t="shared" si="7"/>
        <v>59.237505760127348</v>
      </c>
      <c r="K31" s="131">
        <f t="shared" si="2"/>
        <v>226.25</v>
      </c>
      <c r="L31" s="129">
        <f t="shared" si="1"/>
        <v>222.43</v>
      </c>
      <c r="M31" s="120"/>
      <c r="O31" s="118"/>
      <c r="Q31" s="131"/>
      <c r="S31" s="154"/>
      <c r="U31" s="162"/>
      <c r="V31" s="154"/>
      <c r="W31" s="154"/>
      <c r="X31" s="154"/>
      <c r="Y31" s="154"/>
      <c r="Z31" s="154"/>
    </row>
    <row r="32" spans="2:26">
      <c r="B32" s="136">
        <f t="shared" si="0"/>
        <v>2038</v>
      </c>
      <c r="C32" s="137"/>
      <c r="D32" s="129">
        <f t="shared" si="3"/>
        <v>117.11</v>
      </c>
      <c r="E32" s="270">
        <v>45.209895833333334</v>
      </c>
      <c r="F32" s="129">
        <f t="shared" si="4"/>
        <v>64.86</v>
      </c>
      <c r="G32" s="131">
        <f t="shared" si="5"/>
        <v>59.48114234671079</v>
      </c>
      <c r="H32" s="200">
        <v>1</v>
      </c>
      <c r="I32" s="129"/>
      <c r="J32" s="131">
        <f t="shared" si="7"/>
        <v>60.48114234671079</v>
      </c>
      <c r="K32" s="131">
        <f t="shared" si="2"/>
        <v>231</v>
      </c>
      <c r="L32" s="129">
        <f t="shared" si="1"/>
        <v>227.17989583333332</v>
      </c>
      <c r="M32" s="120"/>
      <c r="O32" s="118"/>
      <c r="Q32" s="131"/>
      <c r="S32" s="154"/>
      <c r="U32" s="162"/>
      <c r="V32" s="154"/>
      <c r="W32" s="154"/>
      <c r="X32" s="154"/>
      <c r="Y32" s="154"/>
      <c r="Z32" s="154"/>
    </row>
    <row r="33" spans="2:28">
      <c r="B33" s="136">
        <f t="shared" si="0"/>
        <v>2039</v>
      </c>
      <c r="C33" s="137"/>
      <c r="D33" s="129">
        <f t="shared" si="3"/>
        <v>119.57</v>
      </c>
      <c r="E33" s="366">
        <f>ROUND(E32*(1+(IFERROR(INDEX($D$66:$D$74,MATCH($B33,$C$66:$C$74,0),1),0)+IFERROR(INDEX($G$66:$G$74,MATCH($B33,$F$66:$F$74,0),1),0)+IFERROR(INDEX($J$66:$J$74,MATCH($B33,$I$66:$I$74,0),1),0))),2)</f>
        <v>46.16</v>
      </c>
      <c r="F33" s="129">
        <f t="shared" si="4"/>
        <v>66.22</v>
      </c>
      <c r="G33" s="131">
        <f t="shared" si="5"/>
        <v>60.730069959364918</v>
      </c>
      <c r="H33" s="200">
        <v>1</v>
      </c>
      <c r="I33" s="129"/>
      <c r="J33" s="131">
        <f t="shared" si="7"/>
        <v>61.730069959364918</v>
      </c>
      <c r="K33" s="131">
        <f t="shared" ref="K33:K37" si="8">ROUND(J33*$C$63*8.76,2)</f>
        <v>235.77</v>
      </c>
      <c r="L33" s="129">
        <f t="shared" si="1"/>
        <v>231.95</v>
      </c>
      <c r="M33" s="120"/>
      <c r="O33" s="118"/>
      <c r="AB33" s="279"/>
    </row>
    <row r="34" spans="2:28">
      <c r="B34" s="136">
        <f t="shared" si="0"/>
        <v>2040</v>
      </c>
      <c r="C34" s="137"/>
      <c r="D34" s="129">
        <f t="shared" si="3"/>
        <v>122.08</v>
      </c>
      <c r="E34" s="366">
        <f>ROUND(E33*(1+(IFERROR(INDEX($D$66:$D$74,MATCH($B34,$C$66:$C$74,0),1),0)+IFERROR(INDEX($G$66:$G$74,MATCH($B34,$F$66:$F$74,0),1),0)+IFERROR(INDEX($J$66:$J$74,MATCH($B34,$I$66:$I$74,0),1),0))),2)</f>
        <v>47.13</v>
      </c>
      <c r="F34" s="129">
        <f t="shared" si="4"/>
        <v>67.61</v>
      </c>
      <c r="G34" s="131">
        <f t="shared" si="5"/>
        <v>62.005152695739596</v>
      </c>
      <c r="H34" s="200">
        <v>1</v>
      </c>
      <c r="I34" s="129"/>
      <c r="J34" s="131">
        <f t="shared" si="7"/>
        <v>63.005152695739596</v>
      </c>
      <c r="K34" s="131">
        <f t="shared" si="8"/>
        <v>240.64</v>
      </c>
      <c r="L34" s="129">
        <f t="shared" si="1"/>
        <v>236.82</v>
      </c>
      <c r="M34" s="120"/>
      <c r="O34" s="118"/>
      <c r="AB34" s="279"/>
    </row>
    <row r="35" spans="2:28">
      <c r="B35" s="136">
        <f t="shared" si="0"/>
        <v>2041</v>
      </c>
      <c r="C35" s="137"/>
      <c r="D35" s="129">
        <f t="shared" si="3"/>
        <v>124.64</v>
      </c>
      <c r="E35" s="366">
        <f>ROUND(E34*(1+(IFERROR(INDEX($D$66:$D$74,MATCH($B35,$C$66:$C$74,0),1),0)+IFERROR(INDEX($G$66:$G$74,MATCH($B35,$F$66:$F$74,0),1),0)+IFERROR(INDEX($J$66:$J$74,MATCH($B35,$I$66:$I$74,0),1),0))),2)</f>
        <v>48.12</v>
      </c>
      <c r="F35" s="129">
        <f t="shared" si="4"/>
        <v>69.03</v>
      </c>
      <c r="G35" s="131">
        <f t="shared" si="5"/>
        <v>63.306417829165092</v>
      </c>
      <c r="H35" s="200">
        <v>1</v>
      </c>
      <c r="I35" s="129"/>
      <c r="J35" s="131">
        <f t="shared" si="7"/>
        <v>64.306417829165099</v>
      </c>
      <c r="K35" s="131">
        <f t="shared" si="8"/>
        <v>245.61</v>
      </c>
      <c r="L35" s="129">
        <f t="shared" si="1"/>
        <v>241.79</v>
      </c>
      <c r="M35" s="120"/>
      <c r="O35" s="118"/>
      <c r="AB35" s="279"/>
    </row>
    <row r="36" spans="2:28">
      <c r="B36" s="136">
        <f t="shared" si="0"/>
        <v>2042</v>
      </c>
      <c r="C36" s="137"/>
      <c r="D36" s="129">
        <f t="shared" si="3"/>
        <v>127.26</v>
      </c>
      <c r="E36" s="366">
        <f>ROUND(E35*(1+(IFERROR(INDEX($D$66:$D$74,MATCH($B36,$C$66:$C$74,0),1),0)+IFERROR(INDEX($G$66:$G$74,MATCH($B36,$F$66:$F$74,0),1),0)+IFERROR(INDEX($J$66:$J$74,MATCH($B36,$I$66:$I$74,0),1),0))),2)</f>
        <v>49.13</v>
      </c>
      <c r="F36" s="129">
        <f t="shared" si="4"/>
        <v>70.48</v>
      </c>
      <c r="G36" s="131">
        <f t="shared" si="5"/>
        <v>64.636483599346491</v>
      </c>
      <c r="H36" s="200">
        <v>1</v>
      </c>
      <c r="I36" s="129"/>
      <c r="J36" s="131">
        <f t="shared" si="7"/>
        <v>65.636483599346491</v>
      </c>
      <c r="K36" s="131">
        <f t="shared" si="8"/>
        <v>250.69</v>
      </c>
      <c r="L36" s="129">
        <f t="shared" si="1"/>
        <v>246.87</v>
      </c>
      <c r="M36" s="120"/>
      <c r="O36" s="118"/>
      <c r="AB36" s="279"/>
    </row>
    <row r="37" spans="2:28">
      <c r="B37" s="136">
        <f t="shared" si="0"/>
        <v>2043</v>
      </c>
      <c r="C37" s="137"/>
      <c r="D37" s="129">
        <f t="shared" si="3"/>
        <v>129.93</v>
      </c>
      <c r="E37" s="366">
        <f>ROUND(E36*(1+(IFERROR(INDEX($D$66:$D$74,MATCH($B37,$C$66:$C$74,0),1),0)+IFERROR(INDEX($G$66:$G$74,MATCH($B37,$F$66:$F$74,0),1),0)+IFERROR(INDEX($J$66:$J$74,MATCH($B37,$I$66:$I$74,0),1),0))),2)</f>
        <v>50.16</v>
      </c>
      <c r="F37" s="129">
        <f t="shared" si="4"/>
        <v>71.959999999999994</v>
      </c>
      <c r="G37" s="131">
        <f t="shared" si="5"/>
        <v>65.9927317665787</v>
      </c>
      <c r="H37" s="200">
        <v>1</v>
      </c>
      <c r="I37" s="129"/>
      <c r="J37" s="131">
        <f t="shared" si="7"/>
        <v>66.9927317665787</v>
      </c>
      <c r="K37" s="131">
        <f t="shared" si="8"/>
        <v>255.87</v>
      </c>
      <c r="L37" s="129">
        <f t="shared" si="1"/>
        <v>252.05</v>
      </c>
      <c r="AB37" s="279"/>
    </row>
    <row r="38" spans="2:28">
      <c r="B38" s="127"/>
      <c r="C38" s="132"/>
      <c r="D38" s="129"/>
      <c r="E38" s="129"/>
      <c r="F38" s="130"/>
      <c r="G38" s="129"/>
      <c r="H38" s="129"/>
      <c r="I38" s="129"/>
      <c r="J38" s="131"/>
      <c r="K38" s="131"/>
      <c r="L38" s="138"/>
      <c r="AB38" s="279"/>
    </row>
    <row r="39" spans="2:28">
      <c r="B39" s="127"/>
      <c r="C39" s="132"/>
      <c r="D39" s="129"/>
      <c r="E39" s="129"/>
      <c r="F39" s="130"/>
      <c r="G39" s="129"/>
      <c r="H39" s="129"/>
      <c r="I39" s="129"/>
      <c r="J39" s="131"/>
      <c r="K39" s="131"/>
      <c r="L39" s="138"/>
      <c r="AB39" s="279"/>
    </row>
    <row r="40" spans="2:28">
      <c r="B40" s="127"/>
      <c r="C40" s="132"/>
      <c r="D40" s="129"/>
      <c r="E40" s="129"/>
      <c r="F40" s="130"/>
      <c r="G40" s="129"/>
      <c r="H40" s="129"/>
      <c r="I40" s="129"/>
      <c r="J40" s="131"/>
      <c r="K40" s="131"/>
      <c r="L40" s="138"/>
      <c r="AB40" s="279"/>
    </row>
    <row r="41" spans="2:28">
      <c r="AB41" s="279"/>
    </row>
    <row r="42" spans="2:28" ht="14.25">
      <c r="B42" s="139" t="s">
        <v>25</v>
      </c>
      <c r="C42" s="140"/>
      <c r="D42" s="140"/>
      <c r="E42" s="140"/>
      <c r="F42" s="140"/>
      <c r="G42" s="140"/>
      <c r="H42" s="140"/>
      <c r="I42" s="140"/>
      <c r="AB42" s="279"/>
    </row>
    <row r="43" spans="2:28">
      <c r="AB43" s="279"/>
    </row>
    <row r="44" spans="2:28">
      <c r="B44" s="118" t="s">
        <v>63</v>
      </c>
      <c r="C44" s="141" t="s">
        <v>64</v>
      </c>
      <c r="D44" s="142" t="s">
        <v>102</v>
      </c>
      <c r="AB44" s="279"/>
    </row>
    <row r="45" spans="2:28">
      <c r="C45" s="141" t="str">
        <f>C7</f>
        <v>(a)</v>
      </c>
      <c r="D45" s="118" t="s">
        <v>65</v>
      </c>
      <c r="AB45" s="279"/>
    </row>
    <row r="46" spans="2:28">
      <c r="C46" s="141" t="str">
        <f>D7</f>
        <v>(b)</v>
      </c>
      <c r="D46" s="131" t="str">
        <f>"= "&amp;C7&amp;" x "&amp;C62</f>
        <v>= (a) x 0.0689863805027125</v>
      </c>
      <c r="AB46" s="279"/>
    </row>
    <row r="47" spans="2:28">
      <c r="C47" s="141" t="str">
        <f>G7</f>
        <v>(e)</v>
      </c>
      <c r="D47" s="131" t="str">
        <f>"= ("&amp;$D$7&amp;" + "&amp;$E$7&amp;") /  (8.76 x "&amp;TEXT(C63,"0.0%")&amp;")"</f>
        <v>= ((b) + (c)) /  (8.76 x 43.6%)</v>
      </c>
      <c r="AB47" s="279"/>
    </row>
    <row r="48" spans="2:28">
      <c r="C48" s="141" t="str">
        <f>J7</f>
        <v>(h)</v>
      </c>
      <c r="D48" s="131" t="str">
        <f>"= "&amp;$G$7&amp;" + "&amp;$H$7&amp;" + "&amp;$I$7</f>
        <v>= (e) + (f) + (g)</v>
      </c>
    </row>
    <row r="49" spans="2:28">
      <c r="C49" s="141" t="str">
        <f>L7</f>
        <v>(i)</v>
      </c>
      <c r="D49" s="85" t="str">
        <f>D44</f>
        <v>Plant Costs  - 2019 IRP Update - Table 6.1 &amp; 6.2</v>
      </c>
      <c r="AB49" s="280"/>
    </row>
    <row r="50" spans="2:28">
      <c r="C50" s="141"/>
      <c r="D50" s="131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3"/>
      <c r="E52" s="143"/>
      <c r="F52" s="143"/>
      <c r="G52" s="143"/>
      <c r="H52" s="143"/>
      <c r="I52" s="143"/>
      <c r="J52" s="144"/>
      <c r="K52" s="144"/>
      <c r="L52" s="145"/>
    </row>
    <row r="53" spans="2:28" ht="13.5" thickBot="1">
      <c r="C53" s="146" t="s">
        <v>66</v>
      </c>
      <c r="D53" s="147" t="s">
        <v>67</v>
      </c>
      <c r="E53" s="147"/>
      <c r="F53" s="147"/>
      <c r="G53" s="147"/>
      <c r="H53" s="147"/>
      <c r="I53" s="148"/>
      <c r="J53" s="144"/>
      <c r="K53" s="144"/>
      <c r="L53" s="145"/>
    </row>
    <row r="54" spans="2:28">
      <c r="Q54" s="118" t="s">
        <v>103</v>
      </c>
      <c r="R54" s="118">
        <v>2024</v>
      </c>
    </row>
    <row r="55" spans="2:28">
      <c r="B55" s="85" t="s">
        <v>101</v>
      </c>
      <c r="C55" s="171">
        <v>1301.4978814276944</v>
      </c>
      <c r="D55" s="118" t="s">
        <v>65</v>
      </c>
      <c r="P55" s="118">
        <v>1920</v>
      </c>
      <c r="Q55" s="118" t="s">
        <v>32</v>
      </c>
      <c r="R55" s="118" t="s">
        <v>100</v>
      </c>
      <c r="U55" s="118" t="str">
        <f>$R$55&amp;"Proposed Station Capital Costs"</f>
        <v>H4.AE1_WDProposed Station Capital Costs</v>
      </c>
    </row>
    <row r="56" spans="2:28">
      <c r="B56" s="85" t="s">
        <v>101</v>
      </c>
      <c r="C56" s="270">
        <v>28.802174620531375</v>
      </c>
      <c r="D56" s="118" t="s">
        <v>68</v>
      </c>
      <c r="U56" s="118" t="str">
        <f>$R$55&amp;"Proposed Station Fixed Costs"</f>
        <v>H4.AE1_WDProposed Station Fixed Costs</v>
      </c>
    </row>
    <row r="57" spans="2:28" ht="24" customHeight="1">
      <c r="B57" s="85"/>
      <c r="C57" s="272"/>
      <c r="D57" s="118" t="s">
        <v>105</v>
      </c>
      <c r="R57" s="215" t="str">
        <f>R55&amp;R54</f>
        <v>H4.AE1_WD2024</v>
      </c>
      <c r="U57" s="118" t="str">
        <f>$R$55&amp;"Proposed Station Variable O&amp;M Costs"</f>
        <v>H4.AE1_WDProposed Station Variable O&amp;M Costs</v>
      </c>
    </row>
    <row r="58" spans="2:28">
      <c r="B58" s="85" t="s">
        <v>101</v>
      </c>
      <c r="C58" s="270">
        <v>0.65</v>
      </c>
      <c r="D58" s="118" t="s">
        <v>69</v>
      </c>
      <c r="F58" s="118" t="s">
        <v>152</v>
      </c>
      <c r="L58" s="120"/>
      <c r="M58" s="150"/>
      <c r="N58" s="52"/>
      <c r="O58" s="164"/>
      <c r="P58" s="52"/>
      <c r="Q58" s="52"/>
      <c r="R58" s="120"/>
      <c r="S58" s="120"/>
      <c r="U58" s="120"/>
      <c r="V58" s="120"/>
      <c r="W58" s="120"/>
      <c r="X58" s="120"/>
      <c r="Y58" s="120"/>
      <c r="Z58" s="120"/>
    </row>
    <row r="59" spans="2:28">
      <c r="B59" s="85"/>
      <c r="C59" s="159">
        <v>-6.2214116072769627</v>
      </c>
      <c r="D59" s="118" t="s">
        <v>70</v>
      </c>
      <c r="J59" s="198" t="s">
        <v>91</v>
      </c>
      <c r="M59" s="152"/>
      <c r="N59" s="153"/>
      <c r="P59" s="151"/>
      <c r="Q59" s="120"/>
      <c r="R59" s="120"/>
      <c r="S59" s="120"/>
      <c r="U59" s="120"/>
      <c r="V59" s="120"/>
      <c r="W59" s="120"/>
      <c r="X59" s="120"/>
      <c r="Y59" s="120"/>
      <c r="Z59" s="120"/>
    </row>
    <row r="60" spans="2:28">
      <c r="B60" s="371" t="str">
        <f>LEFT(RIGHT(INDEX('Table 3 TransCost'!$39:$39,1,MATCH(F60,'Table 3 TransCost'!$4:$4,0)),6),5)</f>
        <v>2024$</v>
      </c>
      <c r="C60" s="272">
        <f>INDEX('Table 3 TransCost'!$39:$39,1,MATCH(F60,'Table 3 TransCost'!$4:$4,0)+2)</f>
        <v>47.870308055404152</v>
      </c>
      <c r="D60" s="118" t="s">
        <v>218</v>
      </c>
      <c r="F60" s="276" t="s">
        <v>179</v>
      </c>
      <c r="L60" s="152"/>
      <c r="M60" s="152"/>
      <c r="N60" s="152"/>
      <c r="O60" s="165"/>
      <c r="P60" s="151"/>
      <c r="Q60" s="120"/>
      <c r="R60" s="120"/>
      <c r="S60" s="120"/>
      <c r="U60" s="120"/>
      <c r="V60" s="120"/>
      <c r="W60" s="120"/>
      <c r="X60" s="120"/>
      <c r="Y60" s="120"/>
      <c r="Z60" s="120"/>
    </row>
    <row r="61" spans="2:28">
      <c r="B61" s="85"/>
      <c r="C61" s="201"/>
      <c r="L61" s="152"/>
      <c r="M61" s="152"/>
      <c r="N61" s="152"/>
      <c r="O61" s="165"/>
      <c r="P61" s="152"/>
      <c r="S61" s="120"/>
      <c r="U61" s="120"/>
      <c r="V61" s="120"/>
      <c r="W61" s="120"/>
      <c r="X61" s="120"/>
      <c r="Y61" s="120"/>
      <c r="Z61" s="120"/>
    </row>
    <row r="62" spans="2:28">
      <c r="C62" s="271">
        <v>6.898638050271251E-2</v>
      </c>
      <c r="D62" s="118" t="s">
        <v>36</v>
      </c>
      <c r="L62" s="156"/>
      <c r="M62" s="157"/>
      <c r="N62" s="157"/>
      <c r="P62" s="158"/>
    </row>
    <row r="63" spans="2:28">
      <c r="C63" s="209">
        <v>0.436</v>
      </c>
      <c r="D63" s="118" t="s">
        <v>37</v>
      </c>
    </row>
    <row r="64" spans="2:28" ht="13.5" thickBot="1">
      <c r="D64" s="155"/>
    </row>
    <row r="65" spans="3:15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3"/>
      <c r="L65" s="145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2.1000000000000001E-2</v>
      </c>
    </row>
    <row r="69" spans="3:15">
      <c r="C69" s="87">
        <f t="shared" si="9"/>
        <v>2020</v>
      </c>
      <c r="D69" s="41">
        <v>1.9E-2</v>
      </c>
      <c r="E69" s="85"/>
      <c r="F69" s="87">
        <f t="shared" si="10"/>
        <v>2029</v>
      </c>
      <c r="G69" s="41">
        <v>2.3E-2</v>
      </c>
      <c r="H69" s="41"/>
      <c r="I69" s="87">
        <f t="shared" si="11"/>
        <v>2038</v>
      </c>
      <c r="J69" s="41">
        <v>2.1000000000000001E-2</v>
      </c>
    </row>
    <row r="70" spans="3:15">
      <c r="C70" s="87">
        <f t="shared" si="9"/>
        <v>2021</v>
      </c>
      <c r="D70" s="41">
        <v>0.02</v>
      </c>
      <c r="E70" s="85"/>
      <c r="F70" s="87">
        <f t="shared" si="10"/>
        <v>2030</v>
      </c>
      <c r="G70" s="41">
        <v>2.1999999999999999E-2</v>
      </c>
      <c r="H70" s="41"/>
      <c r="I70" s="87">
        <f t="shared" si="11"/>
        <v>2039</v>
      </c>
      <c r="J70" s="41">
        <v>2.1000000000000001E-2</v>
      </c>
    </row>
    <row r="71" spans="3:15">
      <c r="C71" s="87">
        <f t="shared" si="9"/>
        <v>2022</v>
      </c>
      <c r="D71" s="41">
        <v>2.5000000000000001E-2</v>
      </c>
      <c r="E71" s="85"/>
      <c r="F71" s="87">
        <f t="shared" si="10"/>
        <v>2031</v>
      </c>
      <c r="G71" s="41">
        <v>2.1999999999999999E-2</v>
      </c>
      <c r="H71" s="41"/>
      <c r="I71" s="87">
        <f t="shared" si="11"/>
        <v>2040</v>
      </c>
      <c r="J71" s="41">
        <v>2.1000000000000001E-2</v>
      </c>
    </row>
    <row r="72" spans="3:15" s="120" customFormat="1">
      <c r="C72" s="87">
        <f t="shared" si="9"/>
        <v>2023</v>
      </c>
      <c r="D72" s="41">
        <v>2.5000000000000001E-2</v>
      </c>
      <c r="E72" s="86"/>
      <c r="F72" s="87">
        <f t="shared" si="10"/>
        <v>2032</v>
      </c>
      <c r="G72" s="41">
        <v>2.1999999999999999E-2</v>
      </c>
      <c r="H72" s="41"/>
      <c r="I72" s="87">
        <f t="shared" si="11"/>
        <v>2041</v>
      </c>
      <c r="J72" s="41">
        <v>2.1000000000000001E-2</v>
      </c>
      <c r="O72" s="165"/>
    </row>
    <row r="73" spans="3:15" s="120" customFormat="1">
      <c r="C73" s="87">
        <f t="shared" si="9"/>
        <v>2024</v>
      </c>
      <c r="D73" s="41">
        <v>2.4E-2</v>
      </c>
      <c r="E73" s="86"/>
      <c r="F73" s="87">
        <f t="shared" si="10"/>
        <v>2033</v>
      </c>
      <c r="G73" s="41">
        <v>2.1000000000000001E-2</v>
      </c>
      <c r="H73" s="41"/>
      <c r="I73" s="87">
        <f t="shared" si="11"/>
        <v>2042</v>
      </c>
      <c r="J73" s="41">
        <v>2.1000000000000001E-2</v>
      </c>
      <c r="O73" s="165"/>
    </row>
    <row r="74" spans="3:15" s="120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2.1000000000000001E-2</v>
      </c>
      <c r="H74" s="41"/>
      <c r="I74" s="87">
        <f t="shared" si="11"/>
        <v>2043</v>
      </c>
      <c r="J74" s="41">
        <v>2.1000000000000001E-2</v>
      </c>
      <c r="O74" s="165"/>
    </row>
    <row r="75" spans="3:15" s="120" customFormat="1">
      <c r="O75" s="165"/>
    </row>
    <row r="76" spans="3:15" s="120" customFormat="1">
      <c r="O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8" customWidth="1"/>
    <col min="2" max="2" width="15" style="118" customWidth="1"/>
    <col min="3" max="3" width="12.33203125" style="118" bestFit="1" customWidth="1"/>
    <col min="4" max="4" width="19.83203125" style="118" customWidth="1"/>
    <col min="5" max="5" width="8.83203125" style="118" bestFit="1" customWidth="1"/>
    <col min="6" max="6" width="13.5" style="118" customWidth="1"/>
    <col min="7" max="8" width="9.5" style="118" bestFit="1" customWidth="1"/>
    <col min="9" max="9" width="12.6640625" style="118" customWidth="1"/>
    <col min="10" max="10" width="14" style="118" customWidth="1"/>
    <col min="11" max="11" width="13.1640625" style="118" customWidth="1"/>
    <col min="12" max="12" width="3.1640625" style="118" customWidth="1"/>
    <col min="13" max="13" width="15" style="118" hidden="1" customWidth="1"/>
    <col min="14" max="14" width="5.6640625" style="162" customWidth="1"/>
    <col min="15" max="15" width="9.33203125" style="118"/>
    <col min="16" max="16" width="10" style="118" customWidth="1"/>
    <col min="17" max="17" width="25.1640625" style="118" customWidth="1"/>
    <col min="18" max="18" width="18.1640625" style="118" customWidth="1"/>
    <col min="19" max="19" width="9.33203125" style="118"/>
    <col min="20" max="20" width="16.6640625" style="118" customWidth="1"/>
    <col min="21" max="21" width="9.33203125" style="118"/>
    <col min="22" max="22" width="9.6640625" style="118" bestFit="1" customWidth="1"/>
    <col min="23" max="16384" width="9.33203125" style="118"/>
  </cols>
  <sheetData>
    <row r="1" spans="2:24" ht="15.75">
      <c r="B1" s="116" t="s">
        <v>56</v>
      </c>
      <c r="C1" s="117"/>
      <c r="D1" s="117"/>
      <c r="E1" s="117"/>
      <c r="F1" s="117"/>
      <c r="G1" s="117"/>
      <c r="H1" s="117"/>
      <c r="I1" s="117"/>
      <c r="J1" s="117"/>
    </row>
    <row r="2" spans="2:24" ht="15.75">
      <c r="B2" s="116" t="s">
        <v>155</v>
      </c>
      <c r="C2" s="117"/>
      <c r="D2" s="117"/>
      <c r="E2" s="117"/>
      <c r="F2" s="117"/>
      <c r="G2" s="117"/>
      <c r="H2" s="117"/>
      <c r="I2" s="117"/>
      <c r="J2" s="117"/>
    </row>
    <row r="3" spans="2:24" ht="15.75">
      <c r="B3" s="116" t="str">
        <f>TEXT($C$63,"0%")&amp;" Capacity Factor"</f>
        <v>37% Capacity Factor</v>
      </c>
      <c r="C3" s="117"/>
      <c r="D3" s="117"/>
      <c r="E3" s="117"/>
      <c r="F3" s="117"/>
      <c r="G3" s="117"/>
      <c r="H3" s="117"/>
      <c r="I3" s="117"/>
      <c r="J3" s="117"/>
      <c r="R3" s="120"/>
      <c r="S3" s="120"/>
      <c r="T3" s="120"/>
      <c r="U3" s="120"/>
      <c r="V3" s="120"/>
      <c r="W3" s="120"/>
      <c r="X3" s="120"/>
    </row>
    <row r="4" spans="2:24">
      <c r="B4" s="119"/>
      <c r="C4" s="119"/>
      <c r="D4" s="119"/>
      <c r="E4" s="119"/>
      <c r="F4" s="119"/>
      <c r="G4" s="119"/>
      <c r="H4" s="119"/>
      <c r="I4" s="120"/>
      <c r="J4" s="120"/>
      <c r="K4" s="120"/>
      <c r="R4" s="120"/>
      <c r="S4" s="120"/>
      <c r="T4" s="120"/>
      <c r="U4" s="120"/>
      <c r="V4" s="120"/>
      <c r="W4" s="120"/>
      <c r="X4" s="120"/>
    </row>
    <row r="5" spans="2:24" ht="51.75" customHeight="1">
      <c r="B5" s="121" t="s">
        <v>0</v>
      </c>
      <c r="C5" s="122" t="s">
        <v>10</v>
      </c>
      <c r="D5" s="122" t="s">
        <v>11</v>
      </c>
      <c r="E5" s="122" t="s">
        <v>12</v>
      </c>
      <c r="F5" s="17" t="s">
        <v>92</v>
      </c>
      <c r="G5" s="122" t="s">
        <v>62</v>
      </c>
      <c r="H5" s="17" t="s">
        <v>13</v>
      </c>
      <c r="I5" s="122" t="s">
        <v>73</v>
      </c>
      <c r="J5" s="17" t="s">
        <v>52</v>
      </c>
      <c r="K5" s="122" t="s">
        <v>224</v>
      </c>
      <c r="M5" s="215"/>
      <c r="N5" s="215"/>
      <c r="P5" s="215"/>
      <c r="R5" s="277"/>
      <c r="S5" s="120"/>
      <c r="T5" s="120"/>
      <c r="U5" s="120"/>
      <c r="V5" s="120"/>
      <c r="W5" s="120"/>
      <c r="X5" s="120"/>
    </row>
    <row r="6" spans="2:24" ht="24" customHeight="1">
      <c r="B6" s="123"/>
      <c r="C6" s="124" t="s">
        <v>8</v>
      </c>
      <c r="D6" s="125" t="s">
        <v>9</v>
      </c>
      <c r="E6" s="125" t="s">
        <v>9</v>
      </c>
      <c r="F6" s="125" t="s">
        <v>9</v>
      </c>
      <c r="G6" s="124" t="s">
        <v>31</v>
      </c>
      <c r="H6" s="18" t="s">
        <v>31</v>
      </c>
      <c r="I6" s="124" t="s">
        <v>31</v>
      </c>
      <c r="J6" s="19" t="s">
        <v>9</v>
      </c>
      <c r="K6" s="125" t="s">
        <v>9</v>
      </c>
      <c r="R6" s="278"/>
      <c r="S6" s="120"/>
      <c r="T6" s="120"/>
      <c r="U6" s="120"/>
      <c r="V6" s="120"/>
      <c r="W6" s="120"/>
      <c r="X6" s="120"/>
    </row>
    <row r="7" spans="2:24">
      <c r="C7" s="126" t="s">
        <v>1</v>
      </c>
      <c r="D7" s="126" t="s">
        <v>2</v>
      </c>
      <c r="E7" s="126" t="s">
        <v>3</v>
      </c>
      <c r="F7" s="126" t="s">
        <v>4</v>
      </c>
      <c r="G7" s="126" t="s">
        <v>5</v>
      </c>
      <c r="H7" s="126" t="s">
        <v>7</v>
      </c>
      <c r="I7" s="126" t="s">
        <v>22</v>
      </c>
      <c r="J7" s="126" t="s">
        <v>23</v>
      </c>
      <c r="K7" s="126" t="s">
        <v>24</v>
      </c>
      <c r="R7" s="120"/>
      <c r="S7" s="120"/>
      <c r="T7" s="120"/>
      <c r="U7" s="120"/>
      <c r="V7" s="120"/>
      <c r="W7" s="120"/>
      <c r="X7" s="120"/>
    </row>
    <row r="8" spans="2:24" ht="6" customHeight="1">
      <c r="K8" s="120"/>
      <c r="R8" s="120"/>
      <c r="S8" s="120"/>
      <c r="T8" s="120"/>
      <c r="U8" s="120"/>
      <c r="V8" s="120"/>
      <c r="W8" s="120"/>
      <c r="X8" s="120"/>
    </row>
    <row r="9" spans="2:24" ht="15.75">
      <c r="B9" s="43" t="str">
        <f>C52</f>
        <v>2019 IRP Idaho Wind Resource - 37% Capacity Factor</v>
      </c>
      <c r="C9" s="120"/>
      <c r="E9" s="120"/>
      <c r="F9" s="120"/>
      <c r="G9" s="120"/>
      <c r="H9" s="120"/>
      <c r="I9" s="120"/>
      <c r="J9" s="120"/>
      <c r="K9" s="120"/>
      <c r="N9" s="118"/>
    </row>
    <row r="10" spans="2:24">
      <c r="B10" s="127">
        <v>2016</v>
      </c>
      <c r="C10" s="128"/>
      <c r="D10" s="129"/>
      <c r="E10" s="129"/>
      <c r="F10" s="129"/>
      <c r="G10" s="130"/>
      <c r="H10" s="130"/>
      <c r="I10" s="131"/>
      <c r="J10" s="131"/>
      <c r="K10" s="129"/>
      <c r="N10" s="163"/>
    </row>
    <row r="11" spans="2:24">
      <c r="B11" s="127">
        <f t="shared" ref="B11:B37" si="0">B10+1</f>
        <v>2017</v>
      </c>
      <c r="C11" s="132"/>
      <c r="D11" s="129"/>
      <c r="E11" s="129"/>
      <c r="F11" s="129"/>
      <c r="G11" s="130"/>
      <c r="H11" s="129"/>
      <c r="I11" s="131"/>
      <c r="J11" s="131"/>
      <c r="K11" s="129"/>
      <c r="N11" s="118"/>
    </row>
    <row r="12" spans="2:24">
      <c r="B12" s="136">
        <f t="shared" si="0"/>
        <v>2018</v>
      </c>
      <c r="C12" s="137"/>
      <c r="D12" s="129"/>
      <c r="E12" s="149"/>
      <c r="F12" s="149"/>
      <c r="G12" s="131"/>
      <c r="H12" s="149">
        <f>$C$58</f>
        <v>0</v>
      </c>
      <c r="I12" s="131"/>
      <c r="J12" s="131"/>
      <c r="K12" s="129">
        <f>(D12+E12+F12)</f>
        <v>0</v>
      </c>
      <c r="L12" s="120"/>
      <c r="N12" s="118"/>
      <c r="R12" s="149"/>
      <c r="T12" s="162"/>
      <c r="U12" s="154"/>
      <c r="V12" s="154"/>
    </row>
    <row r="13" spans="2:24">
      <c r="B13" s="136">
        <f t="shared" si="0"/>
        <v>2019</v>
      </c>
      <c r="C13" s="137"/>
      <c r="D13" s="129"/>
      <c r="E13" s="149"/>
      <c r="F13" s="149"/>
      <c r="G13" s="131"/>
      <c r="H13" s="129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1"/>
      <c r="J13" s="131"/>
      <c r="K13" s="129">
        <f t="shared" ref="K13:K37" si="2">(D13+E13+F13)</f>
        <v>0</v>
      </c>
      <c r="L13" s="120"/>
      <c r="N13" s="118"/>
      <c r="V13" s="154"/>
      <c r="X13" s="160"/>
    </row>
    <row r="14" spans="2:24">
      <c r="B14" s="136">
        <f t="shared" si="0"/>
        <v>2020</v>
      </c>
      <c r="C14" s="137"/>
      <c r="D14" s="129"/>
      <c r="E14" s="129"/>
      <c r="F14" s="129"/>
      <c r="G14" s="131"/>
      <c r="H14" s="129">
        <f t="shared" si="1"/>
        <v>0</v>
      </c>
      <c r="I14" s="131"/>
      <c r="J14" s="131"/>
      <c r="K14" s="129">
        <f t="shared" si="2"/>
        <v>0</v>
      </c>
      <c r="L14" s="120"/>
      <c r="N14" s="118"/>
      <c r="O14" s="133"/>
      <c r="P14" s="134"/>
      <c r="Q14" s="135"/>
      <c r="V14" s="154"/>
      <c r="X14" s="160"/>
    </row>
    <row r="15" spans="2:24">
      <c r="B15" s="136">
        <f t="shared" si="0"/>
        <v>2021</v>
      </c>
      <c r="C15" s="137"/>
      <c r="D15" s="129"/>
      <c r="E15" s="129"/>
      <c r="F15" s="129"/>
      <c r="G15" s="131"/>
      <c r="H15" s="129">
        <f t="shared" si="1"/>
        <v>0</v>
      </c>
      <c r="I15" s="131"/>
      <c r="J15" s="131"/>
      <c r="K15" s="129">
        <f t="shared" si="2"/>
        <v>0</v>
      </c>
      <c r="L15" s="120"/>
      <c r="N15" s="118"/>
      <c r="O15" s="273"/>
      <c r="P15" s="134"/>
      <c r="Q15" s="135"/>
      <c r="V15" s="154"/>
      <c r="X15" s="160"/>
    </row>
    <row r="16" spans="2:24">
      <c r="B16" s="136">
        <f t="shared" si="0"/>
        <v>2022</v>
      </c>
      <c r="C16" s="137"/>
      <c r="D16" s="129"/>
      <c r="E16" s="129"/>
      <c r="F16" s="129"/>
      <c r="G16" s="131"/>
      <c r="H16" s="129">
        <f t="shared" si="1"/>
        <v>0</v>
      </c>
      <c r="I16" s="131"/>
      <c r="J16" s="131"/>
      <c r="K16" s="129">
        <f t="shared" si="2"/>
        <v>0</v>
      </c>
      <c r="L16" s="120"/>
      <c r="N16" s="118"/>
      <c r="V16" s="154"/>
      <c r="X16" s="160"/>
    </row>
    <row r="17" spans="2:25">
      <c r="B17" s="136">
        <f t="shared" si="0"/>
        <v>2023</v>
      </c>
      <c r="C17" s="137"/>
      <c r="D17" s="129"/>
      <c r="E17" s="129"/>
      <c r="F17" s="129"/>
      <c r="G17" s="131"/>
      <c r="H17" s="129">
        <f t="shared" si="1"/>
        <v>0</v>
      </c>
      <c r="I17" s="131"/>
      <c r="J17" s="131"/>
      <c r="K17" s="129">
        <f t="shared" si="2"/>
        <v>0</v>
      </c>
      <c r="L17" s="120"/>
      <c r="N17" s="118"/>
      <c r="O17" s="133"/>
      <c r="V17" s="154"/>
      <c r="X17" s="160"/>
    </row>
    <row r="18" spans="2:25">
      <c r="B18" s="136">
        <f t="shared" si="0"/>
        <v>2024</v>
      </c>
      <c r="C18" s="137"/>
      <c r="D18" s="129"/>
      <c r="E18" s="149"/>
      <c r="F18" s="149"/>
      <c r="G18" s="131"/>
      <c r="H18" s="129">
        <f t="shared" si="1"/>
        <v>0</v>
      </c>
      <c r="I18" s="131"/>
      <c r="J18" s="131"/>
      <c r="K18" s="129">
        <f t="shared" si="2"/>
        <v>0</v>
      </c>
      <c r="L18" s="120"/>
      <c r="N18" s="118"/>
      <c r="T18" s="162"/>
      <c r="U18" s="154"/>
      <c r="V18" s="154"/>
      <c r="W18" s="154"/>
      <c r="X18" s="160"/>
      <c r="Y18" s="154"/>
    </row>
    <row r="19" spans="2:25">
      <c r="B19" s="136">
        <f t="shared" si="0"/>
        <v>2025</v>
      </c>
      <c r="C19" s="137"/>
      <c r="D19" s="129"/>
      <c r="E19" s="149"/>
      <c r="F19" s="149"/>
      <c r="G19" s="131"/>
      <c r="H19" s="129">
        <f t="shared" si="1"/>
        <v>0</v>
      </c>
      <c r="I19" s="131"/>
      <c r="J19" s="131"/>
      <c r="K19" s="129">
        <f t="shared" si="2"/>
        <v>0</v>
      </c>
      <c r="L19" s="120"/>
      <c r="N19" s="118"/>
      <c r="T19" s="162"/>
      <c r="U19" s="154"/>
      <c r="V19" s="154"/>
      <c r="W19" s="154"/>
      <c r="X19" s="160"/>
      <c r="Y19" s="154"/>
    </row>
    <row r="20" spans="2:25">
      <c r="B20" s="136">
        <f t="shared" si="0"/>
        <v>2026</v>
      </c>
      <c r="C20" s="137"/>
      <c r="D20" s="129"/>
      <c r="E20" s="149"/>
      <c r="F20" s="149"/>
      <c r="G20" s="131"/>
      <c r="H20" s="129">
        <f t="shared" si="1"/>
        <v>0</v>
      </c>
      <c r="I20" s="131"/>
      <c r="J20" s="131"/>
      <c r="K20" s="129">
        <f t="shared" si="2"/>
        <v>0</v>
      </c>
      <c r="L20" s="120"/>
      <c r="N20" s="118"/>
      <c r="R20" s="154"/>
      <c r="T20" s="162"/>
      <c r="U20" s="154"/>
      <c r="V20" s="154"/>
      <c r="W20" s="154"/>
      <c r="X20" s="160"/>
      <c r="Y20" s="154"/>
    </row>
    <row r="21" spans="2:25">
      <c r="B21" s="136">
        <f t="shared" si="0"/>
        <v>2027</v>
      </c>
      <c r="C21" s="137"/>
      <c r="D21" s="129"/>
      <c r="E21" s="149"/>
      <c r="F21" s="149"/>
      <c r="G21" s="131"/>
      <c r="H21" s="129">
        <f t="shared" si="1"/>
        <v>0</v>
      </c>
      <c r="I21" s="131"/>
      <c r="J21" s="131"/>
      <c r="K21" s="129">
        <f t="shared" si="2"/>
        <v>0</v>
      </c>
      <c r="L21" s="120"/>
      <c r="N21" s="118"/>
      <c r="R21" s="154"/>
      <c r="T21" s="162"/>
      <c r="U21" s="154"/>
      <c r="V21" s="154"/>
      <c r="W21" s="154"/>
      <c r="X21" s="160"/>
      <c r="Y21" s="154"/>
    </row>
    <row r="22" spans="2:25">
      <c r="B22" s="136">
        <f t="shared" si="0"/>
        <v>2028</v>
      </c>
      <c r="C22" s="137"/>
      <c r="D22" s="129"/>
      <c r="E22" s="149"/>
      <c r="F22" s="149"/>
      <c r="G22" s="131"/>
      <c r="H22" s="129">
        <f t="shared" si="1"/>
        <v>0</v>
      </c>
      <c r="I22" s="131"/>
      <c r="J22" s="131"/>
      <c r="K22" s="129">
        <f t="shared" si="2"/>
        <v>0</v>
      </c>
      <c r="L22" s="120"/>
      <c r="N22" s="118"/>
      <c r="R22" s="154"/>
      <c r="T22" s="162"/>
      <c r="U22" s="154"/>
      <c r="V22" s="154"/>
      <c r="W22" s="154"/>
      <c r="X22" s="160"/>
      <c r="Y22" s="154"/>
    </row>
    <row r="23" spans="2:25">
      <c r="B23" s="136">
        <f t="shared" si="0"/>
        <v>2029</v>
      </c>
      <c r="C23" s="137"/>
      <c r="D23" s="129"/>
      <c r="E23" s="149"/>
      <c r="F23" s="149"/>
      <c r="G23" s="131"/>
      <c r="H23" s="129">
        <f t="shared" si="1"/>
        <v>0</v>
      </c>
      <c r="I23" s="131"/>
      <c r="J23" s="131"/>
      <c r="K23" s="129">
        <f t="shared" si="2"/>
        <v>0</v>
      </c>
      <c r="L23" s="120"/>
      <c r="N23" s="118"/>
      <c r="R23" s="154"/>
      <c r="T23" s="162"/>
      <c r="U23" s="154"/>
      <c r="V23" s="154"/>
      <c r="W23" s="154"/>
      <c r="X23" s="160"/>
      <c r="Y23" s="154"/>
    </row>
    <row r="24" spans="2:25">
      <c r="B24" s="136">
        <f t="shared" si="0"/>
        <v>2030</v>
      </c>
      <c r="C24" s="349">
        <v>1253.063829787234</v>
      </c>
      <c r="D24" s="129">
        <f>C24*$C$62</f>
        <v>86.448873617021263</v>
      </c>
      <c r="E24" s="270">
        <v>37.749134282416321</v>
      </c>
      <c r="F24" s="129">
        <f>C60</f>
        <v>12.097273854334603</v>
      </c>
      <c r="G24" s="131">
        <f>(D24+E24+F24)/(8.76*$C$63)</f>
        <v>41.937525924556674</v>
      </c>
      <c r="H24" s="129">
        <f t="shared" si="1"/>
        <v>0</v>
      </c>
      <c r="I24" s="131">
        <f>(G24+H24)</f>
        <v>41.937525924556674</v>
      </c>
      <c r="J24" s="131">
        <f t="shared" ref="J24:J32" si="3">ROUND(I24*$C$63*8.76,2)</f>
        <v>136.30000000000001</v>
      </c>
      <c r="K24" s="129">
        <f t="shared" si="2"/>
        <v>136.2952817537722</v>
      </c>
      <c r="L24" s="120"/>
      <c r="N24" s="118"/>
      <c r="R24" s="154"/>
      <c r="T24" s="162"/>
      <c r="U24" s="154"/>
      <c r="V24" s="154"/>
      <c r="W24" s="154"/>
      <c r="X24" s="160"/>
      <c r="Y24" s="154"/>
    </row>
    <row r="25" spans="2:25">
      <c r="B25" s="136">
        <f t="shared" si="0"/>
        <v>2031</v>
      </c>
      <c r="C25" s="137"/>
      <c r="D25" s="129">
        <f t="shared" ref="D25:E37" si="4">ROUND(D24*(1+(IFERROR(INDEX($D$66:$D$74,MATCH($B25,$C$66:$C$74,0),1),0)+IFERROR(INDEX($G$66:$G$74,MATCH($B25,$F$66:$F$74,0),1),0)+IFERROR(INDEX($J$66:$J$74,MATCH($B25,$I$66:$I$74,0),1),0))),2)</f>
        <v>88.35</v>
      </c>
      <c r="E25" s="270">
        <v>38.610042323970752</v>
      </c>
      <c r="F25" s="129">
        <f t="shared" ref="F25" si="5">ROUND(F24*(1+(IFERROR(INDEX($D$66:$D$74,MATCH($B25,$C$66:$C$74,0),1),0)+IFERROR(INDEX($G$66:$G$74,MATCH($B25,$F$66:$F$74,0),1),0)+IFERROR(INDEX($J$66:$J$74,MATCH($B25,$I$66:$I$74,0),1),0))),2)</f>
        <v>12.36</v>
      </c>
      <c r="G25" s="131">
        <f t="shared" ref="G25:G37" si="6">(D25+E25+F25)/(8.76*$C$63)</f>
        <v>42.868232939473344</v>
      </c>
      <c r="H25" s="129">
        <f t="shared" si="1"/>
        <v>0</v>
      </c>
      <c r="I25" s="131">
        <f t="shared" ref="I25:I37" si="7">(G25+H25)</f>
        <v>42.868232939473344</v>
      </c>
      <c r="J25" s="131">
        <f t="shared" si="3"/>
        <v>139.32</v>
      </c>
      <c r="K25" s="129">
        <f t="shared" si="2"/>
        <v>139.32004232397077</v>
      </c>
      <c r="L25" s="120"/>
      <c r="N25" s="118"/>
      <c r="R25" s="154"/>
      <c r="T25" s="162"/>
      <c r="U25" s="154"/>
      <c r="V25" s="154"/>
      <c r="W25" s="154"/>
      <c r="X25" s="160"/>
      <c r="Y25" s="154"/>
    </row>
    <row r="26" spans="2:25">
      <c r="B26" s="136">
        <f t="shared" si="0"/>
        <v>2032</v>
      </c>
      <c r="C26" s="137"/>
      <c r="D26" s="129">
        <f t="shared" si="4"/>
        <v>90.29</v>
      </c>
      <c r="E26" s="270">
        <v>39.490188534051562</v>
      </c>
      <c r="F26" s="129">
        <f t="shared" ref="F26" si="8">ROUND(F25*(1+(IFERROR(INDEX($D$66:$D$74,MATCH($B26,$C$66:$C$74,0),1),0)+IFERROR(INDEX($G$66:$G$74,MATCH($B26,$F$66:$F$74,0),1),0)+IFERROR(INDEX($J$66:$J$74,MATCH($B26,$I$66:$I$74,0),1),0))),2)</f>
        <v>12.63</v>
      </c>
      <c r="G26" s="131">
        <f t="shared" si="6"/>
        <v>43.819058860432612</v>
      </c>
      <c r="H26" s="129">
        <f t="shared" si="1"/>
        <v>0</v>
      </c>
      <c r="I26" s="131">
        <f t="shared" si="7"/>
        <v>43.819058860432612</v>
      </c>
      <c r="J26" s="131">
        <f t="shared" si="3"/>
        <v>142.41</v>
      </c>
      <c r="K26" s="129">
        <f t="shared" si="2"/>
        <v>142.41018853405157</v>
      </c>
      <c r="L26" s="120"/>
      <c r="N26" s="118"/>
      <c r="R26" s="154"/>
      <c r="T26" s="162"/>
      <c r="U26" s="154"/>
      <c r="V26" s="154"/>
      <c r="W26" s="154"/>
      <c r="X26" s="160"/>
      <c r="Y26" s="154"/>
    </row>
    <row r="27" spans="2:25">
      <c r="B27" s="136">
        <f t="shared" si="0"/>
        <v>2033</v>
      </c>
      <c r="C27" s="137"/>
      <c r="D27" s="129">
        <f t="shared" si="4"/>
        <v>92.19</v>
      </c>
      <c r="E27" s="270">
        <v>40.389572912658728</v>
      </c>
      <c r="F27" s="129">
        <f t="shared" ref="F27" si="9">ROUND(F26*(1+(IFERROR(INDEX($D$66:$D$74,MATCH($B27,$C$66:$C$74,0),1),0)+IFERROR(INDEX($G$66:$G$74,MATCH($B27,$F$66:$F$74,0),1),0)+IFERROR(INDEX($J$66:$J$74,MATCH($B27,$I$66:$I$74,0),1),0))),2)</f>
        <v>12.9</v>
      </c>
      <c r="G27" s="131">
        <f t="shared" si="6"/>
        <v>44.763496446928194</v>
      </c>
      <c r="H27" s="129">
        <f t="shared" si="1"/>
        <v>0</v>
      </c>
      <c r="I27" s="131">
        <f t="shared" si="7"/>
        <v>44.763496446928194</v>
      </c>
      <c r="J27" s="131">
        <f t="shared" si="3"/>
        <v>145.47999999999999</v>
      </c>
      <c r="K27" s="129">
        <f t="shared" si="2"/>
        <v>145.47957291265874</v>
      </c>
      <c r="L27" s="120"/>
      <c r="N27" s="118"/>
      <c r="R27" s="154"/>
      <c r="T27" s="162"/>
      <c r="U27" s="154"/>
      <c r="V27" s="154"/>
      <c r="W27" s="154"/>
      <c r="X27" s="160"/>
      <c r="Y27" s="154"/>
    </row>
    <row r="28" spans="2:25">
      <c r="B28" s="136">
        <f t="shared" si="0"/>
        <v>2034</v>
      </c>
      <c r="C28" s="137"/>
      <c r="D28" s="129">
        <f t="shared" si="4"/>
        <v>94.13</v>
      </c>
      <c r="E28" s="270">
        <v>41.310119276644869</v>
      </c>
      <c r="F28" s="129">
        <f t="shared" ref="F28" si="10">ROUND(F27*(1+(IFERROR(INDEX($D$66:$D$74,MATCH($B28,$C$66:$C$74,0),1),0)+IFERROR(INDEX($G$66:$G$74,MATCH($B28,$F$66:$F$74,0),1),0)+IFERROR(INDEX($J$66:$J$74,MATCH($B28,$I$66:$I$74,0),1),0))),2)</f>
        <v>13.17</v>
      </c>
      <c r="G28" s="131">
        <f t="shared" si="6"/>
        <v>45.726753337470264</v>
      </c>
      <c r="H28" s="129">
        <f t="shared" si="1"/>
        <v>0</v>
      </c>
      <c r="I28" s="131">
        <f t="shared" si="7"/>
        <v>45.726753337470264</v>
      </c>
      <c r="J28" s="131">
        <f t="shared" si="3"/>
        <v>148.61000000000001</v>
      </c>
      <c r="K28" s="129">
        <f t="shared" si="2"/>
        <v>148.61011927664484</v>
      </c>
      <c r="L28" s="120"/>
      <c r="N28" s="118"/>
      <c r="R28" s="154"/>
      <c r="T28" s="162"/>
      <c r="U28" s="154"/>
      <c r="V28" s="154"/>
      <c r="W28" s="154"/>
      <c r="X28" s="160"/>
      <c r="Y28" s="154"/>
    </row>
    <row r="29" spans="2:25">
      <c r="B29" s="136">
        <f t="shared" si="0"/>
        <v>2035</v>
      </c>
      <c r="C29" s="137"/>
      <c r="D29" s="129">
        <f t="shared" si="4"/>
        <v>96.11</v>
      </c>
      <c r="E29" s="270">
        <v>42.249903809157374</v>
      </c>
      <c r="F29" s="129">
        <f t="shared" ref="F29" si="11">ROUND(F28*(1+(IFERROR(INDEX($D$66:$D$74,MATCH($B29,$C$66:$C$74,0),1),0)+IFERROR(INDEX($G$66:$G$74,MATCH($B29,$F$66:$F$74,0),1),0)+IFERROR(INDEX($J$66:$J$74,MATCH($B29,$I$66:$I$74,0),1),0))),2)</f>
        <v>13.45</v>
      </c>
      <c r="G29" s="131">
        <f t="shared" si="6"/>
        <v>46.711314542073559</v>
      </c>
      <c r="H29" s="129">
        <f t="shared" si="1"/>
        <v>0</v>
      </c>
      <c r="I29" s="131">
        <f t="shared" si="7"/>
        <v>46.711314542073559</v>
      </c>
      <c r="J29" s="131">
        <f t="shared" si="3"/>
        <v>151.81</v>
      </c>
      <c r="K29" s="129">
        <f t="shared" si="2"/>
        <v>151.80990380915736</v>
      </c>
      <c r="L29" s="120"/>
      <c r="N29" s="118"/>
      <c r="R29" s="154"/>
      <c r="T29" s="162"/>
      <c r="U29" s="154"/>
      <c r="V29" s="154"/>
      <c r="W29" s="154"/>
      <c r="X29" s="160"/>
      <c r="Y29" s="154"/>
    </row>
    <row r="30" spans="2:25">
      <c r="B30" s="136">
        <f t="shared" si="0"/>
        <v>2036</v>
      </c>
      <c r="C30" s="137"/>
      <c r="D30" s="129">
        <f t="shared" si="4"/>
        <v>98.13</v>
      </c>
      <c r="E30" s="270">
        <v>43.219507502885733</v>
      </c>
      <c r="F30" s="129">
        <f t="shared" ref="F30" si="12">ROUND(F29*(1+(IFERROR(INDEX($D$66:$D$74,MATCH($B30,$C$66:$C$74,0),1),0)+IFERROR(INDEX($G$66:$G$74,MATCH($B30,$F$66:$F$74,0),1),0)+IFERROR(INDEX($J$66:$J$74,MATCH($B30,$I$66:$I$74,0),1),0))),2)</f>
        <v>13.73</v>
      </c>
      <c r="G30" s="131">
        <f t="shared" si="6"/>
        <v>47.717358829919668</v>
      </c>
      <c r="H30" s="129">
        <f t="shared" si="1"/>
        <v>0</v>
      </c>
      <c r="I30" s="131">
        <f t="shared" si="7"/>
        <v>47.717358829919668</v>
      </c>
      <c r="J30" s="131">
        <f t="shared" si="3"/>
        <v>155.08000000000001</v>
      </c>
      <c r="K30" s="129">
        <f t="shared" si="2"/>
        <v>155.07950750288572</v>
      </c>
      <c r="L30" s="120"/>
      <c r="N30" s="118"/>
      <c r="R30" s="154"/>
      <c r="T30" s="162"/>
      <c r="U30" s="154"/>
      <c r="V30" s="154"/>
      <c r="W30" s="154"/>
      <c r="X30" s="160"/>
      <c r="Y30" s="154"/>
    </row>
    <row r="31" spans="2:25">
      <c r="B31" s="136">
        <f t="shared" si="0"/>
        <v>2037</v>
      </c>
      <c r="C31" s="137"/>
      <c r="D31" s="129">
        <f t="shared" si="4"/>
        <v>100.19</v>
      </c>
      <c r="E31" s="270">
        <v>44.199692189303583</v>
      </c>
      <c r="F31" s="129">
        <f t="shared" ref="F31" si="13">ROUND(F30*(1+(IFERROR(INDEX($D$66:$D$74,MATCH($B31,$C$66:$C$74,0),1),0)+IFERROR(INDEX($G$66:$G$74,MATCH($B31,$F$66:$F$74,0),1),0)+IFERROR(INDEX($J$66:$J$74,MATCH($B31,$I$66:$I$74,0),1),0))),2)</f>
        <v>14.02</v>
      </c>
      <c r="G31" s="131">
        <f t="shared" si="6"/>
        <v>48.742043652630684</v>
      </c>
      <c r="H31" s="129">
        <f t="shared" si="1"/>
        <v>0</v>
      </c>
      <c r="I31" s="131">
        <f t="shared" si="7"/>
        <v>48.742043652630684</v>
      </c>
      <c r="J31" s="131">
        <f t="shared" si="3"/>
        <v>158.41</v>
      </c>
      <c r="K31" s="129">
        <f t="shared" si="2"/>
        <v>158.4096921893036</v>
      </c>
      <c r="L31" s="120"/>
      <c r="N31" s="118"/>
      <c r="R31" s="154"/>
      <c r="T31" s="162"/>
      <c r="U31" s="154"/>
      <c r="V31" s="154"/>
      <c r="W31" s="154"/>
      <c r="X31" s="160"/>
      <c r="Y31" s="154"/>
    </row>
    <row r="32" spans="2:25">
      <c r="B32" s="136">
        <f t="shared" si="0"/>
        <v>2038</v>
      </c>
      <c r="C32" s="137"/>
      <c r="D32" s="129">
        <f t="shared" si="4"/>
        <v>102.29</v>
      </c>
      <c r="E32" s="270">
        <v>45.210657945363607</v>
      </c>
      <c r="F32" s="129">
        <f t="shared" ref="F32" si="14">ROUND(F31*(1+(IFERROR(INDEX($D$66:$D$74,MATCH($B32,$C$66:$C$74,0),1),0)+IFERROR(INDEX($G$66:$G$74,MATCH($B32,$F$66:$F$74,0),1),0)+IFERROR(INDEX($J$66:$J$74,MATCH($B32,$I$66:$I$74,0),1),0))),2)</f>
        <v>14.31</v>
      </c>
      <c r="G32" s="131">
        <f t="shared" si="6"/>
        <v>49.788507534050773</v>
      </c>
      <c r="H32" s="129">
        <f t="shared" si="1"/>
        <v>0</v>
      </c>
      <c r="I32" s="131">
        <f t="shared" si="7"/>
        <v>49.788507534050773</v>
      </c>
      <c r="J32" s="131">
        <f t="shared" si="3"/>
        <v>161.81</v>
      </c>
      <c r="K32" s="129">
        <f t="shared" si="2"/>
        <v>161.81065794536363</v>
      </c>
      <c r="L32" s="120"/>
      <c r="N32" s="118"/>
      <c r="R32" s="154"/>
      <c r="T32" s="162"/>
      <c r="U32" s="154"/>
      <c r="V32" s="154"/>
      <c r="W32" s="154"/>
      <c r="X32" s="160"/>
      <c r="Y32" s="154"/>
    </row>
    <row r="33" spans="2:27">
      <c r="B33" s="136">
        <f t="shared" si="0"/>
        <v>2039</v>
      </c>
      <c r="C33" s="137"/>
      <c r="D33" s="129">
        <f t="shared" si="4"/>
        <v>104.44</v>
      </c>
      <c r="E33" s="129">
        <f t="shared" si="4"/>
        <v>46.16</v>
      </c>
      <c r="F33" s="129">
        <f t="shared" ref="F33" si="15">ROUND(F32*(1+(IFERROR(INDEX($D$66:$D$74,MATCH($B33,$C$66:$C$74,0),1),0)+IFERROR(INDEX($G$66:$G$74,MATCH($B33,$F$66:$F$74,0),1),0)+IFERROR(INDEX($J$66:$J$74,MATCH($B33,$I$66:$I$74,0),1),0))),2)</f>
        <v>14.61</v>
      </c>
      <c r="G33" s="131">
        <f t="shared" si="6"/>
        <v>50.834471808883798</v>
      </c>
      <c r="H33" s="129">
        <f t="shared" si="1"/>
        <v>0</v>
      </c>
      <c r="I33" s="131">
        <f t="shared" si="7"/>
        <v>50.834471808883798</v>
      </c>
      <c r="J33" s="131">
        <f t="shared" ref="J33:J37" si="16">ROUND(I33*$C$63*8.76,2)</f>
        <v>165.21</v>
      </c>
      <c r="K33" s="129">
        <f t="shared" si="2"/>
        <v>165.20999999999998</v>
      </c>
      <c r="L33" s="120"/>
      <c r="N33" s="118"/>
      <c r="AA33" s="279"/>
    </row>
    <row r="34" spans="2:27">
      <c r="B34" s="136">
        <f t="shared" si="0"/>
        <v>2040</v>
      </c>
      <c r="C34" s="137"/>
      <c r="D34" s="129">
        <f t="shared" si="4"/>
        <v>106.63</v>
      </c>
      <c r="E34" s="129">
        <f t="shared" ref="E34:F34" si="17">ROUND(E33*(1+(IFERROR(INDEX($D$66:$D$74,MATCH($B34,$C$66:$C$74,0),1),0)+IFERROR(INDEX($G$66:$G$74,MATCH($B34,$F$66:$F$74,0),1),0)+IFERROR(INDEX($J$66:$J$74,MATCH($B34,$I$66:$I$74,0),1),0))),2)</f>
        <v>47.13</v>
      </c>
      <c r="F34" s="129">
        <f t="shared" si="17"/>
        <v>14.92</v>
      </c>
      <c r="G34" s="131">
        <f t="shared" si="6"/>
        <v>51.902177257566244</v>
      </c>
      <c r="H34" s="129">
        <f t="shared" si="1"/>
        <v>0</v>
      </c>
      <c r="I34" s="131">
        <f t="shared" si="7"/>
        <v>51.902177257566244</v>
      </c>
      <c r="J34" s="131">
        <f t="shared" si="16"/>
        <v>168.68</v>
      </c>
      <c r="K34" s="129">
        <f t="shared" si="2"/>
        <v>168.67999999999998</v>
      </c>
      <c r="L34" s="120"/>
      <c r="N34" s="118"/>
      <c r="AA34" s="279"/>
    </row>
    <row r="35" spans="2:27">
      <c r="B35" s="136">
        <f t="shared" si="0"/>
        <v>2041</v>
      </c>
      <c r="C35" s="137"/>
      <c r="D35" s="129">
        <f t="shared" si="4"/>
        <v>108.87</v>
      </c>
      <c r="E35" s="129">
        <f t="shared" ref="E35:F35" si="18">ROUND(E34*(1+(IFERROR(INDEX($D$66:$D$74,MATCH($B35,$C$66:$C$74,0),1),0)+IFERROR(INDEX($G$66:$G$74,MATCH($B35,$F$66:$F$74,0),1),0)+IFERROR(INDEX($J$66:$J$74,MATCH($B35,$I$66:$I$74,0),1),0))),2)</f>
        <v>48.12</v>
      </c>
      <c r="F35" s="129">
        <f t="shared" si="18"/>
        <v>15.23</v>
      </c>
      <c r="G35" s="131">
        <f t="shared" si="6"/>
        <v>52.991421432879179</v>
      </c>
      <c r="H35" s="129">
        <f t="shared" si="1"/>
        <v>0</v>
      </c>
      <c r="I35" s="131">
        <f t="shared" si="7"/>
        <v>52.991421432879179</v>
      </c>
      <c r="J35" s="131">
        <f t="shared" si="16"/>
        <v>172.22</v>
      </c>
      <c r="K35" s="129">
        <f t="shared" si="2"/>
        <v>172.22</v>
      </c>
      <c r="L35" s="120"/>
      <c r="N35" s="118"/>
      <c r="AA35" s="279"/>
    </row>
    <row r="36" spans="2:27">
      <c r="B36" s="136">
        <f t="shared" si="0"/>
        <v>2042</v>
      </c>
      <c r="C36" s="137"/>
      <c r="D36" s="129">
        <f t="shared" si="4"/>
        <v>111.16</v>
      </c>
      <c r="E36" s="129">
        <f t="shared" ref="E36:F36" si="19">ROUND(E35*(1+(IFERROR(INDEX($D$66:$D$74,MATCH($B36,$C$66:$C$74,0),1),0)+IFERROR(INDEX($G$66:$G$74,MATCH($B36,$F$66:$F$74,0),1),0)+IFERROR(INDEX($J$66:$J$74,MATCH($B36,$I$66:$I$74,0),1),0))),2)</f>
        <v>49.13</v>
      </c>
      <c r="F36" s="129">
        <f t="shared" si="19"/>
        <v>15.55</v>
      </c>
      <c r="G36" s="131">
        <f t="shared" si="6"/>
        <v>54.105281295769799</v>
      </c>
      <c r="H36" s="129">
        <f t="shared" si="1"/>
        <v>0</v>
      </c>
      <c r="I36" s="131">
        <f t="shared" si="7"/>
        <v>54.105281295769799</v>
      </c>
      <c r="J36" s="131">
        <f t="shared" si="16"/>
        <v>175.84</v>
      </c>
      <c r="K36" s="129">
        <f t="shared" si="2"/>
        <v>175.84</v>
      </c>
      <c r="L36" s="120"/>
      <c r="N36" s="118"/>
      <c r="AA36" s="279"/>
    </row>
    <row r="37" spans="2:27">
      <c r="B37" s="136">
        <f t="shared" si="0"/>
        <v>2043</v>
      </c>
      <c r="C37" s="137"/>
      <c r="D37" s="129">
        <f t="shared" si="4"/>
        <v>113.49</v>
      </c>
      <c r="E37" s="129">
        <f t="shared" ref="E37:F37" si="20">ROUND(E36*(1+(IFERROR(INDEX($D$66:$D$74,MATCH($B37,$C$66:$C$74,0),1),0)+IFERROR(INDEX($G$66:$G$74,MATCH($B37,$F$66:$F$74,0),1),0)+IFERROR(INDEX($J$66:$J$74,MATCH($B37,$I$66:$I$74,0),1),0))),2)</f>
        <v>50.16</v>
      </c>
      <c r="F37" s="129">
        <f t="shared" si="20"/>
        <v>15.88</v>
      </c>
      <c r="G37" s="131">
        <f t="shared" si="6"/>
        <v>55.240679885290895</v>
      </c>
      <c r="H37" s="129">
        <f t="shared" si="1"/>
        <v>0</v>
      </c>
      <c r="I37" s="131">
        <f t="shared" si="7"/>
        <v>55.240679885290895</v>
      </c>
      <c r="J37" s="131">
        <f t="shared" si="16"/>
        <v>179.53</v>
      </c>
      <c r="K37" s="129">
        <f t="shared" si="2"/>
        <v>179.52999999999997</v>
      </c>
      <c r="L37" s="120"/>
      <c r="AA37" s="279"/>
    </row>
    <row r="38" spans="2:27">
      <c r="B38" s="136"/>
      <c r="C38" s="137"/>
      <c r="D38" s="129"/>
      <c r="E38" s="129"/>
      <c r="F38" s="131"/>
      <c r="G38" s="129"/>
      <c r="H38" s="129"/>
      <c r="I38" s="131"/>
      <c r="J38" s="131"/>
      <c r="K38" s="129"/>
      <c r="L38" s="120"/>
      <c r="AA38" s="279"/>
    </row>
    <row r="39" spans="2:27">
      <c r="B39" s="136"/>
      <c r="C39" s="137"/>
      <c r="D39" s="129"/>
      <c r="E39" s="129"/>
      <c r="F39" s="131"/>
      <c r="G39" s="129"/>
      <c r="H39" s="129"/>
      <c r="I39" s="131"/>
      <c r="J39" s="131"/>
      <c r="K39" s="129"/>
      <c r="L39" s="120"/>
      <c r="AA39" s="279"/>
    </row>
    <row r="40" spans="2:27">
      <c r="B40" s="127"/>
      <c r="C40" s="132"/>
      <c r="D40" s="129"/>
      <c r="E40" s="129"/>
      <c r="F40" s="130"/>
      <c r="G40" s="129"/>
      <c r="H40" s="129"/>
      <c r="I40" s="131"/>
      <c r="J40" s="131"/>
      <c r="K40" s="138"/>
      <c r="AA40" s="279"/>
    </row>
    <row r="41" spans="2:27">
      <c r="AA41" s="279"/>
    </row>
    <row r="42" spans="2:27" ht="14.25">
      <c r="B42" s="139" t="s">
        <v>25</v>
      </c>
      <c r="C42" s="140"/>
      <c r="D42" s="140"/>
      <c r="E42" s="140"/>
      <c r="F42" s="140"/>
      <c r="G42" s="140"/>
      <c r="H42" s="140"/>
      <c r="AA42" s="279"/>
    </row>
    <row r="43" spans="2:27">
      <c r="AA43" s="279"/>
    </row>
    <row r="44" spans="2:27">
      <c r="B44" s="118" t="s">
        <v>63</v>
      </c>
      <c r="C44" s="141" t="s">
        <v>64</v>
      </c>
      <c r="D44" s="142" t="s">
        <v>102</v>
      </c>
      <c r="AA44" s="279"/>
    </row>
    <row r="45" spans="2:27">
      <c r="C45" s="141" t="str">
        <f>C7</f>
        <v>(a)</v>
      </c>
      <c r="D45" s="118" t="s">
        <v>65</v>
      </c>
      <c r="AA45" s="279"/>
    </row>
    <row r="46" spans="2:27">
      <c r="C46" s="141" t="str">
        <f>D7</f>
        <v>(b)</v>
      </c>
      <c r="D46" s="131" t="str">
        <f>"= "&amp;C7&amp;" x "&amp;C62</f>
        <v>= (a) x 0.06899</v>
      </c>
      <c r="AA46" s="279"/>
    </row>
    <row r="47" spans="2:27">
      <c r="C47" s="141" t="str">
        <f>G7</f>
        <v>(e)</v>
      </c>
      <c r="D47" s="131" t="str">
        <f>"= ("&amp;$D$7&amp;" + "&amp;$E$7&amp;") /  (8.76 x "&amp;TEXT(C63,"0.0%")&amp;")"</f>
        <v>= ((b) + (c)) /  (8.76 x 37.1%)</v>
      </c>
      <c r="AA47" s="279"/>
    </row>
    <row r="48" spans="2:27">
      <c r="C48" s="141" t="str">
        <f>I7</f>
        <v>(g)</v>
      </c>
      <c r="D48" s="131" t="str">
        <f>"= "&amp;$G$7&amp;" + "&amp;$H$7</f>
        <v>= (e) + (f)</v>
      </c>
      <c r="AA48" s="279"/>
    </row>
    <row r="49" spans="2:27">
      <c r="C49" s="141" t="str">
        <f>K7</f>
        <v>(i)</v>
      </c>
      <c r="D49" s="85" t="str">
        <f>D44</f>
        <v>Plant Costs  - 2019 IRP Update - Table 6.1 &amp; 6.2</v>
      </c>
      <c r="AA49" s="279"/>
    </row>
    <row r="50" spans="2:27">
      <c r="C50" s="141"/>
      <c r="D50" s="131"/>
      <c r="AA50" s="279"/>
    </row>
    <row r="51" spans="2:27" ht="13.5" thickBot="1">
      <c r="AA51" s="279"/>
    </row>
    <row r="52" spans="2:27" ht="13.5" thickBot="1">
      <c r="C52" s="42" t="str">
        <f>B2&amp;" - "&amp;B3</f>
        <v>2019 IRP Idaho Wind Resource - 37% Capacity Factor</v>
      </c>
      <c r="D52" s="143"/>
      <c r="E52" s="143"/>
      <c r="F52" s="143"/>
      <c r="G52" s="143"/>
      <c r="H52" s="143"/>
      <c r="I52" s="144"/>
      <c r="J52" s="144"/>
      <c r="K52" s="145"/>
      <c r="AA52" s="279"/>
    </row>
    <row r="53" spans="2:27" ht="13.5" thickBot="1">
      <c r="C53" s="146" t="s">
        <v>66</v>
      </c>
      <c r="D53" s="147" t="s">
        <v>67</v>
      </c>
      <c r="E53" s="147"/>
      <c r="F53" s="147"/>
      <c r="G53" s="147"/>
      <c r="H53" s="147"/>
      <c r="I53" s="144"/>
      <c r="J53" s="144"/>
      <c r="K53" s="145"/>
      <c r="AA53" s="279"/>
    </row>
    <row r="54" spans="2:27">
      <c r="P54" s="118" t="s">
        <v>103</v>
      </c>
      <c r="Q54" s="118">
        <v>2030</v>
      </c>
    </row>
    <row r="55" spans="2:27">
      <c r="B55" s="85" t="s">
        <v>101</v>
      </c>
      <c r="C55" s="171">
        <v>1358.4350565953944</v>
      </c>
      <c r="D55" s="118" t="s">
        <v>65</v>
      </c>
      <c r="T55" s="118" t="str">
        <f>$Q$56&amp;"Proposed Station Capital Costs"</f>
        <v>H_.GO2_WDProposed Station Capital Costs</v>
      </c>
    </row>
    <row r="56" spans="2:27">
      <c r="B56" s="85" t="s">
        <v>101</v>
      </c>
      <c r="C56" s="270">
        <v>28.802174620531375</v>
      </c>
      <c r="D56" s="118" t="s">
        <v>68</v>
      </c>
      <c r="O56" s="118">
        <v>470</v>
      </c>
      <c r="P56" s="118" t="s">
        <v>32</v>
      </c>
      <c r="Q56" s="118" t="s">
        <v>153</v>
      </c>
      <c r="T56" s="118" t="str">
        <f>Q56&amp;"Proposed Station Fixed Costs"</f>
        <v>H_.GO2_WDProposed Station Fixed Costs</v>
      </c>
      <c r="Z56" s="118" t="s">
        <v>110</v>
      </c>
      <c r="AA56" s="280">
        <f>PMT(0.0692,30,NPV(0.0692,AA18:AA53))</f>
        <v>0</v>
      </c>
    </row>
    <row r="57" spans="2:27" ht="24" customHeight="1">
      <c r="B57" s="85"/>
      <c r="C57" s="272"/>
      <c r="D57" s="118" t="s">
        <v>105</v>
      </c>
      <c r="O57" s="118">
        <v>569.6</v>
      </c>
      <c r="P57" s="118" t="s">
        <v>32</v>
      </c>
      <c r="Q57" s="118" t="s">
        <v>154</v>
      </c>
      <c r="T57" s="118" t="str">
        <f>Q57&amp;"Proposed Station Fixed Costs"</f>
        <v>L_.GO2_WDProposed Station Fixed Costs</v>
      </c>
    </row>
    <row r="58" spans="2:27">
      <c r="B58" s="85" t="s">
        <v>101</v>
      </c>
      <c r="C58" s="270">
        <v>0</v>
      </c>
      <c r="D58" s="118" t="s">
        <v>69</v>
      </c>
      <c r="K58" s="120"/>
      <c r="L58" s="150"/>
      <c r="M58" s="52"/>
      <c r="N58" s="164"/>
      <c r="O58" s="52"/>
      <c r="P58" s="52"/>
      <c r="Q58" s="120"/>
      <c r="R58" s="120"/>
      <c r="T58" s="118" t="str">
        <f>$Q$56&amp;"Proposed Station Variable O&amp;M Costs"</f>
        <v>H_.GO2_WDProposed Station Variable O&amp;M Costs</v>
      </c>
      <c r="U58" s="120"/>
      <c r="V58" s="120"/>
      <c r="W58" s="120"/>
      <c r="X58" s="120"/>
      <c r="Y58" s="120"/>
    </row>
    <row r="59" spans="2:27">
      <c r="B59" s="85"/>
      <c r="C59" s="159"/>
      <c r="D59" s="118" t="s">
        <v>70</v>
      </c>
      <c r="I59" s="198" t="s">
        <v>91</v>
      </c>
      <c r="L59" s="152"/>
      <c r="M59" s="153"/>
      <c r="O59" s="151"/>
      <c r="P59" s="120"/>
      <c r="Q59" s="215" t="str">
        <f>Q56&amp;Q54</f>
        <v>H_.GO2_WD2030</v>
      </c>
      <c r="R59" s="120"/>
      <c r="T59" s="118" t="str">
        <f>$Q$57&amp;"Proposed Station Variable O&amp;M Costs"</f>
        <v>L_.GO2_WDProposed Station Variable O&amp;M Costs</v>
      </c>
      <c r="U59" s="120"/>
      <c r="V59" s="120"/>
      <c r="W59" s="120"/>
      <c r="X59" s="120"/>
      <c r="Y59" s="120"/>
    </row>
    <row r="60" spans="2:27">
      <c r="B60" s="371" t="str">
        <f>LEFT(RIGHT(INDEX('Table 3 TransCost'!$39:$39,1,MATCH(F60,'Table 3 TransCost'!$4:$4,0)),6),5)</f>
        <v>2030$</v>
      </c>
      <c r="C60" s="272">
        <f>INDEX('Table 3 TransCost'!$39:$39,1,MATCH(F60,'Table 3 TransCost'!$4:$4,0)+2)</f>
        <v>12.097273854334603</v>
      </c>
      <c r="D60" s="118" t="s">
        <v>218</v>
      </c>
      <c r="F60" s="276" t="s">
        <v>184</v>
      </c>
      <c r="K60" s="152"/>
      <c r="L60" s="152"/>
      <c r="M60" s="152"/>
      <c r="N60" s="165"/>
      <c r="O60" s="151"/>
      <c r="P60" s="120"/>
      <c r="Q60" s="120"/>
      <c r="R60" s="120"/>
      <c r="T60" s="120"/>
      <c r="U60" s="120"/>
      <c r="V60" s="120"/>
      <c r="W60" s="120"/>
      <c r="X60" s="120"/>
      <c r="Y60" s="120"/>
    </row>
    <row r="61" spans="2:27">
      <c r="B61" s="85"/>
      <c r="C61" s="201"/>
      <c r="K61" s="152"/>
      <c r="L61" s="152"/>
      <c r="M61" s="152"/>
      <c r="N61" s="165"/>
      <c r="O61" s="152"/>
      <c r="R61" s="120"/>
      <c r="T61" s="120"/>
      <c r="U61" s="120"/>
      <c r="V61" s="120"/>
      <c r="W61" s="120"/>
      <c r="X61" s="120"/>
      <c r="Y61" s="120"/>
    </row>
    <row r="62" spans="2:27">
      <c r="C62" s="271">
        <v>6.8989999999999996E-2</v>
      </c>
      <c r="D62" s="118" t="s">
        <v>36</v>
      </c>
      <c r="K62" s="156"/>
      <c r="L62" s="157"/>
      <c r="M62" s="157"/>
      <c r="O62" s="158"/>
    </row>
    <row r="63" spans="2:27">
      <c r="C63" s="209">
        <v>0.371</v>
      </c>
      <c r="D63" s="118" t="s">
        <v>37</v>
      </c>
    </row>
    <row r="64" spans="2:27" ht="13.5" thickBot="1">
      <c r="D64" s="155"/>
    </row>
    <row r="65" spans="3:14" ht="13.5" thickBot="1">
      <c r="C65" s="40" t="str">
        <f>"Company Official Inflation Forecast Dated "&amp;TEXT('Table 4'!$H$5,"mmmm dd, yyyy")</f>
        <v>Company Official Inflation Forecast Dated March 31, 2020</v>
      </c>
      <c r="D65" s="143"/>
      <c r="E65" s="143"/>
      <c r="F65" s="143"/>
      <c r="G65" s="143"/>
      <c r="H65" s="143"/>
      <c r="I65" s="143"/>
      <c r="J65" s="143"/>
      <c r="K65" s="145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2.1000000000000001E-2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2.3E-2</v>
      </c>
      <c r="H67" s="41"/>
      <c r="I67" s="87">
        <f>I66+1</f>
        <v>2036</v>
      </c>
      <c r="J67" s="41">
        <v>2.1000000000000001E-2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2.3E-2</v>
      </c>
      <c r="H68" s="41"/>
      <c r="I68" s="87">
        <f t="shared" ref="I68:I74" si="23">I67+1</f>
        <v>2037</v>
      </c>
      <c r="J68" s="41">
        <v>2.1000000000000001E-2</v>
      </c>
    </row>
    <row r="69" spans="3:14">
      <c r="C69" s="87">
        <f t="shared" si="21"/>
        <v>2020</v>
      </c>
      <c r="D69" s="41">
        <v>1.9E-2</v>
      </c>
      <c r="E69" s="85"/>
      <c r="F69" s="87">
        <f t="shared" si="22"/>
        <v>2029</v>
      </c>
      <c r="G69" s="41">
        <v>2.3E-2</v>
      </c>
      <c r="H69" s="41"/>
      <c r="I69" s="87">
        <f t="shared" si="23"/>
        <v>2038</v>
      </c>
      <c r="J69" s="41">
        <v>2.1000000000000001E-2</v>
      </c>
    </row>
    <row r="70" spans="3:14">
      <c r="C70" s="87">
        <f t="shared" si="21"/>
        <v>2021</v>
      </c>
      <c r="D70" s="41">
        <v>0.02</v>
      </c>
      <c r="E70" s="85"/>
      <c r="F70" s="87">
        <f t="shared" si="22"/>
        <v>2030</v>
      </c>
      <c r="G70" s="41">
        <v>2.1999999999999999E-2</v>
      </c>
      <c r="H70" s="41"/>
      <c r="I70" s="87">
        <f t="shared" si="23"/>
        <v>2039</v>
      </c>
      <c r="J70" s="41">
        <v>2.1000000000000001E-2</v>
      </c>
    </row>
    <row r="71" spans="3:14">
      <c r="C71" s="87">
        <f t="shared" si="21"/>
        <v>2022</v>
      </c>
      <c r="D71" s="41">
        <v>2.5000000000000001E-2</v>
      </c>
      <c r="E71" s="85"/>
      <c r="F71" s="87">
        <f t="shared" si="22"/>
        <v>2031</v>
      </c>
      <c r="G71" s="41">
        <v>2.1999999999999999E-2</v>
      </c>
      <c r="H71" s="41"/>
      <c r="I71" s="87">
        <f t="shared" si="23"/>
        <v>2040</v>
      </c>
      <c r="J71" s="41">
        <v>2.1000000000000001E-2</v>
      </c>
    </row>
    <row r="72" spans="3:14" s="120" customFormat="1">
      <c r="C72" s="87">
        <f t="shared" si="21"/>
        <v>2023</v>
      </c>
      <c r="D72" s="41">
        <v>2.5000000000000001E-2</v>
      </c>
      <c r="E72" s="86"/>
      <c r="F72" s="87">
        <f t="shared" si="22"/>
        <v>2032</v>
      </c>
      <c r="G72" s="41">
        <v>2.1999999999999999E-2</v>
      </c>
      <c r="H72" s="41"/>
      <c r="I72" s="87">
        <f t="shared" si="23"/>
        <v>2041</v>
      </c>
      <c r="J72" s="41">
        <v>2.1000000000000001E-2</v>
      </c>
      <c r="N72" s="165"/>
    </row>
    <row r="73" spans="3:14" s="120" customFormat="1">
      <c r="C73" s="87">
        <f t="shared" si="21"/>
        <v>2024</v>
      </c>
      <c r="D73" s="41">
        <v>2.4E-2</v>
      </c>
      <c r="E73" s="86"/>
      <c r="F73" s="87">
        <f t="shared" si="22"/>
        <v>2033</v>
      </c>
      <c r="G73" s="41">
        <v>2.1000000000000001E-2</v>
      </c>
      <c r="H73" s="41"/>
      <c r="I73" s="87">
        <f t="shared" si="23"/>
        <v>2042</v>
      </c>
      <c r="J73" s="41">
        <v>2.1000000000000001E-2</v>
      </c>
      <c r="N73" s="165"/>
    </row>
    <row r="74" spans="3:14" s="120" customFormat="1">
      <c r="C74" s="87">
        <f t="shared" si="21"/>
        <v>2025</v>
      </c>
      <c r="D74" s="41">
        <v>2.3E-2</v>
      </c>
      <c r="E74" s="86"/>
      <c r="F74" s="87">
        <f t="shared" si="22"/>
        <v>2034</v>
      </c>
      <c r="G74" s="41">
        <v>2.1000000000000001E-2</v>
      </c>
      <c r="H74" s="41"/>
      <c r="I74" s="87">
        <f t="shared" si="23"/>
        <v>2043</v>
      </c>
      <c r="J74" s="41">
        <v>2.1000000000000001E-2</v>
      </c>
      <c r="N74" s="165"/>
    </row>
    <row r="75" spans="3:14" s="120" customFormat="1">
      <c r="N75" s="165"/>
    </row>
    <row r="76" spans="3:14" s="120" customFormat="1">
      <c r="N76" s="165"/>
    </row>
    <row r="93" spans="3:4">
      <c r="C93" s="151"/>
      <c r="D93" s="155"/>
    </row>
    <row r="94" spans="3:4">
      <c r="C94" s="151"/>
      <c r="D94" s="155"/>
    </row>
    <row r="95" spans="3:4">
      <c r="C95" s="151"/>
      <c r="D95" s="155"/>
    </row>
    <row r="96" spans="3:4">
      <c r="C96" s="151"/>
      <c r="D96" s="155"/>
    </row>
    <row r="97" spans="3:4">
      <c r="C97" s="151"/>
      <c r="D97" s="155"/>
    </row>
    <row r="98" spans="3:4">
      <c r="C98" s="151"/>
      <c r="D98" s="155"/>
    </row>
    <row r="99" spans="3:4">
      <c r="C99" s="151"/>
      <c r="D99" s="155"/>
    </row>
    <row r="100" spans="3:4">
      <c r="C100" s="151"/>
      <c r="D100" s="155"/>
    </row>
    <row r="101" spans="3:4">
      <c r="C101" s="151"/>
      <c r="D101" s="155"/>
    </row>
    <row r="102" spans="3:4">
      <c r="C102" s="151"/>
      <c r="D102" s="155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56</vt:i4>
      </vt:variant>
    </vt:vector>
  </HeadingPairs>
  <TitlesOfParts>
    <vt:vector size="76" baseType="lpstr">
      <vt:lpstr>Appendix B.1</vt:lpstr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B.1'!Print_Area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5'!Print_Titles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2020-06-30T19:40:24Z</cp:lastPrinted>
  <dcterms:created xsi:type="dcterms:W3CDTF">2001-03-19T15:45:46Z</dcterms:created>
  <dcterms:modified xsi:type="dcterms:W3CDTF">2020-06-30T21:55:05Z</dcterms:modified>
</cp:coreProperties>
</file>