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30\"/>
    </mc:Choice>
  </mc:AlternateContent>
  <bookViews>
    <workbookView xWindow="0" yWindow="0" windowWidth="19080" windowHeight="11520"/>
  </bookViews>
  <sheets>
    <sheet name="Summary" sheetId="14" r:id="rId1"/>
    <sheet name="Incremental" sheetId="6" r:id="rId2"/>
    <sheet name="Total" sheetId="5" r:id="rId3"/>
    <sheet name="Energy" sheetId="12" r:id="rId4"/>
    <sheet name="Capacity" sheetId="10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Order1" hidden="1">255</definedName>
    <definedName name="_Order2" hidden="1">0</definedName>
    <definedName name="Discount_Rate" localSheetId="0">Total!$B$40</definedName>
    <definedName name="Discount_Rate">Total!$B$40</definedName>
    <definedName name="_xlnm.Print_Area" localSheetId="4">Capacity!$A$1:$H$37</definedName>
    <definedName name="_xlnm.Print_Area" localSheetId="3">Energy!$A$1:$F$37</definedName>
    <definedName name="_xlnm.Print_Area" localSheetId="1">Incremental!$A$1:$F$37</definedName>
    <definedName name="_xlnm.Print_Area" localSheetId="2">Total!$A$1:$F$37</definedName>
    <definedName name="Study_CF">#REF!</definedName>
    <definedName name="Study_MW">#REF!</definedName>
    <definedName name="Study_Name">#REF!</definedName>
  </definedNames>
  <calcPr calcId="152511"/>
</workbook>
</file>

<file path=xl/calcChain.xml><?xml version="1.0" encoding="utf-8"?>
<calcChain xmlns="http://schemas.openxmlformats.org/spreadsheetml/2006/main">
  <c r="B42" i="12" l="1"/>
  <c r="B42" i="5"/>
  <c r="C27" i="12" l="1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E7" i="12" l="1"/>
  <c r="G29" i="12" l="1"/>
  <c r="G28" i="12"/>
  <c r="D7" i="12" l="1"/>
  <c r="B37" i="5" l="1"/>
  <c r="B34" i="10"/>
  <c r="B35" i="12"/>
  <c r="D7" i="6" l="1"/>
  <c r="C6" i="14" s="1"/>
  <c r="E7" i="5"/>
  <c r="B10" i="10" l="1"/>
  <c r="D10" i="10" s="1"/>
  <c r="B3" i="10"/>
  <c r="B1" i="10"/>
  <c r="D8" i="10" l="1"/>
  <c r="C7" i="6" l="1"/>
  <c r="C5" i="14" l="1"/>
  <c r="G8" i="10"/>
  <c r="B4" i="10"/>
  <c r="B11" i="10" l="1"/>
  <c r="C11" i="10" l="1"/>
  <c r="D11" i="10"/>
  <c r="F11" i="10"/>
  <c r="B12" i="10"/>
  <c r="F10" i="10"/>
  <c r="C12" i="10" l="1"/>
  <c r="D12" i="10"/>
  <c r="F12" i="10"/>
  <c r="B13" i="10"/>
  <c r="C13" i="10" l="1"/>
  <c r="F13" i="10" s="1"/>
  <c r="D13" i="10"/>
  <c r="B14" i="10"/>
  <c r="C14" i="10" l="1"/>
  <c r="D14" i="10"/>
  <c r="F14" i="10"/>
  <c r="B15" i="10"/>
  <c r="C15" i="10" l="1"/>
  <c r="D15" i="10"/>
  <c r="F15" i="10"/>
  <c r="B16" i="10"/>
  <c r="C16" i="10" l="1"/>
  <c r="D16" i="10"/>
  <c r="F16" i="10"/>
  <c r="B17" i="10"/>
  <c r="C17" i="10" l="1"/>
  <c r="D17" i="10"/>
  <c r="F17" i="10"/>
  <c r="B18" i="10"/>
  <c r="C18" i="10" l="1"/>
  <c r="D18" i="10"/>
  <c r="F18" i="10"/>
  <c r="B19" i="10"/>
  <c r="C19" i="10" l="1"/>
  <c r="F19" i="10" s="1"/>
  <c r="D19" i="10"/>
  <c r="B20" i="10"/>
  <c r="C20" i="10" l="1"/>
  <c r="D20" i="10"/>
  <c r="F20" i="10"/>
  <c r="B21" i="10"/>
  <c r="C21" i="10" l="1"/>
  <c r="D21" i="10"/>
  <c r="F21" i="10"/>
  <c r="B22" i="10"/>
  <c r="C22" i="10" l="1"/>
  <c r="D22" i="10"/>
  <c r="F22" i="10"/>
  <c r="B23" i="10"/>
  <c r="C23" i="10" l="1"/>
  <c r="D23" i="10"/>
  <c r="F23" i="10"/>
  <c r="B24" i="10"/>
  <c r="C24" i="10" l="1"/>
  <c r="F24" i="10" s="1"/>
  <c r="D24" i="10"/>
  <c r="B25" i="10"/>
  <c r="C25" i="10" l="1"/>
  <c r="D25" i="10"/>
  <c r="F25" i="10"/>
  <c r="B30" i="10"/>
  <c r="B26" i="10"/>
  <c r="C26" i="10" l="1"/>
  <c r="D26" i="10"/>
  <c r="F26" i="10"/>
  <c r="B31" i="10"/>
  <c r="B27" i="10"/>
  <c r="C27" i="10" l="1"/>
  <c r="D27" i="10"/>
  <c r="F27" i="10"/>
  <c r="B32" i="10"/>
  <c r="C7" i="12" l="1"/>
  <c r="C8" i="5" l="1"/>
  <c r="C7" i="5"/>
  <c r="B1" i="12" l="1"/>
  <c r="B3" i="12"/>
  <c r="B10" i="12"/>
  <c r="B34" i="12"/>
  <c r="C10" i="5" l="1"/>
  <c r="B11" i="12"/>
  <c r="D11" i="12" l="1"/>
  <c r="E11" i="12"/>
  <c r="B12" i="12"/>
  <c r="E12" i="12" l="1"/>
  <c r="D12" i="12"/>
  <c r="C11" i="5"/>
  <c r="B13" i="12"/>
  <c r="E13" i="12" l="1"/>
  <c r="D13" i="12"/>
  <c r="C12" i="5"/>
  <c r="B14" i="12"/>
  <c r="D14" i="12" l="1"/>
  <c r="E14" i="12"/>
  <c r="C13" i="5"/>
  <c r="B15" i="12"/>
  <c r="D15" i="12" l="1"/>
  <c r="E15" i="12"/>
  <c r="C14" i="5"/>
  <c r="B16" i="12"/>
  <c r="D16" i="12" l="1"/>
  <c r="E16" i="12"/>
  <c r="C15" i="5"/>
  <c r="B17" i="12"/>
  <c r="E17" i="12" l="1"/>
  <c r="D17" i="12"/>
  <c r="C16" i="5"/>
  <c r="B18" i="12"/>
  <c r="D18" i="12" l="1"/>
  <c r="E18" i="12"/>
  <c r="C17" i="5"/>
  <c r="B19" i="12"/>
  <c r="D19" i="12" l="1"/>
  <c r="E19" i="12"/>
  <c r="C18" i="5"/>
  <c r="B20" i="12"/>
  <c r="D20" i="12" l="1"/>
  <c r="E20" i="12"/>
  <c r="C19" i="5"/>
  <c r="B21" i="12"/>
  <c r="E21" i="12" l="1"/>
  <c r="D21" i="12"/>
  <c r="C20" i="5"/>
  <c r="B22" i="12"/>
  <c r="D22" i="12" l="1"/>
  <c r="E22" i="12"/>
  <c r="C21" i="5"/>
  <c r="B23" i="12"/>
  <c r="D23" i="12" l="1"/>
  <c r="E23" i="12"/>
  <c r="C22" i="5"/>
  <c r="B24" i="12"/>
  <c r="D24" i="12" l="1"/>
  <c r="E24" i="12"/>
  <c r="B25" i="12"/>
  <c r="C23" i="5"/>
  <c r="E25" i="12" l="1"/>
  <c r="D25" i="12"/>
  <c r="B30" i="12"/>
  <c r="B26" i="12"/>
  <c r="C24" i="5"/>
  <c r="D26" i="12" l="1"/>
  <c r="E26" i="12"/>
  <c r="B31" i="12"/>
  <c r="B27" i="12"/>
  <c r="C25" i="5"/>
  <c r="B34" i="6"/>
  <c r="D27" i="12" l="1"/>
  <c r="E27" i="12"/>
  <c r="B32" i="12"/>
  <c r="C26" i="5"/>
  <c r="D7" i="5"/>
  <c r="C27" i="5" l="1"/>
  <c r="B10" i="6" l="1"/>
  <c r="B11" i="5"/>
  <c r="B3" i="6"/>
  <c r="B1" i="6"/>
  <c r="B11" i="6" l="1"/>
  <c r="B12" i="5"/>
  <c r="B13" i="5" l="1"/>
  <c r="B12" i="6"/>
  <c r="B13" i="6" l="1"/>
  <c r="B14" i="5"/>
  <c r="B4" i="12"/>
  <c r="B4" i="6"/>
  <c r="B4" i="5"/>
  <c r="B14" i="6" l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30" i="6" s="1"/>
  <c r="D3" i="14" s="1"/>
  <c r="B15" i="5"/>
  <c r="B26" i="6" l="1"/>
  <c r="B31" i="6" s="1"/>
  <c r="F3" i="14" s="1"/>
  <c r="B27" i="6"/>
  <c r="B32" i="6" s="1"/>
  <c r="H3" i="14" s="1"/>
  <c r="B16" i="5"/>
  <c r="B17" i="5" l="1"/>
  <c r="B18" i="5" l="1"/>
  <c r="B19" i="5" l="1"/>
  <c r="B20" i="5" l="1"/>
  <c r="B21" i="5" l="1"/>
  <c r="B22" i="5" l="1"/>
  <c r="B23" i="5" l="1"/>
  <c r="B24" i="5" l="1"/>
  <c r="B25" i="5" l="1"/>
  <c r="B30" i="5" s="1"/>
  <c r="B35" i="5"/>
  <c r="B26" i="5" l="1"/>
  <c r="B31" i="5" s="1"/>
  <c r="B35" i="6"/>
  <c r="B27" i="5" l="1"/>
  <c r="B32" i="5" s="1"/>
  <c r="G16" i="10" l="1"/>
  <c r="G14" i="10"/>
  <c r="G27" i="10"/>
  <c r="G26" i="10"/>
  <c r="G25" i="10"/>
  <c r="G21" i="10"/>
  <c r="G19" i="10"/>
  <c r="G23" i="10"/>
  <c r="G22" i="10"/>
  <c r="G20" i="10"/>
  <c r="G17" i="10"/>
  <c r="G24" i="10"/>
  <c r="G15" i="10"/>
  <c r="G18" i="10"/>
  <c r="G11" i="10" l="1"/>
  <c r="G12" i="10"/>
  <c r="G13" i="10"/>
  <c r="G10" i="10"/>
  <c r="D21" i="5" l="1"/>
  <c r="C21" i="6" l="1"/>
  <c r="D27" i="5"/>
  <c r="D25" i="5"/>
  <c r="D26" i="5"/>
  <c r="C25" i="6" l="1"/>
  <c r="C27" i="6"/>
  <c r="C26" i="6"/>
  <c r="D22" i="5"/>
  <c r="D24" i="5"/>
  <c r="D23" i="5"/>
  <c r="C22" i="6" l="1"/>
  <c r="C24" i="6"/>
  <c r="C23" i="6"/>
  <c r="D20" i="5"/>
  <c r="C20" i="6" l="1"/>
  <c r="D13" i="5" l="1"/>
  <c r="D15" i="5"/>
  <c r="D14" i="5"/>
  <c r="D16" i="5"/>
  <c r="D17" i="5"/>
  <c r="D11" i="5"/>
  <c r="D12" i="5"/>
  <c r="D19" i="5"/>
  <c r="D18" i="5"/>
  <c r="C18" i="6" l="1"/>
  <c r="C14" i="6"/>
  <c r="C15" i="6"/>
  <c r="C19" i="6"/>
  <c r="C17" i="6"/>
  <c r="C16" i="6"/>
  <c r="C13" i="6"/>
  <c r="C12" i="6"/>
  <c r="C11" i="6"/>
  <c r="E20" i="5" l="1"/>
  <c r="D20" i="6" s="1"/>
  <c r="E20" i="6" l="1"/>
  <c r="E13" i="5" l="1"/>
  <c r="D13" i="6" s="1"/>
  <c r="E11" i="5"/>
  <c r="D11" i="6" s="1"/>
  <c r="E12" i="5"/>
  <c r="D12" i="6" s="1"/>
  <c r="E14" i="5"/>
  <c r="D14" i="6" s="1"/>
  <c r="E19" i="5"/>
  <c r="D19" i="6" s="1"/>
  <c r="E18" i="5"/>
  <c r="D18" i="6" s="1"/>
  <c r="E16" i="5"/>
  <c r="D16" i="6" s="1"/>
  <c r="E15" i="5"/>
  <c r="D15" i="6" s="1"/>
  <c r="E17" i="5"/>
  <c r="D17" i="6" s="1"/>
  <c r="E14" i="6" l="1"/>
  <c r="E15" i="6"/>
  <c r="E18" i="6"/>
  <c r="E19" i="6"/>
  <c r="E17" i="6"/>
  <c r="E16" i="6"/>
  <c r="E11" i="6"/>
  <c r="E12" i="6"/>
  <c r="E13" i="6"/>
  <c r="E26" i="5" l="1"/>
  <c r="D26" i="6" s="1"/>
  <c r="E24" i="5"/>
  <c r="D24" i="6" s="1"/>
  <c r="E27" i="5"/>
  <c r="D27" i="6" s="1"/>
  <c r="E22" i="5"/>
  <c r="D22" i="6" s="1"/>
  <c r="E23" i="5"/>
  <c r="D23" i="6" s="1"/>
  <c r="E25" i="5"/>
  <c r="D25" i="6" s="1"/>
  <c r="E23" i="6" l="1"/>
  <c r="E27" i="6" l="1"/>
  <c r="E25" i="6"/>
  <c r="E22" i="6"/>
  <c r="E26" i="6"/>
  <c r="E24" i="6"/>
  <c r="E21" i="5" l="1"/>
  <c r="D21" i="6" s="1"/>
  <c r="E21" i="6" l="1"/>
  <c r="B39" i="5" l="1"/>
  <c r="B36" i="5" l="1"/>
  <c r="B39" i="12"/>
  <c r="C8" i="10"/>
  <c r="F8" i="10" s="1"/>
  <c r="B36" i="6" l="1"/>
  <c r="B36" i="12"/>
  <c r="G11" i="12" l="1"/>
  <c r="G12" i="12" l="1"/>
  <c r="G13" i="12" l="1"/>
  <c r="G14" i="12" l="1"/>
  <c r="G15" i="12" l="1"/>
  <c r="G16" i="12" l="1"/>
  <c r="G17" i="12" l="1"/>
  <c r="G18" i="12" l="1"/>
  <c r="G19" i="12" l="1"/>
  <c r="G20" i="12" l="1"/>
  <c r="B35" i="10" l="1"/>
  <c r="B39" i="10"/>
  <c r="G21" i="12"/>
  <c r="G22" i="12" l="1"/>
  <c r="G23" i="12" l="1"/>
  <c r="G24" i="12" l="1"/>
  <c r="G25" i="12" l="1"/>
  <c r="G26" i="12" l="1"/>
  <c r="G27" i="12" l="1"/>
  <c r="B40" i="5" l="1"/>
  <c r="C32" i="5" l="1"/>
  <c r="H4" i="14" s="1"/>
  <c r="B41" i="6"/>
  <c r="B40" i="10"/>
  <c r="C30" i="5"/>
  <c r="D4" i="14" s="1"/>
  <c r="B29" i="5"/>
  <c r="B29" i="6" s="1"/>
  <c r="C2" i="14" s="1"/>
  <c r="C31" i="5"/>
  <c r="F4" i="14" s="1"/>
  <c r="B40" i="12"/>
  <c r="D31" i="5"/>
  <c r="D31" i="6" s="1"/>
  <c r="D30" i="5"/>
  <c r="D32" i="5"/>
  <c r="E31" i="5"/>
  <c r="E32" i="5"/>
  <c r="E30" i="5"/>
  <c r="D30" i="6" l="1"/>
  <c r="C32" i="6"/>
  <c r="D32" i="6"/>
  <c r="I6" i="14" s="1"/>
  <c r="C31" i="6"/>
  <c r="G5" i="14" s="1"/>
  <c r="C30" i="6"/>
  <c r="E5" i="14" s="1"/>
  <c r="H7" i="14"/>
  <c r="B29" i="12"/>
  <c r="C32" i="12"/>
  <c r="C30" i="12"/>
  <c r="C31" i="12"/>
  <c r="D32" i="12"/>
  <c r="D31" i="12"/>
  <c r="D30" i="12"/>
  <c r="E31" i="12"/>
  <c r="E30" i="12"/>
  <c r="E32" i="12"/>
  <c r="C31" i="10"/>
  <c r="F30" i="10"/>
  <c r="F32" i="10"/>
  <c r="C32" i="10"/>
  <c r="C30" i="10"/>
  <c r="B29" i="10"/>
  <c r="F31" i="10"/>
  <c r="D32" i="10"/>
  <c r="D30" i="10"/>
  <c r="D31" i="10"/>
  <c r="G32" i="10"/>
  <c r="G31" i="10"/>
  <c r="G30" i="10"/>
  <c r="D7" i="14"/>
  <c r="E6" i="14"/>
  <c r="G6" i="14"/>
  <c r="F7" i="14"/>
  <c r="I5" i="14"/>
  <c r="E32" i="6"/>
  <c r="G32" i="6" s="1"/>
  <c r="E31" i="6" l="1"/>
  <c r="G31" i="6" s="1"/>
  <c r="E30" i="6"/>
  <c r="G30" i="6" s="1"/>
  <c r="G30" i="12" l="1"/>
  <c r="G31" i="12"/>
  <c r="G32" i="12"/>
  <c r="D10" i="12" l="1"/>
  <c r="D10" i="5" l="1"/>
  <c r="C10" i="6" s="1"/>
  <c r="E10" i="6" s="1"/>
  <c r="E10" i="12" l="1"/>
  <c r="E10" i="5" s="1"/>
  <c r="D10" i="6" l="1"/>
</calcChain>
</file>

<file path=xl/sharedStrings.xml><?xml version="1.0" encoding="utf-8"?>
<sst xmlns="http://schemas.openxmlformats.org/spreadsheetml/2006/main" count="31" uniqueCount="23">
  <si>
    <t>Year</t>
  </si>
  <si>
    <t>Utah Quarterly Compliance Filing</t>
  </si>
  <si>
    <t>$/kW-Year</t>
  </si>
  <si>
    <t>Appendix C</t>
  </si>
  <si>
    <t>Total</t>
  </si>
  <si>
    <t>GRID Calculated Energy Avoided Cost Prices $/MWH (1)</t>
  </si>
  <si>
    <t>As Filed</t>
  </si>
  <si>
    <t>$/MWH  (1)</t>
  </si>
  <si>
    <t>Capacity Avoided Cost Prices</t>
  </si>
  <si>
    <t>Total Avoided Cost Prices $/MWH (1) (4)</t>
  </si>
  <si>
    <t>OFPC Date</t>
  </si>
  <si>
    <t>Discount Rate - 2015 IRP Page 141</t>
  </si>
  <si>
    <t>Impact</t>
  </si>
  <si>
    <t>(1)   Studies are sequential.  The order of the studies would affect the price impact.</t>
  </si>
  <si>
    <t>Avoided Cost Impact of Changing Assumptions $/MWH (1)</t>
  </si>
  <si>
    <t>Chck</t>
  </si>
  <si>
    <t>(2)</t>
  </si>
  <si>
    <t>(3)   No Capacity costs - No deferrable thermal resources</t>
  </si>
  <si>
    <t>Capacity Factor</t>
  </si>
  <si>
    <t>2019.Q4</t>
  </si>
  <si>
    <t>2019.Q4 As Filed</t>
  </si>
  <si>
    <t>2020.Q1</t>
  </si>
  <si>
    <t>2020.Q1 As Filed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</si>
</sst>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_);[Red]_(* \(#,##0\);_(* &quot;-&quot;_);_(@_)"/>
    <numFmt numFmtId="166" formatCode="_(&quot;$&quot;\ #,##0.00_);[Red]_(&quot;$&quot;\ \(#,##0.00\);_(\ &quot;-&quot;?_);_(@_)"/>
    <numFmt numFmtId="167" formatCode="0.000%"/>
    <numFmt numFmtId="168" formatCode="_(* #,##0.000_);[Red]_(* \(#,##0.000\);_(* &quot;-&quot;_);_(@_)"/>
    <numFmt numFmtId="169" formatCode="&quot;$&quot;###0;[Red]\(&quot;$&quot;###0\)"/>
    <numFmt numFmtId="170" formatCode="0.0"/>
    <numFmt numFmtId="171" formatCode="0.0%"/>
    <numFmt numFmtId="172" formatCode="\'\ \(\2\)\'"/>
    <numFmt numFmtId="173" formatCode="_(&quot;$&quot;\ #,##0.000_);[Red]_(&quot;$&quot;\ \(#,##0.000\);_(\ &quot;-&quot;?_);_(@_)"/>
    <numFmt numFmtId="174" formatCode="#,##0.0000_);[Red]\(#,##0.0000\)"/>
    <numFmt numFmtId="175" formatCode="#,##0.000_);[Red]\(#,##0.000\)"/>
    <numFmt numFmtId="176" formatCode="_(* #,##0.0_);[Red]_(* \(#,##0.0\);_(* &quot;-&quot;_);_(@_)"/>
    <numFmt numFmtId="177" formatCode="_(* #,##0.00_);[Red]_(* \(#,##0.00\);_(* &quot;-&quot;_);_(@_)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8"/>
      <color indexed="18"/>
      <name val="Helv"/>
    </font>
    <font>
      <sz val="10"/>
      <color indexed="12"/>
      <name val="Arial"/>
      <family val="2"/>
    </font>
    <font>
      <sz val="10"/>
      <name val="Times New Roman"/>
      <family val="1"/>
    </font>
    <font>
      <sz val="8"/>
      <name val="Helv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165" fontId="0" fillId="0" borderId="0"/>
    <xf numFmtId="0" fontId="5" fillId="0" borderId="0" applyNumberFormat="0" applyFill="0" applyBorder="0" applyAlignment="0">
      <protection locked="0"/>
    </xf>
    <xf numFmtId="0" fontId="1" fillId="0" borderId="0"/>
    <xf numFmtId="9" fontId="1" fillId="0" borderId="0" applyFont="0" applyFill="0" applyBorder="0" applyAlignment="0" applyProtection="0"/>
    <xf numFmtId="165" fontId="1" fillId="0" borderId="0"/>
    <xf numFmtId="165" fontId="7" fillId="0" borderId="0"/>
    <xf numFmtId="165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8" fillId="0" borderId="0" applyFont="0" applyFill="0" applyBorder="0" applyProtection="0">
      <alignment horizontal="right"/>
    </xf>
    <xf numFmtId="170" fontId="9" fillId="0" borderId="0" applyNumberFormat="0" applyFill="0" applyBorder="0" applyAlignment="0" applyProtection="0"/>
    <xf numFmtId="0" fontId="2" fillId="0" borderId="6" applyNumberFormat="0" applyBorder="0" applyAlignment="0"/>
    <xf numFmtId="171" fontId="1" fillId="0" borderId="0"/>
    <xf numFmtId="12" fontId="3" fillId="3" borderId="7">
      <alignment horizontal="left"/>
    </xf>
    <xf numFmtId="37" fontId="2" fillId="4" borderId="0" applyNumberFormat="0" applyBorder="0" applyAlignment="0" applyProtection="0"/>
    <xf numFmtId="37" fontId="2" fillId="0" borderId="0"/>
    <xf numFmtId="3" fontId="10" fillId="5" borderId="8" applyProtection="0"/>
    <xf numFmtId="43" fontId="11" fillId="0" borderId="0" applyFont="0" applyFill="0" applyBorder="0" applyAlignment="0" applyProtection="0"/>
    <xf numFmtId="41" fontId="7" fillId="0" borderId="0"/>
  </cellStyleXfs>
  <cellXfs count="103">
    <xf numFmtId="165" fontId="0" fillId="0" borderId="0" xfId="0"/>
    <xf numFmtId="165" fontId="4" fillId="0" borderId="0" xfId="0" applyFont="1"/>
    <xf numFmtId="165" fontId="3" fillId="0" borderId="1" xfId="0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65" fontId="4" fillId="0" borderId="0" xfId="0" applyFont="1" applyFill="1"/>
    <xf numFmtId="1" fontId="1" fillId="0" borderId="0" xfId="2" applyNumberFormat="1" applyFill="1" applyAlignment="1" applyProtection="1">
      <alignment horizontal="center"/>
      <protection locked="0"/>
    </xf>
    <xf numFmtId="165" fontId="3" fillId="0" borderId="0" xfId="0" applyFont="1" applyAlignment="1">
      <alignment horizontal="centerContinuous"/>
    </xf>
    <xf numFmtId="165" fontId="3" fillId="0" borderId="4" xfId="0" applyFont="1" applyBorder="1" applyAlignment="1">
      <alignment horizontal="center"/>
    </xf>
    <xf numFmtId="165" fontId="4" fillId="0" borderId="0" xfId="0" quotePrefix="1" applyFont="1"/>
    <xf numFmtId="165" fontId="4" fillId="0" borderId="0" xfId="0" applyFont="1" applyAlignment="1">
      <alignment horizontal="center"/>
    </xf>
    <xf numFmtId="164" fontId="4" fillId="0" borderId="0" xfId="0" applyNumberFormat="1" applyFont="1"/>
    <xf numFmtId="165" fontId="3" fillId="0" borderId="5" xfId="0" applyFont="1" applyFill="1" applyBorder="1" applyAlignment="1">
      <alignment horizontal="center"/>
    </xf>
    <xf numFmtId="165" fontId="3" fillId="0" borderId="1" xfId="0" applyFont="1" applyFill="1" applyBorder="1" applyAlignment="1">
      <alignment horizontal="center"/>
    </xf>
    <xf numFmtId="165" fontId="4" fillId="0" borderId="0" xfId="0" applyFont="1" applyFill="1" applyAlignment="1"/>
    <xf numFmtId="165" fontId="3" fillId="0" borderId="3" xfId="0" applyFont="1" applyFill="1" applyBorder="1"/>
    <xf numFmtId="165" fontId="3" fillId="0" borderId="4" xfId="0" applyFont="1" applyFill="1" applyBorder="1" applyAlignment="1">
      <alignment horizontal="center"/>
    </xf>
    <xf numFmtId="165" fontId="3" fillId="0" borderId="0" xfId="0" applyFont="1" applyFill="1" applyBorder="1" applyAlignment="1">
      <alignment horizontal="centerContinuous"/>
    </xf>
    <xf numFmtId="165" fontId="3" fillId="0" borderId="0" xfId="0" applyFont="1" applyFill="1" applyBorder="1" applyAlignment="1">
      <alignment horizontal="center"/>
    </xf>
    <xf numFmtId="165" fontId="4" fillId="0" borderId="0" xfId="0" applyFont="1" applyFill="1" applyBorder="1"/>
    <xf numFmtId="168" fontId="4" fillId="0" borderId="0" xfId="0" applyNumberFormat="1" applyFont="1"/>
    <xf numFmtId="167" fontId="4" fillId="0" borderId="0" xfId="0" applyNumberFormat="1" applyFont="1"/>
    <xf numFmtId="165" fontId="4" fillId="0" borderId="0" xfId="0" applyFont="1" applyAlignment="1"/>
    <xf numFmtId="14" fontId="6" fillId="2" borderId="2" xfId="0" applyNumberFormat="1" applyFont="1" applyFill="1" applyBorder="1" applyAlignment="1">
      <alignment horizontal="center"/>
    </xf>
    <xf numFmtId="165" fontId="3" fillId="0" borderId="0" xfId="4" applyFont="1" applyAlignment="1">
      <alignment horizontal="centerContinuous"/>
    </xf>
    <xf numFmtId="165" fontId="4" fillId="0" borderId="0" xfId="4" applyFont="1" applyAlignment="1">
      <alignment horizontal="centerContinuous"/>
    </xf>
    <xf numFmtId="165" fontId="4" fillId="0" borderId="0" xfId="4" applyFont="1"/>
    <xf numFmtId="165" fontId="3" fillId="0" borderId="3" xfId="4" applyFont="1" applyBorder="1"/>
    <xf numFmtId="165" fontId="3" fillId="0" borderId="3" xfId="4" applyFont="1" applyBorder="1" applyAlignment="1">
      <alignment horizontal="centerContinuous"/>
    </xf>
    <xf numFmtId="165" fontId="3" fillId="0" borderId="4" xfId="4" applyFont="1" applyBorder="1" applyAlignment="1">
      <alignment horizontal="center"/>
    </xf>
    <xf numFmtId="165" fontId="3" fillId="0" borderId="2" xfId="4" applyFont="1" applyBorder="1" applyAlignment="1">
      <alignment horizontal="center"/>
    </xf>
    <xf numFmtId="0" fontId="3" fillId="0" borderId="0" xfId="4" applyNumberFormat="1" applyFont="1" applyAlignment="1">
      <alignment horizontal="center"/>
    </xf>
    <xf numFmtId="166" fontId="4" fillId="0" borderId="0" xfId="4" applyNumberFormat="1" applyFont="1" applyFill="1" applyBorder="1" applyAlignment="1">
      <alignment horizontal="center"/>
    </xf>
    <xf numFmtId="7" fontId="4" fillId="0" borderId="0" xfId="4" applyNumberFormat="1" applyFont="1" applyFill="1" applyBorder="1" applyAlignment="1">
      <alignment horizontal="center"/>
    </xf>
    <xf numFmtId="165" fontId="4" fillId="0" borderId="0" xfId="4" applyFont="1" applyFill="1"/>
    <xf numFmtId="165" fontId="4" fillId="0" borderId="0" xfId="4" quotePrefix="1" applyFont="1"/>
    <xf numFmtId="7" fontId="4" fillId="0" borderId="2" xfId="4" applyNumberFormat="1" applyFont="1" applyFill="1" applyBorder="1" applyAlignment="1">
      <alignment horizontal="center"/>
    </xf>
    <xf numFmtId="167" fontId="4" fillId="0" borderId="0" xfId="4" applyNumberFormat="1" applyFont="1" applyAlignment="1">
      <alignment horizontal="center"/>
    </xf>
    <xf numFmtId="167" fontId="4" fillId="0" borderId="0" xfId="3" applyNumberFormat="1" applyFont="1"/>
    <xf numFmtId="167" fontId="4" fillId="0" borderId="0" xfId="4" applyNumberFormat="1" applyFont="1"/>
    <xf numFmtId="8" fontId="4" fillId="0" borderId="0" xfId="4" applyNumberFormat="1" applyFont="1"/>
    <xf numFmtId="165" fontId="3" fillId="0" borderId="1" xfId="4" applyFont="1" applyBorder="1" applyAlignment="1">
      <alignment horizontal="center"/>
    </xf>
    <xf numFmtId="165" fontId="3" fillId="0" borderId="5" xfId="4" applyFont="1" applyBorder="1" applyAlignment="1">
      <alignment horizontal="center"/>
    </xf>
    <xf numFmtId="165" fontId="3" fillId="0" borderId="5" xfId="4" applyFont="1" applyBorder="1" applyAlignment="1">
      <alignment horizontal="centerContinuous"/>
    </xf>
    <xf numFmtId="165" fontId="3" fillId="0" borderId="3" xfId="0" applyFont="1" applyBorder="1"/>
    <xf numFmtId="165" fontId="3" fillId="0" borderId="5" xfId="0" applyFont="1" applyBorder="1" applyAlignment="1">
      <alignment horizontal="center"/>
    </xf>
    <xf numFmtId="8" fontId="4" fillId="0" borderId="0" xfId="17" applyNumberFormat="1" applyFont="1"/>
    <xf numFmtId="165" fontId="3" fillId="0" borderId="5" xfId="4" quotePrefix="1" applyFont="1" applyBorder="1" applyAlignment="1">
      <alignment horizontal="center"/>
    </xf>
    <xf numFmtId="165" fontId="3" fillId="0" borderId="0" xfId="4" quotePrefix="1" applyFont="1" applyAlignment="1">
      <alignment horizontal="centerContinuous"/>
    </xf>
    <xf numFmtId="166" fontId="4" fillId="0" borderId="0" xfId="0" applyNumberFormat="1" applyFont="1"/>
    <xf numFmtId="165" fontId="3" fillId="0" borderId="2" xfId="4" applyFont="1" applyBorder="1" applyAlignment="1">
      <alignment horizontal="center" wrapText="1"/>
    </xf>
    <xf numFmtId="166" fontId="4" fillId="0" borderId="0" xfId="0" quotePrefix="1" applyNumberFormat="1" applyFont="1" applyAlignment="1">
      <alignment horizontal="center"/>
    </xf>
    <xf numFmtId="43" fontId="4" fillId="0" borderId="0" xfId="17" applyFont="1"/>
    <xf numFmtId="165" fontId="4" fillId="0" borderId="0" xfId="4" applyFont="1" applyAlignment="1"/>
    <xf numFmtId="165" fontId="0" fillId="0" borderId="0" xfId="0" applyAlignment="1"/>
    <xf numFmtId="172" fontId="3" fillId="0" borderId="1" xfId="0" applyNumberFormat="1" applyFont="1" applyFill="1" applyBorder="1" applyAlignment="1">
      <alignment horizontal="center"/>
    </xf>
    <xf numFmtId="165" fontId="3" fillId="0" borderId="0" xfId="0" applyFont="1" applyBorder="1" applyAlignment="1">
      <alignment horizontal="center"/>
    </xf>
    <xf numFmtId="165" fontId="4" fillId="0" borderId="0" xfId="0" applyFont="1" applyBorder="1"/>
    <xf numFmtId="8" fontId="4" fillId="0" borderId="0" xfId="0" applyNumberFormat="1" applyFont="1" applyBorder="1"/>
    <xf numFmtId="173" fontId="4" fillId="0" borderId="0" xfId="0" applyNumberFormat="1" applyFont="1"/>
    <xf numFmtId="166" fontId="4" fillId="0" borderId="0" xfId="0" applyNumberFormat="1" applyFont="1" applyAlignment="1">
      <alignment horizontal="center"/>
    </xf>
    <xf numFmtId="166" fontId="4" fillId="0" borderId="2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8" fontId="4" fillId="0" borderId="2" xfId="4" applyNumberFormat="1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8" fontId="4" fillId="0" borderId="0" xfId="0" applyNumberFormat="1" applyFont="1"/>
    <xf numFmtId="8" fontId="4" fillId="0" borderId="2" xfId="0" applyNumberFormat="1" applyFont="1" applyFill="1" applyBorder="1" applyAlignment="1">
      <alignment horizontal="center"/>
    </xf>
    <xf numFmtId="174" fontId="4" fillId="0" borderId="0" xfId="0" applyNumberFormat="1" applyFont="1"/>
    <xf numFmtId="165" fontId="3" fillId="0" borderId="1" xfId="0" quotePrefix="1" applyFont="1" applyBorder="1" applyAlignment="1">
      <alignment horizontal="center"/>
    </xf>
    <xf numFmtId="175" fontId="4" fillId="0" borderId="0" xfId="0" applyNumberFormat="1" applyFont="1"/>
    <xf numFmtId="172" fontId="3" fillId="0" borderId="1" xfId="0" quotePrefix="1" applyNumberFormat="1" applyFont="1" applyFill="1" applyBorder="1" applyAlignment="1">
      <alignment horizontal="center"/>
    </xf>
    <xf numFmtId="165" fontId="4" fillId="0" borderId="9" xfId="4" applyFont="1" applyBorder="1"/>
    <xf numFmtId="0" fontId="3" fillId="0" borderId="9" xfId="4" applyNumberFormat="1" applyFont="1" applyBorder="1" applyAlignment="1">
      <alignment horizontal="center"/>
    </xf>
    <xf numFmtId="0" fontId="3" fillId="0" borderId="4" xfId="4" applyNumberFormat="1" applyFont="1" applyBorder="1" applyAlignment="1">
      <alignment horizontal="center"/>
    </xf>
    <xf numFmtId="165" fontId="12" fillId="6" borderId="0" xfId="4" applyFont="1" applyFill="1"/>
    <xf numFmtId="165" fontId="1" fillId="6" borderId="0" xfId="4" applyFill="1"/>
    <xf numFmtId="165" fontId="1" fillId="0" borderId="0" xfId="4"/>
    <xf numFmtId="165" fontId="12" fillId="6" borderId="0" xfId="4" applyFont="1" applyFill="1" applyAlignment="1"/>
    <xf numFmtId="165" fontId="12" fillId="6" borderId="0" xfId="4" applyFont="1" applyFill="1" applyAlignment="1">
      <alignment horizontal="left" vertical="top"/>
    </xf>
    <xf numFmtId="165" fontId="12" fillId="6" borderId="0" xfId="4" applyFont="1" applyFill="1" applyAlignment="1">
      <alignment horizontal="center"/>
    </xf>
    <xf numFmtId="165" fontId="1" fillId="6" borderId="0" xfId="4" applyFill="1" applyAlignment="1">
      <alignment vertical="center"/>
    </xf>
    <xf numFmtId="7" fontId="0" fillId="6" borderId="0" xfId="7" applyNumberFormat="1" applyFont="1" applyFill="1"/>
    <xf numFmtId="165" fontId="1" fillId="6" borderId="0" xfId="4" applyFill="1" applyAlignment="1">
      <alignment horizontal="right"/>
    </xf>
    <xf numFmtId="7" fontId="1" fillId="6" borderId="0" xfId="4" applyNumberFormat="1" applyFill="1"/>
    <xf numFmtId="165" fontId="1" fillId="0" borderId="0" xfId="4" applyFill="1"/>
    <xf numFmtId="165" fontId="12" fillId="6" borderId="0" xfId="0" applyFont="1" applyFill="1"/>
    <xf numFmtId="165" fontId="0" fillId="6" borderId="0" xfId="0" applyFill="1"/>
    <xf numFmtId="165" fontId="0" fillId="0" borderId="0" xfId="0" applyFill="1"/>
    <xf numFmtId="165" fontId="0" fillId="0" borderId="0" xfId="0" applyFill="1" applyAlignment="1">
      <alignment horizontal="right"/>
    </xf>
    <xf numFmtId="8" fontId="0" fillId="0" borderId="0" xfId="7" applyNumberFormat="1" applyFont="1" applyFill="1"/>
    <xf numFmtId="8" fontId="7" fillId="0" borderId="0" xfId="18" applyNumberFormat="1" applyFont="1" applyFill="1" applyBorder="1" applyAlignment="1">
      <alignment horizontal="center"/>
    </xf>
    <xf numFmtId="176" fontId="0" fillId="0" borderId="0" xfId="0" applyNumberFormat="1" applyFill="1"/>
    <xf numFmtId="165" fontId="4" fillId="0" borderId="10" xfId="4" applyFont="1" applyBorder="1"/>
    <xf numFmtId="8" fontId="4" fillId="0" borderId="10" xfId="4" applyNumberFormat="1" applyFont="1" applyFill="1" applyBorder="1" applyAlignment="1">
      <alignment horizontal="center"/>
    </xf>
    <xf numFmtId="165" fontId="3" fillId="0" borderId="1" xfId="4" quotePrefix="1" applyFont="1" applyBorder="1" applyAlignment="1">
      <alignment horizontal="center"/>
    </xf>
    <xf numFmtId="9" fontId="4" fillId="0" borderId="0" xfId="3" applyFont="1"/>
    <xf numFmtId="177" fontId="1" fillId="0" borderId="0" xfId="4" applyNumberFormat="1" applyFill="1"/>
    <xf numFmtId="177" fontId="4" fillId="0" borderId="0" xfId="0" applyNumberFormat="1" applyFont="1" applyBorder="1"/>
    <xf numFmtId="177" fontId="4" fillId="0" borderId="0" xfId="0" applyNumberFormat="1" applyFont="1" applyBorder="1" applyAlignment="1">
      <alignment horizontal="center"/>
    </xf>
    <xf numFmtId="8" fontId="4" fillId="0" borderId="0" xfId="4" applyNumberFormat="1" applyFont="1" applyFill="1" applyBorder="1" applyAlignment="1">
      <alignment horizontal="center"/>
    </xf>
    <xf numFmtId="8" fontId="4" fillId="0" borderId="11" xfId="4" applyNumberFormat="1" applyFont="1" applyFill="1" applyBorder="1" applyAlignment="1">
      <alignment horizontal="center"/>
    </xf>
    <xf numFmtId="8" fontId="4" fillId="0" borderId="12" xfId="4" applyNumberFormat="1" applyFont="1" applyFill="1" applyBorder="1" applyAlignment="1">
      <alignment horizontal="center"/>
    </xf>
    <xf numFmtId="8" fontId="4" fillId="0" borderId="13" xfId="4" applyNumberFormat="1" applyFont="1" applyFill="1" applyBorder="1" applyAlignment="1">
      <alignment horizontal="center"/>
    </xf>
    <xf numFmtId="165" fontId="12" fillId="6" borderId="0" xfId="4" applyFont="1" applyFill="1" applyAlignment="1">
      <alignment horizontal="left" vertical="top"/>
    </xf>
  </cellXfs>
  <cellStyles count="19">
    <cellStyle name="Comma" xfId="17" builtinId="3"/>
    <cellStyle name="Comma 2" xfId="7"/>
    <cellStyle name="Currency 2" xfId="8"/>
    <cellStyle name="Currency No Comma" xfId="9"/>
    <cellStyle name="Input" xfId="1" builtinId="20" customBuiltin="1"/>
    <cellStyle name="MCP" xfId="10"/>
    <cellStyle name="noninput" xfId="11"/>
    <cellStyle name="Normal" xfId="0" builtinId="0" customBuiltin="1"/>
    <cellStyle name="Normal 2" xfId="4"/>
    <cellStyle name="Normal 2 2" xfId="6"/>
    <cellStyle name="Normal 3" xfId="12"/>
    <cellStyle name="Normal 5" xfId="5"/>
    <cellStyle name="Normal_T-INF-10-15-04-TEMPLATE" xfId="2"/>
    <cellStyle name="Normal_UT 2008.Q2 - Compliance - Appendix B - AC Study_2008 08 05" xfId="18"/>
    <cellStyle name="Password" xfId="13"/>
    <cellStyle name="Percent" xfId="3" builtinId="5"/>
    <cellStyle name="Unprot" xfId="14"/>
    <cellStyle name="Unprot$" xfId="15"/>
    <cellStyle name="Unprotect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0\029%20-%20UT2020Q1%20-%20UT%20-%202020%20Jun\Step%20Study\_UT%202020.Q1%20-%20Step%20Study%20_2020%2006%2019%20(Detailed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0\002%20-%20Utah%202019Q4%20-%20UT%20-%202020%20Jan\Ssch%2038%20filing\4_Appendix%20B.1%20-%20UT%202019.Q4%20-%20AC%20Study%20NON-CONF%20Therma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0\029%20-%20UT2020Q1%20-%20UT%20-%202020%20Jun\Scenarios\029%20-%20UTSch38%202020Q1%20-%201%20---%20Avoided%20Cost%20Study%20_2020%2006%2016%20T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0\Source%20files\_All%20Data%20Series%20Files_2020%2004%2010%20(202003%20OFPC)\GNw_Market%20Price%20Index%20(2003)%20CON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0\002%20-%20Utah%202019Q4%20-%20UT%20-%202020%20Jan\Scenarios\012.6%20-%20UT%20Sch%2038%20-%201a%20-%20GRID%20AC%20Study%20CONF%20_2020%2003%2026%20Th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0\029%20-%20UT2020Q1%20-%20UT%20-%202020%20Jun\Step%20Study\Scenarios\012.6%20-%20UT%20Sch%2038%20-%201a%20-%20GRID%20AC%20Study%20CONF%20_2020%2003%2026%20Th%20OFPC200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0\029%20-%20UT2020Q1%20-%20UT%20-%202020%20Jun\Scenarios\029%20-%20UTSch38%202020Q1%20-%201a%20-%20GRID%20AC%20Study%20CONF%20_2020%2006%2016%20Th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0\002%20-%20Utah%202019Q4%20-%20UT%20-%202020%20Jan\Scenarios\012.6%20-%20UT%20Sch%2038%20-%201b%20-%20GRID%20AC%20Study%20CONF%20_2020%2003%2026%20Th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0\029%20-%20UT2020Q1%20-%20UT%20-%202020%20Jun\Step%20Study\Scenarios\012.6%20-%20UT%20Sch%2038%20-%201b%20-%20GRID%20AC%20Study%20CONF%20_2020%2003%2026%20Th%20OFPC200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20\029%20-%20UT2020Q1%20-%20UT%20-%202020%20Jun\Scenarios\029%20-%20UTSch38%202020Q1%20-%201b%20-%20GRID%20AC%20Study%20CONF%20_2020%2006%2016%20Th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9\064%20-%20IRP19%20Update%20-%20ST%20-%202019%20Oct\Sch%2038%20filing\4_Appendix%20B.1%20-%20UT%202019.Q3%20-%20AC%20Study%20NON-CONF%20Thermal%20T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remental"/>
      <sheetName val="Total"/>
      <sheetName val="Energy"/>
      <sheetName val="Capacity"/>
    </sheetNames>
    <sheetDataSet>
      <sheetData sheetId="0">
        <row r="7">
          <cell r="I7" t="str">
            <v>OFPC</v>
          </cell>
          <cell r="J7" t="str">
            <v>Queue</v>
          </cell>
        </row>
        <row r="10">
          <cell r="N10" t="e">
            <v>#REF!</v>
          </cell>
          <cell r="P10" t="e">
            <v>#REF!</v>
          </cell>
        </row>
        <row r="39">
          <cell r="B39" t="str">
            <v>Discount Rate - 2019 IRP</v>
          </cell>
        </row>
        <row r="40">
          <cell r="B40">
            <v>6.9199999999999998E-2</v>
          </cell>
        </row>
      </sheetData>
      <sheetData sheetId="1">
        <row r="1">
          <cell r="B1" t="str">
            <v>Appendix C</v>
          </cell>
        </row>
        <row r="3">
          <cell r="B3" t="str">
            <v>Utah Quarterly Compliance Filing</v>
          </cell>
        </row>
        <row r="10">
          <cell r="B10">
            <v>2019</v>
          </cell>
        </row>
        <row r="35">
          <cell r="B35" t="str">
            <v>(3)   Discount Rate - 2019 IRP</v>
          </cell>
        </row>
      </sheetData>
      <sheetData sheetId="2">
        <row r="7">
          <cell r="C7" t="str">
            <v>2019.Q4</v>
          </cell>
        </row>
        <row r="11">
          <cell r="E11">
            <v>14.223000000000001</v>
          </cell>
        </row>
        <row r="12">
          <cell r="E12">
            <v>16.687999999999999</v>
          </cell>
        </row>
        <row r="13">
          <cell r="E13">
            <v>17.719000000000001</v>
          </cell>
        </row>
        <row r="14">
          <cell r="E14">
            <v>16.864000000000001</v>
          </cell>
        </row>
        <row r="15">
          <cell r="E15">
            <v>12.077999999999999</v>
          </cell>
        </row>
        <row r="16">
          <cell r="E16">
            <v>12.709</v>
          </cell>
        </row>
        <row r="17">
          <cell r="E17">
            <v>16.733000000000001</v>
          </cell>
        </row>
        <row r="18">
          <cell r="E18">
            <v>18.457000000000001</v>
          </cell>
        </row>
        <row r="19">
          <cell r="E19">
            <v>21.852</v>
          </cell>
        </row>
        <row r="20">
          <cell r="E20">
            <v>22.824999999999999</v>
          </cell>
        </row>
        <row r="21">
          <cell r="E21">
            <v>21.773</v>
          </cell>
        </row>
        <row r="22">
          <cell r="E22">
            <v>24.132999999999999</v>
          </cell>
        </row>
        <row r="23">
          <cell r="E23">
            <v>28.58</v>
          </cell>
        </row>
        <row r="24">
          <cell r="E24">
            <v>30.244</v>
          </cell>
        </row>
        <row r="25">
          <cell r="E25">
            <v>31.486999999999998</v>
          </cell>
        </row>
        <row r="26">
          <cell r="E26">
            <v>33.253</v>
          </cell>
        </row>
        <row r="27">
          <cell r="E27">
            <v>35.363</v>
          </cell>
        </row>
        <row r="30">
          <cell r="E30">
            <v>19.007999999999999</v>
          </cell>
        </row>
        <row r="31">
          <cell r="E31">
            <v>20.100999999999999</v>
          </cell>
        </row>
        <row r="32">
          <cell r="E32">
            <v>21.085000000000001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3 TransCost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5"/>
      <sheetName val="Table 3 UT CP Wind_2023"/>
      <sheetName val="Table 3 WYAE Wind_2024"/>
      <sheetName val="Table 3 185 MW (NTN) 2026)"/>
      <sheetName val="Table 3 YK Wind wS_2029"/>
      <sheetName val="Table 3 ID Wind_2030"/>
      <sheetName val="Table 3 ID Wind wS_2032"/>
    </sheetNames>
    <sheetDataSet>
      <sheetData sheetId="0"/>
      <sheetData sheetId="1">
        <row r="13">
          <cell r="B13">
            <v>2020</v>
          </cell>
          <cell r="C13">
            <v>0</v>
          </cell>
        </row>
        <row r="14">
          <cell r="B14">
            <v>2021</v>
          </cell>
          <cell r="C14">
            <v>0</v>
          </cell>
        </row>
        <row r="15">
          <cell r="B15">
            <v>2022</v>
          </cell>
          <cell r="C15">
            <v>0</v>
          </cell>
        </row>
        <row r="16">
          <cell r="B16">
            <v>2023</v>
          </cell>
          <cell r="C16">
            <v>0</v>
          </cell>
        </row>
        <row r="17">
          <cell r="B17">
            <v>2024</v>
          </cell>
          <cell r="C17">
            <v>0</v>
          </cell>
        </row>
        <row r="18">
          <cell r="B18">
            <v>2025</v>
          </cell>
          <cell r="C18">
            <v>0</v>
          </cell>
        </row>
        <row r="19">
          <cell r="B19">
            <v>2026</v>
          </cell>
          <cell r="C19">
            <v>115.62647139435012</v>
          </cell>
        </row>
        <row r="20">
          <cell r="B20">
            <v>2027</v>
          </cell>
          <cell r="C20">
            <v>118.28437831789266</v>
          </cell>
        </row>
        <row r="21">
          <cell r="B21">
            <v>2028</v>
          </cell>
          <cell r="C21">
            <v>121.01790585379931</v>
          </cell>
        </row>
        <row r="22">
          <cell r="B22">
            <v>2029</v>
          </cell>
          <cell r="C22">
            <v>123.8030093809495</v>
          </cell>
        </row>
        <row r="23">
          <cell r="B23">
            <v>2030</v>
          </cell>
          <cell r="C23">
            <v>126.53653691685614</v>
          </cell>
        </row>
        <row r="24">
          <cell r="B24">
            <v>2031</v>
          </cell>
          <cell r="C24">
            <v>129.32164044400631</v>
          </cell>
        </row>
        <row r="25">
          <cell r="B25">
            <v>2032</v>
          </cell>
          <cell r="C25">
            <v>132.18926555714609</v>
          </cell>
        </row>
        <row r="26">
          <cell r="B26">
            <v>2033</v>
          </cell>
          <cell r="C26">
            <v>134.94342348955016</v>
          </cell>
        </row>
        <row r="27">
          <cell r="B27">
            <v>2034</v>
          </cell>
          <cell r="C27">
            <v>137.79041820619256</v>
          </cell>
        </row>
        <row r="28">
          <cell r="B28">
            <v>2035</v>
          </cell>
          <cell r="C28">
            <v>140.66835851758108</v>
          </cell>
        </row>
        <row r="29">
          <cell r="B29">
            <v>2036</v>
          </cell>
          <cell r="C29">
            <v>143.63913561320794</v>
          </cell>
        </row>
        <row r="30">
          <cell r="B30">
            <v>2037</v>
          </cell>
          <cell r="C30">
            <v>146.6408583035809</v>
          </cell>
        </row>
        <row r="31">
          <cell r="B31">
            <v>2038</v>
          </cell>
          <cell r="C31">
            <v>149.7251025799435</v>
          </cell>
        </row>
        <row r="32">
          <cell r="B32">
            <v>2039</v>
          </cell>
          <cell r="C32">
            <v>152.85060764930091</v>
          </cell>
        </row>
        <row r="33">
          <cell r="B33">
            <v>2040</v>
          </cell>
          <cell r="C33">
            <v>0</v>
          </cell>
        </row>
        <row r="34">
          <cell r="B34">
            <v>2041</v>
          </cell>
          <cell r="C34">
            <v>0</v>
          </cell>
        </row>
        <row r="35">
          <cell r="B35">
            <v>0</v>
          </cell>
          <cell r="C3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M6">
            <v>100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3ACsummary"/>
      <sheetName val="Table 5"/>
      <sheetName val="Table 3 UT CP Wind_2023"/>
      <sheetName val="Table 3 WYAE Wind_2024"/>
      <sheetName val="Table 3 ID Wind_2030"/>
      <sheetName val="Table 3 PV wS UTS_2024"/>
      <sheetName val="Table 3 PV wS UTS_2030"/>
      <sheetName val="Table 3 PV wS JB_2024"/>
      <sheetName val="Table 3 PV wS JB_2029"/>
      <sheetName val="Table 3 PV wS SO_2024"/>
      <sheetName val="Table 3 PV wS YK_2024"/>
      <sheetName val="Table 3 PV wS UTN_2024"/>
      <sheetName val="Table 3 185 MW (NTN) 2026)"/>
      <sheetName val="Table 3 YK Wind wS_2029"/>
      <sheetName val="Table 3 ID Wind wS_2032"/>
      <sheetName val="Table 3 TransCost"/>
    </sheetNames>
    <sheetDataSet>
      <sheetData sheetId="0"/>
      <sheetData sheetId="1">
        <row r="13">
          <cell r="B13">
            <v>2020</v>
          </cell>
          <cell r="C13">
            <v>0</v>
          </cell>
          <cell r="E13">
            <v>14.22268619575631</v>
          </cell>
          <cell r="G13">
            <v>14.22268619575631</v>
          </cell>
        </row>
        <row r="14">
          <cell r="B14">
            <v>2021</v>
          </cell>
          <cell r="C14">
            <v>0</v>
          </cell>
          <cell r="E14">
            <v>16.687778139102676</v>
          </cell>
          <cell r="G14">
            <v>16.687778139102676</v>
          </cell>
        </row>
        <row r="15">
          <cell r="B15">
            <v>2022</v>
          </cell>
          <cell r="C15">
            <v>0</v>
          </cell>
          <cell r="E15">
            <v>17.718585299433826</v>
          </cell>
          <cell r="G15">
            <v>17.718585299433826</v>
          </cell>
        </row>
        <row r="16">
          <cell r="B16">
            <v>2023</v>
          </cell>
          <cell r="C16">
            <v>0</v>
          </cell>
          <cell r="E16">
            <v>16.863877496331657</v>
          </cell>
          <cell r="G16">
            <v>16.863877496331657</v>
          </cell>
        </row>
        <row r="17">
          <cell r="B17">
            <v>2024</v>
          </cell>
          <cell r="C17">
            <v>0</v>
          </cell>
          <cell r="E17">
            <v>12.078116441420407</v>
          </cell>
          <cell r="G17">
            <v>12.078116441420407</v>
          </cell>
        </row>
        <row r="18">
          <cell r="B18">
            <v>2025</v>
          </cell>
          <cell r="C18">
            <v>0</v>
          </cell>
          <cell r="E18">
            <v>12.708516875745856</v>
          </cell>
          <cell r="G18">
            <v>12.708516875745856</v>
          </cell>
        </row>
        <row r="19">
          <cell r="B19">
            <v>2026</v>
          </cell>
          <cell r="C19">
            <v>115.62647139435012</v>
          </cell>
          <cell r="E19">
            <v>16.733337223857813</v>
          </cell>
          <cell r="G19">
            <v>29.932706104491388</v>
          </cell>
        </row>
        <row r="20">
          <cell r="B20">
            <v>2027</v>
          </cell>
          <cell r="C20">
            <v>118.28437831789266</v>
          </cell>
          <cell r="E20">
            <v>18.45717001214603</v>
          </cell>
          <cell r="G20">
            <v>31.959952925147469</v>
          </cell>
        </row>
        <row r="21">
          <cell r="B21">
            <v>2028</v>
          </cell>
          <cell r="C21">
            <v>121.01790585379931</v>
          </cell>
          <cell r="E21">
            <v>21.852212921216346</v>
          </cell>
          <cell r="G21">
            <v>35.6292969209658</v>
          </cell>
        </row>
        <row r="22">
          <cell r="B22">
            <v>2029</v>
          </cell>
          <cell r="C22">
            <v>123.8030093809495</v>
          </cell>
          <cell r="E22">
            <v>22.824583349545559</v>
          </cell>
          <cell r="G22">
            <v>36.957346977507839</v>
          </cell>
        </row>
        <row r="23">
          <cell r="B23">
            <v>2030</v>
          </cell>
          <cell r="C23">
            <v>126.53653691685614</v>
          </cell>
          <cell r="E23">
            <v>21.772752592189619</v>
          </cell>
          <cell r="G23">
            <v>36.217562742515675</v>
          </cell>
        </row>
        <row r="24">
          <cell r="B24">
            <v>2031</v>
          </cell>
          <cell r="C24">
            <v>129.32164044400631</v>
          </cell>
          <cell r="E24">
            <v>24.133162749949452</v>
          </cell>
          <cell r="G24">
            <v>38.895907092872548</v>
          </cell>
        </row>
        <row r="25">
          <cell r="B25">
            <v>2032</v>
          </cell>
          <cell r="C25">
            <v>132.18926555714609</v>
          </cell>
          <cell r="E25">
            <v>28.579671066567432</v>
          </cell>
          <cell r="G25">
            <v>43.628540096297172</v>
          </cell>
        </row>
        <row r="26">
          <cell r="B26">
            <v>2033</v>
          </cell>
          <cell r="C26">
            <v>134.94342348955016</v>
          </cell>
          <cell r="E26">
            <v>30.243587638061172</v>
          </cell>
          <cell r="G26">
            <v>45.648088036411657</v>
          </cell>
        </row>
        <row r="27">
          <cell r="B27">
            <v>2034</v>
          </cell>
          <cell r="C27">
            <v>137.79041820619256</v>
          </cell>
          <cell r="E27">
            <v>31.486928934003682</v>
          </cell>
          <cell r="G27">
            <v>47.21642872923114</v>
          </cell>
        </row>
        <row r="28">
          <cell r="B28">
            <v>2035</v>
          </cell>
          <cell r="C28">
            <v>140.66835851758108</v>
          </cell>
          <cell r="E28">
            <v>33.253234574503296</v>
          </cell>
          <cell r="G28">
            <v>49.311266368747702</v>
          </cell>
        </row>
        <row r="29">
          <cell r="B29">
            <v>2036</v>
          </cell>
          <cell r="C29">
            <v>143.63913561320794</v>
          </cell>
          <cell r="E29">
            <v>35.362545577659255</v>
          </cell>
          <cell r="G29">
            <v>51.714906189363262</v>
          </cell>
        </row>
        <row r="30">
          <cell r="B30">
            <v>2037</v>
          </cell>
          <cell r="C30">
            <v>146.6408583035809</v>
          </cell>
          <cell r="E30">
            <v>36.25039165877913</v>
          </cell>
          <cell r="G30">
            <v>52.990215666037237</v>
          </cell>
        </row>
        <row r="31">
          <cell r="B31">
            <v>2038</v>
          </cell>
          <cell r="C31">
            <v>149.7251025799435</v>
          </cell>
          <cell r="E31">
            <v>37.867977529483944</v>
          </cell>
          <cell r="G31">
            <v>54.959884216692089</v>
          </cell>
        </row>
        <row r="32">
          <cell r="B32">
            <v>2039</v>
          </cell>
          <cell r="C32">
            <v>152.85060764930091</v>
          </cell>
          <cell r="E32">
            <v>38.663205057603108</v>
          </cell>
          <cell r="G32">
            <v>56.111904560947956</v>
          </cell>
        </row>
        <row r="33">
          <cell r="B33">
            <v>2040</v>
          </cell>
          <cell r="C33">
            <v>156.08957989939407</v>
          </cell>
          <cell r="E33">
            <v>39.475132363812769</v>
          </cell>
          <cell r="G33">
            <v>57.293577557807524</v>
          </cell>
        </row>
        <row r="34">
          <cell r="B34">
            <v>2041</v>
          </cell>
          <cell r="C34">
            <v>159.35949774423335</v>
          </cell>
          <cell r="E34">
            <v>40.308153657083984</v>
          </cell>
          <cell r="G34">
            <v>58.548126481524193</v>
          </cell>
        </row>
        <row r="35">
          <cell r="B35">
            <v>2042</v>
          </cell>
          <cell r="C35">
            <v>162.71193717506225</v>
          </cell>
          <cell r="E35">
            <v>41.154624883882747</v>
          </cell>
          <cell r="G35">
            <v>59.778311292887842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Forward Price Curve"/>
      <sheetName val="Inflation Forecast"/>
      <sheetName val="Internal Verification (Prior)"/>
      <sheetName val="Internal Verification (Diff)"/>
    </sheetNames>
    <sheetDataSet>
      <sheetData sheetId="0"/>
      <sheetData sheetId="1"/>
      <sheetData sheetId="2">
        <row r="2">
          <cell r="G2">
            <v>43921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  <sheetName val="012"/>
    </sheetNames>
    <sheetDataSet>
      <sheetData sheetId="0"/>
      <sheetData sheetId="1">
        <row r="39">
          <cell r="F39" t="str">
            <v>PP-GC</v>
          </cell>
        </row>
      </sheetData>
      <sheetData sheetId="2">
        <row r="5">
          <cell r="C5">
            <v>2020</v>
          </cell>
          <cell r="D5">
            <v>2021</v>
          </cell>
          <cell r="E5">
            <v>2022</v>
          </cell>
          <cell r="F5">
            <v>2023</v>
          </cell>
          <cell r="G5">
            <v>2024</v>
          </cell>
          <cell r="H5">
            <v>2025</v>
          </cell>
          <cell r="I5">
            <v>2026</v>
          </cell>
          <cell r="J5">
            <v>2027</v>
          </cell>
          <cell r="K5">
            <v>2028</v>
          </cell>
          <cell r="L5">
            <v>2029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756605.5494799614</v>
          </cell>
          <cell r="D7">
            <v>587724.34193998575</v>
          </cell>
          <cell r="E7">
            <v>48496.366249978542</v>
          </cell>
          <cell r="F7">
            <v>1259803.1595200002</v>
          </cell>
          <cell r="G7">
            <v>880597.73213002086</v>
          </cell>
          <cell r="H7">
            <v>735138.27827000618</v>
          </cell>
          <cell r="I7">
            <v>253160.13873001933</v>
          </cell>
          <cell r="J7">
            <v>263448.67144998908</v>
          </cell>
          <cell r="K7">
            <v>655288.07512998581</v>
          </cell>
          <cell r="L7">
            <v>886082.66503992677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-1565668.78</v>
          </cell>
          <cell r="D9">
            <v>-1595282.3000000003</v>
          </cell>
          <cell r="E9">
            <v>-1555084.7999999998</v>
          </cell>
          <cell r="F9">
            <v>0</v>
          </cell>
          <cell r="G9">
            <v>-697291.16</v>
          </cell>
          <cell r="H9">
            <v>-742037.93400000001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-3706564.2474900484</v>
          </cell>
          <cell r="D11">
            <v>-2696922.357054919</v>
          </cell>
          <cell r="E11">
            <v>-3077748.3468300104</v>
          </cell>
          <cell r="F11">
            <v>-3136693.5477899313</v>
          </cell>
          <cell r="G11">
            <v>-1753664.0185761154</v>
          </cell>
          <cell r="H11">
            <v>-2322896.9114148021</v>
          </cell>
          <cell r="I11">
            <v>-932387.54207599163</v>
          </cell>
          <cell r="J11">
            <v>-1258152.424423933</v>
          </cell>
          <cell r="K11">
            <v>-2387782.0366101563</v>
          </cell>
          <cell r="L11">
            <v>-2816210.9819600284</v>
          </cell>
        </row>
        <row r="12">
          <cell r="C12">
            <v>0</v>
          </cell>
          <cell r="D12">
            <v>35139.26105055213</v>
          </cell>
          <cell r="E12">
            <v>37412.498283624649</v>
          </cell>
          <cell r="F12">
            <v>87051.949453949928</v>
          </cell>
          <cell r="G12">
            <v>173099.78069779277</v>
          </cell>
          <cell r="H12">
            <v>207061.24100679159</v>
          </cell>
          <cell r="I12">
            <v>160565.75352835655</v>
          </cell>
          <cell r="J12">
            <v>169199.20356023312</v>
          </cell>
          <cell r="K12">
            <v>150350.49778941274</v>
          </cell>
          <cell r="L12">
            <v>139199.24653789401</v>
          </cell>
        </row>
        <row r="13">
          <cell r="C13">
            <v>296.51120999455452</v>
          </cell>
          <cell r="D13">
            <v>-674.46335999667645</v>
          </cell>
          <cell r="E13">
            <v>-2072.3942539989948</v>
          </cell>
          <cell r="F13">
            <v>-351.60799999535084</v>
          </cell>
          <cell r="G13">
            <v>-1170.4449999928474</v>
          </cell>
          <cell r="H13">
            <v>-1065.7000000029802</v>
          </cell>
          <cell r="I13">
            <v>-829.89800000190735</v>
          </cell>
          <cell r="J13">
            <v>708.07299999892712</v>
          </cell>
          <cell r="K13">
            <v>1325.6189999878407</v>
          </cell>
          <cell r="L13">
            <v>930.77079999446869</v>
          </cell>
        </row>
        <row r="14">
          <cell r="C14">
            <v>-4894893.687664032</v>
          </cell>
          <cell r="D14">
            <v>-4646313.7901177406</v>
          </cell>
          <cell r="E14">
            <v>-7869064.2123639584</v>
          </cell>
          <cell r="F14">
            <v>-6065196.0942425728</v>
          </cell>
          <cell r="G14">
            <v>-3957622.0140318871</v>
          </cell>
          <cell r="H14">
            <v>-4136943.3520896435</v>
          </cell>
          <cell r="I14">
            <v>-3106597.2406342626</v>
          </cell>
          <cell r="J14">
            <v>-3450786.1160539389</v>
          </cell>
          <cell r="K14">
            <v>-2997165.177572906</v>
          </cell>
          <cell r="L14">
            <v>-2350732.2774692178</v>
          </cell>
        </row>
        <row r="15">
          <cell r="C15">
            <v>-1339514.7951200008</v>
          </cell>
          <cell r="D15">
            <v>-1837019.5652499795</v>
          </cell>
          <cell r="E15">
            <v>-1593105.2739300728</v>
          </cell>
          <cell r="F15">
            <v>-2114023.020359993</v>
          </cell>
          <cell r="G15">
            <v>-1670447.8297399879</v>
          </cell>
          <cell r="H15">
            <v>-1668875.5402800441</v>
          </cell>
          <cell r="I15">
            <v>-1568340.6647600532</v>
          </cell>
          <cell r="J15">
            <v>-1564718.2587099671</v>
          </cell>
          <cell r="K15">
            <v>-1934925.6542299986</v>
          </cell>
          <cell r="L15">
            <v>-2265727.2322999835</v>
          </cell>
        </row>
        <row r="16">
          <cell r="C16">
            <v>-9.9997123470529914E-8</v>
          </cell>
          <cell r="D16">
            <v>23354.720956982132</v>
          </cell>
          <cell r="E16">
            <v>4149.301012659922</v>
          </cell>
          <cell r="F16">
            <v>181915.2123165114</v>
          </cell>
          <cell r="G16">
            <v>278273.96128716244</v>
          </cell>
          <cell r="H16">
            <v>232162.28567355202</v>
          </cell>
          <cell r="I16">
            <v>129293.89314160378</v>
          </cell>
          <cell r="J16">
            <v>144811.65124412708</v>
          </cell>
          <cell r="K16">
            <v>10151.171587373246</v>
          </cell>
          <cell r="L16">
            <v>-4284.9704591149512</v>
          </cell>
        </row>
        <row r="17">
          <cell r="C17">
            <v>0</v>
          </cell>
          <cell r="D17">
            <v>4502.6366753536277</v>
          </cell>
          <cell r="E17">
            <v>8546.4264254430309</v>
          </cell>
          <cell r="F17">
            <v>38240.197050180286</v>
          </cell>
          <cell r="G17">
            <v>2046594.5989676751</v>
          </cell>
          <cell r="H17">
            <v>1851708.6608428801</v>
          </cell>
          <cell r="I17">
            <v>-7529029.2541960925</v>
          </cell>
          <cell r="J17">
            <v>-7633989.3168425485</v>
          </cell>
          <cell r="K17">
            <v>-9707392.291161865</v>
          </cell>
          <cell r="L17">
            <v>-11159903.248349428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-14511.734100000031</v>
          </cell>
          <cell r="L18">
            <v>-19356.364960000094</v>
          </cell>
        </row>
        <row r="19">
          <cell r="C19">
            <v>-12262950.54854415</v>
          </cell>
          <cell r="D19">
            <v>-11300940.199039733</v>
          </cell>
          <cell r="E19">
            <v>-14095463.167906292</v>
          </cell>
          <cell r="F19">
            <v>-12268860.071091851</v>
          </cell>
          <cell r="G19">
            <v>-6462824.858525373</v>
          </cell>
          <cell r="H19">
            <v>-7316025.5285312757</v>
          </cell>
          <cell r="I19">
            <v>-13100485.09172646</v>
          </cell>
          <cell r="J19">
            <v>-13856375.859676018</v>
          </cell>
          <cell r="K19">
            <v>-17535237.680428136</v>
          </cell>
          <cell r="L19">
            <v>-19362167.723199811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C22">
            <v>25797.130999997258</v>
          </cell>
          <cell r="D22">
            <v>26637.597000000998</v>
          </cell>
          <cell r="E22">
            <v>17618.514599999413</v>
          </cell>
          <cell r="F22">
            <v>47730.46440000087</v>
          </cell>
          <cell r="G22">
            <v>31428.275399999693</v>
          </cell>
          <cell r="H22">
            <v>27667.098399999551</v>
          </cell>
          <cell r="I22">
            <v>15210.468799999915</v>
          </cell>
          <cell r="J22">
            <v>15775.795599998906</v>
          </cell>
          <cell r="K22">
            <v>27817.151500000618</v>
          </cell>
          <cell r="L22">
            <v>32634.535500000231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-39245.283168000002</v>
          </cell>
          <cell r="D24">
            <v>-37735.850000000006</v>
          </cell>
          <cell r="E24">
            <v>-37735.849999999991</v>
          </cell>
          <cell r="F24">
            <v>0</v>
          </cell>
          <cell r="G24">
            <v>-17375.849046400002</v>
          </cell>
          <cell r="H24">
            <v>-19936.603814399998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-109535.11216700077</v>
          </cell>
          <cell r="D25">
            <v>-110839.51330500003</v>
          </cell>
          <cell r="E25">
            <v>-127992.57949699834</v>
          </cell>
          <cell r="F25">
            <v>-127243.12044239882</v>
          </cell>
          <cell r="G25">
            <v>-72617.749049000442</v>
          </cell>
          <cell r="H25">
            <v>-81028.8874157588</v>
          </cell>
          <cell r="I25">
            <v>-49364.695294698235</v>
          </cell>
          <cell r="J25">
            <v>-58482.114592998289</v>
          </cell>
          <cell r="K25">
            <v>-98922.775408996735</v>
          </cell>
          <cell r="L25">
            <v>-106933.87349999836</v>
          </cell>
        </row>
        <row r="26">
          <cell r="C26">
            <v>0</v>
          </cell>
          <cell r="D26">
            <v>-8200.3745620502159</v>
          </cell>
          <cell r="E26">
            <v>-9243.2680338397622</v>
          </cell>
          <cell r="F26">
            <v>-22142.540491760708</v>
          </cell>
          <cell r="G26">
            <v>-45227.927544862032</v>
          </cell>
          <cell r="H26">
            <v>-50131.511473564897</v>
          </cell>
          <cell r="I26">
            <v>-40766.414321620483</v>
          </cell>
          <cell r="J26">
            <v>-41927.827902083285</v>
          </cell>
          <cell r="K26">
            <v>-39152.964829558041</v>
          </cell>
          <cell r="L26">
            <v>-38656.839499626774</v>
          </cell>
        </row>
        <row r="27">
          <cell r="C27">
            <v>-619084.72722250223</v>
          </cell>
          <cell r="D27">
            <v>-563149.14695300162</v>
          </cell>
          <cell r="E27">
            <v>-573605.55626699701</v>
          </cell>
          <cell r="F27">
            <v>-530100.01905799657</v>
          </cell>
          <cell r="G27">
            <v>-467330.16985699907</v>
          </cell>
          <cell r="H27">
            <v>-477634.62432300299</v>
          </cell>
          <cell r="I27">
            <v>-327958.39970200136</v>
          </cell>
          <cell r="J27">
            <v>-344804.22414599732</v>
          </cell>
          <cell r="K27">
            <v>-297233.06985199824</v>
          </cell>
          <cell r="L27">
            <v>-265523.30635899678</v>
          </cell>
        </row>
        <row r="28">
          <cell r="C28">
            <v>-84737.941664200276</v>
          </cell>
          <cell r="D28">
            <v>-128024.41544679739</v>
          </cell>
          <cell r="E28">
            <v>-108344.98606000282</v>
          </cell>
          <cell r="F28">
            <v>-138240.91612510011</v>
          </cell>
          <cell r="G28">
            <v>-101028.67414929904</v>
          </cell>
          <cell r="H28">
            <v>-92214.509106999263</v>
          </cell>
          <cell r="I28">
            <v>-84690.078092599288</v>
          </cell>
          <cell r="J28">
            <v>-79009.434172596782</v>
          </cell>
          <cell r="K28">
            <v>-88217.339956102893</v>
          </cell>
          <cell r="L28">
            <v>-94854.864275000989</v>
          </cell>
        </row>
        <row r="29">
          <cell r="C29">
            <v>-9.9651515483856201E-8</v>
          </cell>
          <cell r="D29">
            <v>-737.4041101904586</v>
          </cell>
          <cell r="E29">
            <v>-176.67277830094099</v>
          </cell>
          <cell r="F29">
            <v>-5486.3383921943605</v>
          </cell>
          <cell r="G29">
            <v>-9043.565958484076</v>
          </cell>
          <cell r="H29">
            <v>-7138.1354916337878</v>
          </cell>
          <cell r="I29">
            <v>-4311.2182921962813</v>
          </cell>
          <cell r="J29">
            <v>-4524.0822185063735</v>
          </cell>
          <cell r="K29">
            <v>-1106.6772752255201</v>
          </cell>
          <cell r="L29">
            <v>-7393.835984014906</v>
          </cell>
        </row>
        <row r="30">
          <cell r="C30">
            <v>7.2759576141834259E-12</v>
          </cell>
          <cell r="D30">
            <v>-675.7884722999006</v>
          </cell>
          <cell r="E30">
            <v>-1282.7098596000433</v>
          </cell>
          <cell r="F30">
            <v>-5056.5175385999028</v>
          </cell>
          <cell r="G30">
            <v>-134347.88890819793</v>
          </cell>
          <cell r="H30">
            <v>-120248.58043020664</v>
          </cell>
          <cell r="I30">
            <v>-353698.30448898301</v>
          </cell>
          <cell r="J30">
            <v>-331475.82616732456</v>
          </cell>
          <cell r="K30">
            <v>-325207.00828404538</v>
          </cell>
          <cell r="L30">
            <v>-329239.50033997186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-742.55819999999994</v>
          </cell>
          <cell r="L31">
            <v>-762.52121600000009</v>
          </cell>
        </row>
        <row r="32">
          <cell r="C32">
            <v>-878400.19522180012</v>
          </cell>
          <cell r="D32">
            <v>-876000.08984934061</v>
          </cell>
          <cell r="E32">
            <v>-876000.13709573832</v>
          </cell>
          <cell r="F32">
            <v>-875999.91644805134</v>
          </cell>
          <cell r="G32">
            <v>-878400.09991324227</v>
          </cell>
          <cell r="H32">
            <v>-875999.95045556594</v>
          </cell>
          <cell r="I32">
            <v>-875999.57899209857</v>
          </cell>
          <cell r="J32">
            <v>-875999.30479950551</v>
          </cell>
          <cell r="K32">
            <v>-878399.5453059274</v>
          </cell>
          <cell r="L32">
            <v>-875999.27667360986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C35">
            <v>29.32905792818751</v>
          </cell>
          <cell r="D35">
            <v>22.063714753998408</v>
          </cell>
          <cell r="E35">
            <v>2.7525797350691619</v>
          </cell>
          <cell r="F35">
            <v>26.394110666142549</v>
          </cell>
          <cell r="G35">
            <v>28.019282665762482</v>
          </cell>
          <cell r="H35">
            <v>26.570848436712758</v>
          </cell>
          <cell r="I35">
            <v>16.643809080363173</v>
          </cell>
          <cell r="J35">
            <v>16.699548988198565</v>
          </cell>
          <cell r="K35">
            <v>23.556979769476801</v>
          </cell>
          <cell r="L35">
            <v>27.151686134460853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39.894444723401108</v>
          </cell>
          <cell r="D37">
            <v>42.274979893125504</v>
          </cell>
          <cell r="E37">
            <v>41.20974616975635</v>
          </cell>
          <cell r="F37">
            <v>0</v>
          </cell>
          <cell r="G37">
            <v>40.12990433664406</v>
          </cell>
          <cell r="H37">
            <v>37.219876610279726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33.839051005296831</v>
          </cell>
          <cell r="D39">
            <v>24.331777329567718</v>
          </cell>
          <cell r="E39">
            <v>24.046302988230572</v>
          </cell>
          <cell r="F39">
            <v>24.651183788045095</v>
          </cell>
          <cell r="G39">
            <v>24.149247829105686</v>
          </cell>
          <cell r="H39">
            <v>28.667515814403696</v>
          </cell>
          <cell r="I39">
            <v>18.887740246542755</v>
          </cell>
          <cell r="J39">
            <v>21.513456433303524</v>
          </cell>
          <cell r="K39">
            <v>24.137839104673912</v>
          </cell>
          <cell r="L39">
            <v>26.336004577259345</v>
          </cell>
        </row>
        <row r="40">
          <cell r="C40">
            <v>0</v>
          </cell>
          <cell r="D40">
            <v>-4.2850800027074358</v>
          </cell>
          <cell r="E40">
            <v>-4.0475401283027663</v>
          </cell>
          <cell r="F40">
            <v>-3.9314345834138664</v>
          </cell>
          <cell r="G40">
            <v>-3.8272764217660287</v>
          </cell>
          <cell r="H40">
            <v>-4.1303610228464409</v>
          </cell>
          <cell r="I40">
            <v>-3.9386773696012907</v>
          </cell>
          <cell r="J40">
            <v>-4.0354869790864134</v>
          </cell>
          <cell r="K40">
            <v>-3.8400795046792346</v>
          </cell>
          <cell r="L40">
            <v>-3.6008956846882931</v>
          </cell>
        </row>
        <row r="41">
          <cell r="C41">
            <v>7.9066620002479597</v>
          </cell>
          <cell r="D41">
            <v>8.2505918996011633</v>
          </cell>
          <cell r="E41">
            <v>13.718598305733869</v>
          </cell>
          <cell r="F41">
            <v>11.441607010353643</v>
          </cell>
          <cell r="G41">
            <v>8.4685780403240418</v>
          </cell>
          <cell r="H41">
            <v>8.6613137771436204</v>
          </cell>
          <cell r="I41">
            <v>9.4725344539339904</v>
          </cell>
          <cell r="J41">
            <v>10.007957775461602</v>
          </cell>
          <cell r="K41">
            <v>10.083552207246958</v>
          </cell>
          <cell r="L41">
            <v>8.8532050527080504</v>
          </cell>
        </row>
        <row r="42">
          <cell r="C42">
            <v>15.807733452250154</v>
          </cell>
          <cell r="D42">
            <v>14.348978347910386</v>
          </cell>
          <cell r="E42">
            <v>14.704005527748105</v>
          </cell>
          <cell r="F42">
            <v>15.292310551869631</v>
          </cell>
          <cell r="G42">
            <v>16.534393268107415</v>
          </cell>
          <cell r="H42">
            <v>18.097754425429926</v>
          </cell>
          <cell r="I42">
            <v>18.518588010336288</v>
          </cell>
          <cell r="J42">
            <v>19.804195221697537</v>
          </cell>
          <cell r="K42">
            <v>21.933620478613626</v>
          </cell>
          <cell r="L42">
            <v>23.886252430146762</v>
          </cell>
        </row>
        <row r="43">
          <cell r="C43">
            <v>1.0034681658878504</v>
          </cell>
          <cell r="D43">
            <v>-31.671536182446847</v>
          </cell>
          <cell r="E43">
            <v>-23.485797034289476</v>
          </cell>
          <cell r="F43">
            <v>-33.157854895594788</v>
          </cell>
          <cell r="G43">
            <v>-30.7703800209589</v>
          </cell>
          <cell r="H43">
            <v>-32.524219517219386</v>
          </cell>
          <cell r="I43">
            <v>-29.990105900143849</v>
          </cell>
          <cell r="J43">
            <v>-32.009067088072655</v>
          </cell>
          <cell r="K43">
            <v>-9.1726574807498675</v>
          </cell>
          <cell r="L43">
            <v>0.57953279845249983</v>
          </cell>
        </row>
        <row r="44">
          <cell r="C44">
            <v>0</v>
          </cell>
          <cell r="D44">
            <v>-6.6627899999978881</v>
          </cell>
          <cell r="E44">
            <v>-6.6627899999987985</v>
          </cell>
          <cell r="F44">
            <v>-7.5625559999083087</v>
          </cell>
          <cell r="G44">
            <v>-15.233544907922939</v>
          </cell>
          <cell r="H44">
            <v>-15.399006410039314</v>
          </cell>
          <cell r="I44">
            <v>21.28658565404745</v>
          </cell>
          <cell r="J44">
            <v>23.030304819238953</v>
          </cell>
          <cell r="K44">
            <v>29.849886515001369</v>
          </cell>
          <cell r="L44">
            <v>33.896003477182234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19.542891183478993</v>
          </cell>
          <cell r="L45">
            <v>25.384690358569763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13.960550800478474</v>
          </cell>
          <cell r="D47">
            <v>12.900615342383507</v>
          </cell>
          <cell r="E47">
            <v>16.090708860660595</v>
          </cell>
          <cell r="F47">
            <v>14.005549362194969</v>
          </cell>
          <cell r="G47">
            <v>7.357495586764724</v>
          </cell>
          <cell r="H47">
            <v>8.3516277880227712</v>
          </cell>
          <cell r="I47">
            <v>14.95489884458566</v>
          </cell>
          <cell r="J47">
            <v>15.817793214855802</v>
          </cell>
          <cell r="K47">
            <v>19.962712610832462</v>
          </cell>
          <cell r="L47">
            <v>22.102949441605528</v>
          </cell>
        </row>
      </sheetData>
      <sheetData sheetId="3">
        <row r="4">
          <cell r="B4" t="str">
            <v>Year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</sheetData>
      <sheetData sheetId="8">
        <row r="3">
          <cell r="F3">
            <v>43831</v>
          </cell>
        </row>
      </sheetData>
      <sheetData sheetId="9"/>
      <sheetData sheetId="10"/>
      <sheetData sheetId="11"/>
      <sheetData sheetId="12">
        <row r="1">
          <cell r="D1">
            <v>2020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  <sheetName val="012"/>
    </sheetNames>
    <sheetDataSet>
      <sheetData sheetId="0"/>
      <sheetData sheetId="1">
        <row r="39">
          <cell r="F39" t="str">
            <v>PP-GC</v>
          </cell>
        </row>
      </sheetData>
      <sheetData sheetId="2">
        <row r="5">
          <cell r="C5">
            <v>2020</v>
          </cell>
          <cell r="D5">
            <v>2021</v>
          </cell>
          <cell r="E5">
            <v>2022</v>
          </cell>
          <cell r="F5">
            <v>2023</v>
          </cell>
          <cell r="G5">
            <v>2024</v>
          </cell>
          <cell r="H5">
            <v>2025</v>
          </cell>
          <cell r="I5">
            <v>2026</v>
          </cell>
          <cell r="J5">
            <v>2027</v>
          </cell>
          <cell r="K5">
            <v>2028</v>
          </cell>
          <cell r="L5">
            <v>2029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671724.6910700202</v>
          </cell>
          <cell r="D7">
            <v>575469.76792997122</v>
          </cell>
          <cell r="E7">
            <v>759541.20645001531</v>
          </cell>
          <cell r="F7">
            <v>1271484.5207000077</v>
          </cell>
          <cell r="G7">
            <v>684005.33567997813</v>
          </cell>
          <cell r="H7">
            <v>740811.21238997579</v>
          </cell>
          <cell r="I7">
            <v>98204.388039976358</v>
          </cell>
          <cell r="J7">
            <v>182224.43805000186</v>
          </cell>
          <cell r="K7">
            <v>323371.8802600503</v>
          </cell>
          <cell r="L7">
            <v>437137.91425997019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-1031462.0399999998</v>
          </cell>
          <cell r="D9">
            <v>-1591895.5999999996</v>
          </cell>
          <cell r="E9">
            <v>-1558413.3000000007</v>
          </cell>
          <cell r="F9">
            <v>0</v>
          </cell>
          <cell r="G9">
            <v>-680783.47</v>
          </cell>
          <cell r="H9">
            <v>-682629.13500000001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278.27346437258132</v>
          </cell>
          <cell r="L10">
            <v>0</v>
          </cell>
        </row>
        <row r="11">
          <cell r="C11">
            <v>-3168327.2595341206</v>
          </cell>
          <cell r="D11">
            <v>-2659932.6585098803</v>
          </cell>
          <cell r="E11">
            <v>-2653913.4202299714</v>
          </cell>
          <cell r="F11">
            <v>-2647605.9110901058</v>
          </cell>
          <cell r="G11">
            <v>-1486558.2220900059</v>
          </cell>
          <cell r="H11">
            <v>-1864525.9808699787</v>
          </cell>
          <cell r="I11">
            <v>-433284.1112421155</v>
          </cell>
          <cell r="J11">
            <v>-422915.37849801779</v>
          </cell>
          <cell r="K11">
            <v>-967848.35172006488</v>
          </cell>
          <cell r="L11">
            <v>-1116889.3340398967</v>
          </cell>
        </row>
        <row r="12">
          <cell r="C12">
            <v>0</v>
          </cell>
          <cell r="D12">
            <v>30279.648152858019</v>
          </cell>
          <cell r="E12">
            <v>34793.396604001522</v>
          </cell>
          <cell r="F12">
            <v>87614.793374985456</v>
          </cell>
          <cell r="G12">
            <v>180366.0918892622</v>
          </cell>
          <cell r="H12">
            <v>193285.85257485509</v>
          </cell>
          <cell r="I12">
            <v>146898.95136743784</v>
          </cell>
          <cell r="J12">
            <v>133207.35225695372</v>
          </cell>
          <cell r="K12">
            <v>134131.0932893455</v>
          </cell>
          <cell r="L12">
            <v>141822.3655384481</v>
          </cell>
        </row>
        <row r="13">
          <cell r="C13">
            <v>-263.44143000245094</v>
          </cell>
          <cell r="D13">
            <v>514.98204599320889</v>
          </cell>
          <cell r="E13">
            <v>-788.69204398989677</v>
          </cell>
          <cell r="F13">
            <v>-262.35300000011921</v>
          </cell>
          <cell r="G13">
            <v>-1349.2520000040531</v>
          </cell>
          <cell r="H13">
            <v>-1718.1710000038147</v>
          </cell>
          <cell r="I13">
            <v>-645.15500000119209</v>
          </cell>
          <cell r="J13">
            <v>87.852039992809296</v>
          </cell>
          <cell r="K13">
            <v>608.57490000128746</v>
          </cell>
          <cell r="L13">
            <v>230.59899999201298</v>
          </cell>
        </row>
        <row r="14">
          <cell r="C14">
            <v>-4992116.8183908463</v>
          </cell>
          <cell r="D14">
            <v>-6510770.652332902</v>
          </cell>
          <cell r="E14">
            <v>-6867144.7094624043</v>
          </cell>
          <cell r="F14">
            <v>-6370101.3140410185</v>
          </cell>
          <cell r="G14">
            <v>-4567905.1767860651</v>
          </cell>
          <cell r="H14">
            <v>-5425881.346000433</v>
          </cell>
          <cell r="I14">
            <v>-3708339.9808958173</v>
          </cell>
          <cell r="J14">
            <v>-4115809.1885561943</v>
          </cell>
          <cell r="K14">
            <v>-3956008.3732027411</v>
          </cell>
          <cell r="L14">
            <v>-3579740.7148525715</v>
          </cell>
        </row>
        <row r="15">
          <cell r="C15">
            <v>-1352493.5994700193</v>
          </cell>
          <cell r="D15">
            <v>-2070997.1655699611</v>
          </cell>
          <cell r="E15">
            <v>-1761573.5782000422</v>
          </cell>
          <cell r="F15">
            <v>-2191055.3056999445</v>
          </cell>
          <cell r="G15">
            <v>-1861092.3296900094</v>
          </cell>
          <cell r="H15">
            <v>-1863849.284070015</v>
          </cell>
          <cell r="I15">
            <v>-1604274.7451800108</v>
          </cell>
          <cell r="J15">
            <v>-1777519.7819599509</v>
          </cell>
          <cell r="K15">
            <v>-2001349.7845200896</v>
          </cell>
          <cell r="L15">
            <v>-2232866.6157699823</v>
          </cell>
        </row>
        <row r="16">
          <cell r="C16">
            <v>-1.0000076144933701E-7</v>
          </cell>
          <cell r="D16">
            <v>22055.694404019654</v>
          </cell>
          <cell r="E16">
            <v>31290.81938040055</v>
          </cell>
          <cell r="F16">
            <v>168062.31725970926</v>
          </cell>
          <cell r="G16">
            <v>260177.81721515817</v>
          </cell>
          <cell r="H16">
            <v>298371.25676911289</v>
          </cell>
          <cell r="I16">
            <v>173742.16084941721</v>
          </cell>
          <cell r="J16">
            <v>143679.93906646015</v>
          </cell>
          <cell r="K16">
            <v>17662.458355485465</v>
          </cell>
          <cell r="L16">
            <v>-3099.7419962778918</v>
          </cell>
        </row>
        <row r="17">
          <cell r="C17">
            <v>0</v>
          </cell>
          <cell r="D17">
            <v>4444.1127448212355</v>
          </cell>
          <cell r="E17">
            <v>12886.350495899096</v>
          </cell>
          <cell r="F17">
            <v>39262.216812025756</v>
          </cell>
          <cell r="G17">
            <v>2056555.3362651404</v>
          </cell>
          <cell r="H17">
            <v>2070239.4584809116</v>
          </cell>
          <cell r="I17">
            <v>-7587902.3317537084</v>
          </cell>
          <cell r="J17">
            <v>-8563140.3605519831</v>
          </cell>
          <cell r="K17">
            <v>-10935295.560713083</v>
          </cell>
          <cell r="L17">
            <v>-11781464.597074345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-4530.9597200000135</v>
          </cell>
          <cell r="L18">
            <v>-7796.0709999999963</v>
          </cell>
        </row>
        <row r="19">
          <cell r="C19">
            <v>-11216387.849895108</v>
          </cell>
          <cell r="D19">
            <v>-13351771.406995023</v>
          </cell>
          <cell r="E19">
            <v>-13522404.339906123</v>
          </cell>
          <cell r="F19">
            <v>-12185570.077084357</v>
          </cell>
          <cell r="G19">
            <v>-6784594.5408765012</v>
          </cell>
          <cell r="H19">
            <v>-8017518.5615055263</v>
          </cell>
          <cell r="I19">
            <v>-13112009.599894773</v>
          </cell>
          <cell r="J19">
            <v>-14784634.004252741</v>
          </cell>
          <cell r="K19">
            <v>-18035724.510126825</v>
          </cell>
          <cell r="L19">
            <v>-19016942.024454601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C22">
            <v>26701.860999999568</v>
          </cell>
          <cell r="D22">
            <v>27870.730499999598</v>
          </cell>
          <cell r="E22">
            <v>34837.832499998622</v>
          </cell>
          <cell r="F22">
            <v>48383.17920000013</v>
          </cell>
          <cell r="G22">
            <v>23143.274499999359</v>
          </cell>
          <cell r="H22">
            <v>23694.821099999361</v>
          </cell>
          <cell r="I22">
            <v>8421.8314999993891</v>
          </cell>
          <cell r="J22">
            <v>9754.3003999982029</v>
          </cell>
          <cell r="K22">
            <v>15259.992700001225</v>
          </cell>
          <cell r="L22">
            <v>18503.785600000992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-39245.283168000002</v>
          </cell>
          <cell r="D24">
            <v>-37735.850000000006</v>
          </cell>
          <cell r="E24">
            <v>-37735.847999999998</v>
          </cell>
          <cell r="F24">
            <v>0</v>
          </cell>
          <cell r="G24">
            <v>-17375.849046400002</v>
          </cell>
          <cell r="H24">
            <v>-19936.603814399998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-148247.00461700186</v>
          </cell>
          <cell r="D25">
            <v>-124896.99678199552</v>
          </cell>
          <cell r="E25">
            <v>-111615.08819099795</v>
          </cell>
          <cell r="F25">
            <v>-97345.356198701076</v>
          </cell>
          <cell r="G25">
            <v>-53761.282135999296</v>
          </cell>
          <cell r="H25">
            <v>-58544.235993803013</v>
          </cell>
          <cell r="I25">
            <v>-24750.121792803518</v>
          </cell>
          <cell r="J25">
            <v>-25543.415076157078</v>
          </cell>
          <cell r="K25">
            <v>-46234.827236002311</v>
          </cell>
          <cell r="L25">
            <v>-50271.559345000423</v>
          </cell>
        </row>
        <row r="26">
          <cell r="C26">
            <v>0</v>
          </cell>
          <cell r="D26">
            <v>-7427.2175015099347</v>
          </cell>
          <cell r="E26">
            <v>-9268.4907874008641</v>
          </cell>
          <cell r="F26">
            <v>-22944.013425351121</v>
          </cell>
          <cell r="G26">
            <v>-44502.35857085092</v>
          </cell>
          <cell r="H26">
            <v>-47264.466568497475</v>
          </cell>
          <cell r="I26">
            <v>-35295.121947840787</v>
          </cell>
          <cell r="J26">
            <v>-32748.447500795126</v>
          </cell>
          <cell r="K26">
            <v>-32856.020556246862</v>
          </cell>
          <cell r="L26">
            <v>-38223.313797908835</v>
          </cell>
        </row>
        <row r="27">
          <cell r="C27">
            <v>-566343.07675200328</v>
          </cell>
          <cell r="D27">
            <v>-532030.93534999713</v>
          </cell>
          <cell r="E27">
            <v>-557873.38860200346</v>
          </cell>
          <cell r="F27">
            <v>-545432.24933000281</v>
          </cell>
          <cell r="G27">
            <v>-472445.0526839979</v>
          </cell>
          <cell r="H27">
            <v>-466093.64035800472</v>
          </cell>
          <cell r="I27">
            <v>-299609.04453899711</v>
          </cell>
          <cell r="J27">
            <v>-321207.84782100096</v>
          </cell>
          <cell r="K27">
            <v>-285671.38407099992</v>
          </cell>
          <cell r="L27">
            <v>-265179.06294500455</v>
          </cell>
        </row>
        <row r="28">
          <cell r="C28">
            <v>-97862.332451397553</v>
          </cell>
          <cell r="D28">
            <v>-144656.10516149923</v>
          </cell>
          <cell r="E28">
            <v>-121757.45120949857</v>
          </cell>
          <cell r="F28">
            <v>-152105.40883149765</v>
          </cell>
          <cell r="G28">
            <v>-125334.20356220379</v>
          </cell>
          <cell r="H28">
            <v>-118925.9455593992</v>
          </cell>
          <cell r="I28">
            <v>-99548.595233602449</v>
          </cell>
          <cell r="J28">
            <v>-100541.58319619857</v>
          </cell>
          <cell r="K28">
            <v>-103569.93609200232</v>
          </cell>
          <cell r="L28">
            <v>-106749.98958799802</v>
          </cell>
        </row>
        <row r="29">
          <cell r="C29">
            <v>-1.0058283805847168E-7</v>
          </cell>
          <cell r="D29">
            <v>-715.24115470051765</v>
          </cell>
          <cell r="E29">
            <v>-977.92674095928669</v>
          </cell>
          <cell r="F29">
            <v>-4998.3476260844618</v>
          </cell>
          <cell r="G29">
            <v>-8170.7836561780423</v>
          </cell>
          <cell r="H29">
            <v>-9176.5358968200162</v>
          </cell>
          <cell r="I29">
            <v>-5386.0267421901226</v>
          </cell>
          <cell r="J29">
            <v>-4246.0654225479811</v>
          </cell>
          <cell r="K29">
            <v>-1028.1818467136472</v>
          </cell>
          <cell r="L29">
            <v>-6159.2209642371163</v>
          </cell>
        </row>
        <row r="30">
          <cell r="C30">
            <v>7.2759576141834259E-12</v>
          </cell>
          <cell r="D30">
            <v>-667.00477500000852</v>
          </cell>
          <cell r="E30">
            <v>-1934.0772402998991</v>
          </cell>
          <cell r="F30">
            <v>-4791.6413890698459</v>
          </cell>
          <cell r="G30">
            <v>-133667.26983715204</v>
          </cell>
          <cell r="H30">
            <v>-132363.71478618568</v>
          </cell>
          <cell r="I30">
            <v>-402988.50926017202</v>
          </cell>
          <cell r="J30">
            <v>-381957.6634370666</v>
          </cell>
          <cell r="K30">
            <v>-393525.08634648658</v>
          </cell>
          <cell r="L30">
            <v>-390601.67321593501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-254.08380399999987</v>
          </cell>
          <cell r="L31">
            <v>-310.6696550000006</v>
          </cell>
        </row>
        <row r="32">
          <cell r="C32">
            <v>-878399.55798850278</v>
          </cell>
          <cell r="D32">
            <v>-876000.08122470195</v>
          </cell>
          <cell r="E32">
            <v>-876000.10327115864</v>
          </cell>
          <cell r="F32">
            <v>-876000.1960007071</v>
          </cell>
          <cell r="G32">
            <v>-878400.07399278134</v>
          </cell>
          <cell r="H32">
            <v>-875999.96407710947</v>
          </cell>
          <cell r="I32">
            <v>-875999.2510156054</v>
          </cell>
          <cell r="J32">
            <v>-875999.32285376452</v>
          </cell>
          <cell r="K32">
            <v>-878399.51265245292</v>
          </cell>
          <cell r="L32">
            <v>-875999.27511108492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C35">
            <v>25.156474714254227</v>
          </cell>
          <cell r="D35">
            <v>20.647817893757018</v>
          </cell>
          <cell r="E35">
            <v>21.802194681602117</v>
          </cell>
          <cell r="F35">
            <v>26.279474431477713</v>
          </cell>
          <cell r="G35">
            <v>29.555253111654405</v>
          </cell>
          <cell r="H35">
            <v>31.264688991046899</v>
          </cell>
          <cell r="I35">
            <v>11.660692575003843</v>
          </cell>
          <cell r="J35">
            <v>18.681446190649964</v>
          </cell>
          <cell r="K35">
            <v>21.190827978575921</v>
          </cell>
          <cell r="L35">
            <v>23.624242288018444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26.282446111665159</v>
          </cell>
          <cell r="D37">
            <v>42.185232345369172</v>
          </cell>
          <cell r="E37">
            <v>41.297953606342723</v>
          </cell>
          <cell r="F37">
            <v>0</v>
          </cell>
          <cell r="G37">
            <v>39.179867883408406</v>
          </cell>
          <cell r="H37">
            <v>34.239990991191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3.1679601407370411E-4</v>
          </cell>
          <cell r="L38">
            <v>0</v>
          </cell>
        </row>
        <row r="39">
          <cell r="C39">
            <v>21.37194790356498</v>
          </cell>
          <cell r="D39">
            <v>21.297010553045755</v>
          </cell>
          <cell r="E39">
            <v>23.777371529631747</v>
          </cell>
          <cell r="F39">
            <v>27.198071017232909</v>
          </cell>
          <cell r="G39">
            <v>27.651093185044893</v>
          </cell>
          <cell r="H39">
            <v>31.84815634228007</v>
          </cell>
          <cell r="I39">
            <v>17.506342589720088</v>
          </cell>
          <cell r="J39">
            <v>16.556728113179297</v>
          </cell>
          <cell r="K39">
            <v>20.933318227399301</v>
          </cell>
          <cell r="L39">
            <v>22.217121342407154</v>
          </cell>
        </row>
        <row r="40">
          <cell r="C40">
            <v>0</v>
          </cell>
          <cell r="D40">
            <v>-4.0768495263134872</v>
          </cell>
          <cell r="E40">
            <v>-3.7539441320153197</v>
          </cell>
          <cell r="F40">
            <v>-3.8186341574477463</v>
          </cell>
          <cell r="G40">
            <v>-4.0529557911432166</v>
          </cell>
          <cell r="H40">
            <v>-4.0894538034135604</v>
          </cell>
          <cell r="I40">
            <v>-4.1620185243877454</v>
          </cell>
          <cell r="J40">
            <v>-4.0675928913491077</v>
          </cell>
          <cell r="K40">
            <v>-4.0823901074606361</v>
          </cell>
          <cell r="L40">
            <v>-3.7103629028157958</v>
          </cell>
        </row>
        <row r="41">
          <cell r="C41">
            <v>8.8146514424097937</v>
          </cell>
          <cell r="D41">
            <v>12.237579095000903</v>
          </cell>
          <cell r="E41">
            <v>12.309504001743207</v>
          </cell>
          <cell r="F41">
            <v>11.678996469068181</v>
          </cell>
          <cell r="G41">
            <v>9.6686485567695808</v>
          </cell>
          <cell r="H41">
            <v>11.64118296450652</v>
          </cell>
          <cell r="I41">
            <v>12.377263131698081</v>
          </cell>
          <cell r="J41">
            <v>12.813538699246868</v>
          </cell>
          <cell r="K41">
            <v>13.848108679375203</v>
          </cell>
          <cell r="L41">
            <v>13.499333903276419</v>
          </cell>
        </row>
        <row r="42">
          <cell r="C42">
            <v>13.820369549660214</v>
          </cell>
          <cell r="D42">
            <v>14.316693811559672</v>
          </cell>
          <cell r="E42">
            <v>14.467891375034121</v>
          </cell>
          <cell r="F42">
            <v>14.404848075634149</v>
          </cell>
          <cell r="G42">
            <v>14.849037826823887</v>
          </cell>
          <cell r="H42">
            <v>15.672352028002919</v>
          </cell>
          <cell r="I42">
            <v>16.115493557848726</v>
          </cell>
          <cell r="J42">
            <v>17.679448895202579</v>
          </cell>
          <cell r="K42">
            <v>19.323655686552403</v>
          </cell>
          <cell r="L42">
            <v>20.916785326047705</v>
          </cell>
        </row>
        <row r="43">
          <cell r="C43">
            <v>0.99421296296296291</v>
          </cell>
          <cell r="D43">
            <v>-30.836724451705674</v>
          </cell>
          <cell r="E43">
            <v>-31.997099649515828</v>
          </cell>
          <cell r="F43">
            <v>-33.623575195661942</v>
          </cell>
          <cell r="G43">
            <v>-31.842455774536894</v>
          </cell>
          <cell r="H43">
            <v>-32.514585037749242</v>
          </cell>
          <cell r="I43">
            <v>-32.257946194074847</v>
          </cell>
          <cell r="J43">
            <v>-33.838371472910708</v>
          </cell>
          <cell r="K43">
            <v>-17.178340983104839</v>
          </cell>
          <cell r="L43">
            <v>0.50326851630688774</v>
          </cell>
        </row>
        <row r="44">
          <cell r="C44">
            <v>0</v>
          </cell>
          <cell r="D44">
            <v>-6.6627899999983944</v>
          </cell>
          <cell r="E44">
            <v>-6.6627900000006886</v>
          </cell>
          <cell r="F44">
            <v>-8.193897168846215</v>
          </cell>
          <cell r="G44">
            <v>-15.385631342442014</v>
          </cell>
          <cell r="H44">
            <v>-15.640536092728148</v>
          </cell>
          <cell r="I44">
            <v>18.829078639696174</v>
          </cell>
          <cell r="J44">
            <v>22.419082480231197</v>
          </cell>
          <cell r="K44">
            <v>27.788051994949303</v>
          </cell>
          <cell r="L44">
            <v>30.162350560544674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17.832540479439672</v>
          </cell>
          <cell r="L45">
            <v>25.094407756045506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12.769118276402773</v>
          </cell>
          <cell r="D47">
            <v>15.241746768251923</v>
          </cell>
          <cell r="E47">
            <v>15.43653281479166</v>
          </cell>
          <cell r="F47">
            <v>13.910465012127144</v>
          </cell>
          <cell r="G47">
            <v>7.7238091636730175</v>
          </cell>
          <cell r="H47">
            <v>9.152418824528386</v>
          </cell>
          <cell r="I47">
            <v>14.968060286230987</v>
          </cell>
          <cell r="J47">
            <v>16.877449124148264</v>
          </cell>
          <cell r="K47">
            <v>20.532484650026021</v>
          </cell>
          <cell r="L47">
            <v>21.708855891510954</v>
          </cell>
        </row>
      </sheetData>
      <sheetData sheetId="3">
        <row r="4">
          <cell r="B4" t="str">
            <v>Year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</sheetData>
      <sheetData sheetId="8">
        <row r="3">
          <cell r="F3">
            <v>43831</v>
          </cell>
        </row>
      </sheetData>
      <sheetData sheetId="9"/>
      <sheetData sheetId="10"/>
      <sheetData sheetId="11"/>
      <sheetData sheetId="12">
        <row r="1">
          <cell r="D1">
            <v>2020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  <sheetName val="029 - UTSch38 2020Q1 - 1a - GRI"/>
    </sheetNames>
    <sheetDataSet>
      <sheetData sheetId="0"/>
      <sheetData sheetId="1">
        <row r="42">
          <cell r="I42" t="str">
            <v>Avoided Cost Resource</v>
          </cell>
        </row>
      </sheetData>
      <sheetData sheetId="2">
        <row r="5">
          <cell r="C5">
            <v>2020</v>
          </cell>
          <cell r="D5">
            <v>2021</v>
          </cell>
          <cell r="E5">
            <v>2022</v>
          </cell>
          <cell r="F5">
            <v>2023</v>
          </cell>
          <cell r="G5">
            <v>2024</v>
          </cell>
          <cell r="H5">
            <v>2025</v>
          </cell>
          <cell r="I5">
            <v>2026</v>
          </cell>
          <cell r="J5">
            <v>2027</v>
          </cell>
          <cell r="K5">
            <v>2028</v>
          </cell>
          <cell r="L5">
            <v>2029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401894.32415997982</v>
          </cell>
          <cell r="D7">
            <v>388538.41296002269</v>
          </cell>
          <cell r="E7">
            <v>531431.50044998527</v>
          </cell>
          <cell r="F7">
            <v>-84599.667680025101</v>
          </cell>
          <cell r="G7">
            <v>576494.18222001195</v>
          </cell>
          <cell r="H7">
            <v>614552.3182400167</v>
          </cell>
          <cell r="I7">
            <v>124071.24469000101</v>
          </cell>
          <cell r="J7">
            <v>220663.65570998192</v>
          </cell>
          <cell r="K7">
            <v>377892.47949001193</v>
          </cell>
          <cell r="L7">
            <v>462323.15545001626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-2644394.21</v>
          </cell>
          <cell r="D9">
            <v>-3601225.6119999997</v>
          </cell>
          <cell r="E9">
            <v>-3572471.9100000006</v>
          </cell>
          <cell r="F9">
            <v>-3349051.0600000005</v>
          </cell>
          <cell r="G9">
            <v>-2628459.2919999999</v>
          </cell>
          <cell r="H9">
            <v>-2787353.9850000003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-2739747.7242000103</v>
          </cell>
          <cell r="D11">
            <v>-2027469.5914700627</v>
          </cell>
          <cell r="E11">
            <v>-2134421.8069840372</v>
          </cell>
          <cell r="F11">
            <v>-1849196.9496960044</v>
          </cell>
          <cell r="G11">
            <v>-1303687.4621739686</v>
          </cell>
          <cell r="H11">
            <v>-1481737.4378350079</v>
          </cell>
          <cell r="I11">
            <v>-473604.52977985144</v>
          </cell>
          <cell r="J11">
            <v>-433375.01298007369</v>
          </cell>
          <cell r="K11">
            <v>-979836.32477992773</v>
          </cell>
          <cell r="L11">
            <v>-1206361.0099299848</v>
          </cell>
        </row>
        <row r="12">
          <cell r="C12">
            <v>0</v>
          </cell>
          <cell r="D12">
            <v>6038.7334936261177</v>
          </cell>
          <cell r="E12">
            <v>14690.3665561378</v>
          </cell>
          <cell r="F12">
            <v>21086.562152445316</v>
          </cell>
          <cell r="G12">
            <v>175457.02122405171</v>
          </cell>
          <cell r="H12">
            <v>159193.68073877692</v>
          </cell>
          <cell r="I12">
            <v>153494.21448558569</v>
          </cell>
          <cell r="J12">
            <v>145717.02311858535</v>
          </cell>
          <cell r="K12">
            <v>123675.48687714338</v>
          </cell>
          <cell r="L12">
            <v>86596.131902426481</v>
          </cell>
        </row>
        <row r="13">
          <cell r="C13">
            <v>-441.07257430255413</v>
          </cell>
          <cell r="D13">
            <v>243.90680399537086</v>
          </cell>
          <cell r="E13">
            <v>-165.10124599933624</v>
          </cell>
          <cell r="F13">
            <v>-152.78000000119209</v>
          </cell>
          <cell r="G13">
            <v>-959.30099999904633</v>
          </cell>
          <cell r="H13">
            <v>-1065.9689999967813</v>
          </cell>
          <cell r="I13">
            <v>-959.91699999570847</v>
          </cell>
          <cell r="J13">
            <v>333.12235000729561</v>
          </cell>
          <cell r="K13">
            <v>613.45170000195503</v>
          </cell>
          <cell r="L13">
            <v>251.02300000190735</v>
          </cell>
        </row>
        <row r="14">
          <cell r="C14">
            <v>-5472226.325807929</v>
          </cell>
          <cell r="D14">
            <v>-6767439.2763111591</v>
          </cell>
          <cell r="E14">
            <v>-7794241.3129826784</v>
          </cell>
          <cell r="F14">
            <v>-7761790.7452703714</v>
          </cell>
          <cell r="G14">
            <v>-5586276.4130352736</v>
          </cell>
          <cell r="H14">
            <v>-5648536.3535593748</v>
          </cell>
          <cell r="I14">
            <v>-3933771.2727261782</v>
          </cell>
          <cell r="J14">
            <v>-4398645.5129028559</v>
          </cell>
          <cell r="K14">
            <v>-4194163.5172655582</v>
          </cell>
          <cell r="L14">
            <v>-3722530.1240326166</v>
          </cell>
        </row>
        <row r="15">
          <cell r="C15">
            <v>-1234503.8976099491</v>
          </cell>
          <cell r="D15">
            <v>-1841441.9655900002</v>
          </cell>
          <cell r="E15">
            <v>-1503558.0737400055</v>
          </cell>
          <cell r="F15">
            <v>-1932980.1881099343</v>
          </cell>
          <cell r="G15">
            <v>-1722625.0407300293</v>
          </cell>
          <cell r="H15">
            <v>-1798539.8989999294</v>
          </cell>
          <cell r="I15">
            <v>-1718153.1105800271</v>
          </cell>
          <cell r="J15">
            <v>-1879549.6364800334</v>
          </cell>
          <cell r="K15">
            <v>-2093480.9424000382</v>
          </cell>
          <cell r="L15">
            <v>-2372512.6890399456</v>
          </cell>
        </row>
        <row r="16">
          <cell r="C16">
            <v>0</v>
          </cell>
          <cell r="D16">
            <v>-0.7712413999997807</v>
          </cell>
          <cell r="E16">
            <v>-33.876930899998115</v>
          </cell>
          <cell r="F16">
            <v>12545.933161199941</v>
          </cell>
          <cell r="G16">
            <v>-741.69524713999272</v>
          </cell>
          <cell r="H16">
            <v>3923.6189557044172</v>
          </cell>
          <cell r="I16">
            <v>-741.08781059900866</v>
          </cell>
          <cell r="J16">
            <v>-342.78808066100282</v>
          </cell>
          <cell r="K16">
            <v>-603.47012823998739</v>
          </cell>
          <cell r="L16">
            <v>-5886.0079859800062</v>
          </cell>
        </row>
        <row r="17">
          <cell r="C17">
            <v>0</v>
          </cell>
          <cell r="D17">
            <v>1339.3394209761173</v>
          </cell>
          <cell r="E17">
            <v>152.49347345018759</v>
          </cell>
          <cell r="F17">
            <v>2182.8732964023948</v>
          </cell>
          <cell r="G17">
            <v>1034368.8830386703</v>
          </cell>
          <cell r="H17">
            <v>1038557.4319866011</v>
          </cell>
          <cell r="I17">
            <v>-8560596.4599983469</v>
          </cell>
          <cell r="J17">
            <v>-9381954.4699548855</v>
          </cell>
          <cell r="K17">
            <v>-11668182.419909775</v>
          </cell>
          <cell r="L17">
            <v>-12302740.839465782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-2549.5522000000001</v>
          </cell>
          <cell r="I18">
            <v>0</v>
          </cell>
          <cell r="J18">
            <v>0</v>
          </cell>
          <cell r="K18">
            <v>-5113.6146000000299</v>
          </cell>
          <cell r="L18">
            <v>-8828.343200000003</v>
          </cell>
        </row>
        <row r="19">
          <cell r="C19">
            <v>-12493207.554352172</v>
          </cell>
          <cell r="D19">
            <v>-14618493.649854047</v>
          </cell>
          <cell r="E19">
            <v>-15521480.722304018</v>
          </cell>
          <cell r="F19">
            <v>-14772756.68678624</v>
          </cell>
          <cell r="G19">
            <v>-10609417.4821437</v>
          </cell>
          <cell r="H19">
            <v>-11132660.783153243</v>
          </cell>
          <cell r="I19">
            <v>-14658403.408099413</v>
          </cell>
          <cell r="J19">
            <v>-16168480.930639898</v>
          </cell>
          <cell r="K19">
            <v>-19194983.829996403</v>
          </cell>
          <cell r="L19">
            <v>-19994335.014201894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</row>
        <row r="22">
          <cell r="C22">
            <v>19372.580000000075</v>
          </cell>
          <cell r="D22">
            <v>23034.737700000405</v>
          </cell>
          <cell r="E22">
            <v>29425.206700000912</v>
          </cell>
          <cell r="F22">
            <v>16511.143799998797</v>
          </cell>
          <cell r="G22">
            <v>24141.967400000431</v>
          </cell>
          <cell r="H22">
            <v>23711.343499999493</v>
          </cell>
          <cell r="I22">
            <v>9738.3990000011399</v>
          </cell>
          <cell r="J22">
            <v>11919.334499999881</v>
          </cell>
          <cell r="K22">
            <v>17949.216599999927</v>
          </cell>
          <cell r="L22">
            <v>21304.167600001208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-78490.559679999991</v>
          </cell>
          <cell r="D24">
            <v>-76981.129920000007</v>
          </cell>
          <cell r="E24">
            <v>-75471.701599999986</v>
          </cell>
          <cell r="F24">
            <v>-75471.699200000003</v>
          </cell>
          <cell r="G24">
            <v>-54746.503551999995</v>
          </cell>
          <cell r="H24">
            <v>-57316.632838399993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-121992.84415800124</v>
          </cell>
          <cell r="D25">
            <v>-115339.69414000027</v>
          </cell>
          <cell r="E25">
            <v>-107846.17865549866</v>
          </cell>
          <cell r="F25">
            <v>-93246.754511799663</v>
          </cell>
          <cell r="G25">
            <v>-54874.331620499026</v>
          </cell>
          <cell r="H25">
            <v>-56395.203002960421</v>
          </cell>
          <cell r="I25">
            <v>-28641.149340098724</v>
          </cell>
          <cell r="J25">
            <v>-28240.08922459837</v>
          </cell>
          <cell r="K25">
            <v>-47456.621940003708</v>
          </cell>
          <cell r="L25">
            <v>-53041.586957998108</v>
          </cell>
        </row>
        <row r="26">
          <cell r="C26">
            <v>0</v>
          </cell>
          <cell r="D26">
            <v>-1561.5799158904701</v>
          </cell>
          <cell r="E26">
            <v>-4028.1890713805333</v>
          </cell>
          <cell r="F26">
            <v>-7189.5840224996209</v>
          </cell>
          <cell r="G26">
            <v>-46923.543572077993</v>
          </cell>
          <cell r="H26">
            <v>-45425.14907773491</v>
          </cell>
          <cell r="I26">
            <v>-41321.876195808873</v>
          </cell>
          <cell r="J26">
            <v>-38402.559453799389</v>
          </cell>
          <cell r="K26">
            <v>-37913.268202887848</v>
          </cell>
          <cell r="L26">
            <v>-30339.383852880914</v>
          </cell>
        </row>
        <row r="27">
          <cell r="C27">
            <v>-570499.0982439965</v>
          </cell>
          <cell r="D27">
            <v>-529395.05919799954</v>
          </cell>
          <cell r="E27">
            <v>-555617.36285800114</v>
          </cell>
          <cell r="F27">
            <v>-548658.61589299515</v>
          </cell>
          <cell r="G27">
            <v>-481391.27272799984</v>
          </cell>
          <cell r="H27">
            <v>-474823.42575199157</v>
          </cell>
          <cell r="I27">
            <v>-314936.56270900369</v>
          </cell>
          <cell r="J27">
            <v>-336734.72185999528</v>
          </cell>
          <cell r="K27">
            <v>-294979.95368700102</v>
          </cell>
          <cell r="L27">
            <v>-270657.52896099538</v>
          </cell>
        </row>
        <row r="28">
          <cell r="C28">
            <v>-88044.787679398432</v>
          </cell>
          <cell r="D28">
            <v>-129486.35874439962</v>
          </cell>
          <cell r="E28">
            <v>-103554.51113829762</v>
          </cell>
          <cell r="F28">
            <v>-134170.99561229907</v>
          </cell>
          <cell r="G28">
            <v>-115852.78733049892</v>
          </cell>
          <cell r="H28">
            <v>-114928.48680429906</v>
          </cell>
          <cell r="I28">
            <v>-106684.07579829916</v>
          </cell>
          <cell r="J28">
            <v>-106695.4396410007</v>
          </cell>
          <cell r="K28">
            <v>-108193.69785710052</v>
          </cell>
          <cell r="L28">
            <v>-113790.3710105028</v>
          </cell>
        </row>
        <row r="29">
          <cell r="C29">
            <v>0</v>
          </cell>
          <cell r="D29">
            <v>-0.77124140039086342</v>
          </cell>
          <cell r="E29">
            <v>-33.876930899918079</v>
          </cell>
          <cell r="F29">
            <v>-471.57255120016634</v>
          </cell>
          <cell r="G29">
            <v>-741.69524713978171</v>
          </cell>
          <cell r="H29">
            <v>-1083.7148733772337</v>
          </cell>
          <cell r="I29">
            <v>-741.08781060017645</v>
          </cell>
          <cell r="J29">
            <v>-342.78808066062629</v>
          </cell>
          <cell r="K29">
            <v>-603.47012824192643</v>
          </cell>
          <cell r="L29">
            <v>-6449.5597730800509</v>
          </cell>
        </row>
        <row r="30">
          <cell r="C30">
            <v>-1.4551915228366852E-11</v>
          </cell>
          <cell r="D30">
            <v>-201.0178049999231</v>
          </cell>
          <cell r="E30">
            <v>-22.88733000009961</v>
          </cell>
          <cell r="F30">
            <v>-279.71777659995132</v>
          </cell>
          <cell r="G30">
            <v>-99727.932475929192</v>
          </cell>
          <cell r="H30">
            <v>-102281.09250954734</v>
          </cell>
          <cell r="I30">
            <v>-373937.14254219085</v>
          </cell>
          <cell r="J30">
            <v>-353665.34115981683</v>
          </cell>
          <cell r="K30">
            <v>-371029.48089294136</v>
          </cell>
          <cell r="L30">
            <v>-380087.07403486595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-34.939746999999997</v>
          </cell>
          <cell r="I31">
            <v>0</v>
          </cell>
          <cell r="J31">
            <v>0</v>
          </cell>
          <cell r="K31">
            <v>-274.67939000000024</v>
          </cell>
          <cell r="L31">
            <v>-330.54122999999981</v>
          </cell>
        </row>
        <row r="32">
          <cell r="C32">
            <v>-878399.8697613962</v>
          </cell>
          <cell r="D32">
            <v>-876000.34866469062</v>
          </cell>
          <cell r="E32">
            <v>-875999.91428407887</v>
          </cell>
          <cell r="F32">
            <v>-876000.08336739242</v>
          </cell>
          <cell r="G32">
            <v>-878400.03392614517</v>
          </cell>
          <cell r="H32">
            <v>-875999.98810531001</v>
          </cell>
          <cell r="I32">
            <v>-876000.29339600261</v>
          </cell>
          <cell r="J32">
            <v>-876000.27391987108</v>
          </cell>
          <cell r="K32">
            <v>-878400.38869817625</v>
          </cell>
          <cell r="L32">
            <v>-876000.21342032438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C35">
            <v>20.745524042743831</v>
          </cell>
          <cell r="D35">
            <v>16.867498906228736</v>
          </cell>
          <cell r="E35">
            <v>18.060416902694818</v>
          </cell>
          <cell r="F35">
            <v>-5.1237920706638906</v>
          </cell>
          <cell r="G35">
            <v>23.879337283008745</v>
          </cell>
          <cell r="H35">
            <v>25.918072429764674</v>
          </cell>
          <cell r="I35">
            <v>12.740414999425109</v>
          </cell>
          <cell r="J35">
            <v>18.513085249011521</v>
          </cell>
          <cell r="K35">
            <v>21.053424665342412</v>
          </cell>
          <cell r="L35">
            <v>21.701066389000339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33.690602039034921</v>
          </cell>
          <cell r="D37">
            <v>46.780628132406598</v>
          </cell>
          <cell r="E37">
            <v>47.33525062061144</v>
          </cell>
          <cell r="F37">
            <v>44.374925906001074</v>
          </cell>
          <cell r="G37">
            <v>48.011455005585965</v>
          </cell>
          <cell r="H37">
            <v>48.630804828656608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22.458265836081143</v>
          </cell>
          <cell r="D39">
            <v>17.578246644291458</v>
          </cell>
          <cell r="E39">
            <v>19.791353143834467</v>
          </cell>
          <cell r="F39">
            <v>19.83122050067708</v>
          </cell>
          <cell r="G39">
            <v>23.757691869306687</v>
          </cell>
          <cell r="H39">
            <v>26.274175088211408</v>
          </cell>
          <cell r="I39">
            <v>16.535807420157774</v>
          </cell>
          <cell r="J39">
            <v>15.346092200111919</v>
          </cell>
          <cell r="K39">
            <v>20.646988443860806</v>
          </cell>
          <cell r="L39">
            <v>22.743682440822568</v>
          </cell>
        </row>
        <row r="40">
          <cell r="C40">
            <v>0</v>
          </cell>
          <cell r="D40">
            <v>-3.8670665728834059</v>
          </cell>
          <cell r="E40">
            <v>-3.6468910212059997</v>
          </cell>
          <cell r="F40">
            <v>-2.9329321538569486</v>
          </cell>
          <cell r="G40">
            <v>-3.7392108069275909</v>
          </cell>
          <cell r="H40">
            <v>-3.5045274252452709</v>
          </cell>
          <cell r="I40">
            <v>-3.7145993506740638</v>
          </cell>
          <cell r="J40">
            <v>-3.7944612336032386</v>
          </cell>
          <cell r="K40">
            <v>-3.2620634606151691</v>
          </cell>
          <cell r="L40">
            <v>-2.8542482049846782</v>
          </cell>
        </row>
        <row r="41">
          <cell r="C41">
            <v>9.5919982041190099</v>
          </cell>
          <cell r="D41">
            <v>12.783344231741427</v>
          </cell>
          <cell r="E41">
            <v>14.028073696060231</v>
          </cell>
          <cell r="F41">
            <v>14.146849280107091</v>
          </cell>
          <cell r="G41">
            <v>11.604440565318855</v>
          </cell>
          <cell r="H41">
            <v>11.896077672691959</v>
          </cell>
          <cell r="I41">
            <v>12.490678246085132</v>
          </cell>
          <cell r="J41">
            <v>13.062643164941237</v>
          </cell>
          <cell r="K41">
            <v>14.218469644604815</v>
          </cell>
          <cell r="L41">
            <v>13.753654436744203</v>
          </cell>
        </row>
        <row r="42">
          <cell r="C42">
            <v>14.021317219881379</v>
          </cell>
          <cell r="D42">
            <v>14.221127101310538</v>
          </cell>
          <cell r="E42">
            <v>14.519484059289271</v>
          </cell>
          <cell r="F42">
            <v>14.406840906923579</v>
          </cell>
          <cell r="G42">
            <v>14.869085849577468</v>
          </cell>
          <cell r="H42">
            <v>15.649208903815939</v>
          </cell>
          <cell r="I42">
            <v>16.105056895542972</v>
          </cell>
          <cell r="J42">
            <v>17.616025978281492</v>
          </cell>
          <cell r="K42">
            <v>19.349379713086936</v>
          </cell>
          <cell r="L42">
            <v>20.849854587616765</v>
          </cell>
        </row>
        <row r="43">
          <cell r="C43">
            <v>0</v>
          </cell>
          <cell r="D43">
            <v>0.99999999949291785</v>
          </cell>
          <cell r="E43">
            <v>1.0000000000023626</v>
          </cell>
          <cell r="F43">
            <v>-26.60446018172636</v>
          </cell>
          <cell r="G43">
            <v>1.0000000000002844</v>
          </cell>
          <cell r="H43">
            <v>-3.6205269966232456</v>
          </cell>
          <cell r="I43">
            <v>0.99999999999842426</v>
          </cell>
          <cell r="J43">
            <v>1.0000000000010985</v>
          </cell>
          <cell r="K43">
            <v>0.99999999999678679</v>
          </cell>
          <cell r="L43">
            <v>0.91262166614033646</v>
          </cell>
        </row>
        <row r="44">
          <cell r="C44">
            <v>0</v>
          </cell>
          <cell r="D44">
            <v>-6.6627900000033806</v>
          </cell>
          <cell r="E44">
            <v>-6.6627899999486138</v>
          </cell>
          <cell r="F44">
            <v>-7.8038418685284752</v>
          </cell>
          <cell r="G44">
            <v>-10.371907422108951</v>
          </cell>
          <cell r="H44">
            <v>-10.153953252793599</v>
          </cell>
          <cell r="I44">
            <v>22.893142953918961</v>
          </cell>
          <cell r="J44">
            <v>26.527774644774425</v>
          </cell>
          <cell r="K44">
            <v>31.448127496037355</v>
          </cell>
          <cell r="L44">
            <v>32.368216863742212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72.969967412757754</v>
          </cell>
          <cell r="I45">
            <v>0</v>
          </cell>
          <cell r="J45">
            <v>0</v>
          </cell>
          <cell r="K45">
            <v>18.616666507086773</v>
          </cell>
          <cell r="L45">
            <v>26.70875037283551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14.222688304525546</v>
          </cell>
          <cell r="D47">
            <v>16.687771497051781</v>
          </cell>
          <cell r="E47">
            <v>17.71858703318382</v>
          </cell>
          <cell r="F47">
            <v>16.863875891425664</v>
          </cell>
          <cell r="G47">
            <v>12.078115974931448</v>
          </cell>
          <cell r="H47">
            <v>12.708517048307208</v>
          </cell>
          <cell r="I47">
            <v>16.733331619414162</v>
          </cell>
          <cell r="J47">
            <v>18.457164240703023</v>
          </cell>
          <cell r="K47">
            <v>21.852203251462718</v>
          </cell>
          <cell r="L47">
            <v>22.824577788782076</v>
          </cell>
        </row>
      </sheetData>
      <sheetData sheetId="3">
        <row r="4">
          <cell r="B4" t="str">
            <v>Year</v>
          </cell>
        </row>
      </sheetData>
      <sheetData sheetId="4"/>
      <sheetData sheetId="5"/>
      <sheetData sheetId="6"/>
      <sheetData sheetId="7">
        <row r="1">
          <cell r="A1" t="str">
            <v>PacifiCorp</v>
          </cell>
        </row>
      </sheetData>
      <sheetData sheetId="8">
        <row r="3">
          <cell r="F3">
            <v>43831</v>
          </cell>
        </row>
      </sheetData>
      <sheetData sheetId="9"/>
      <sheetData sheetId="10"/>
      <sheetData sheetId="11"/>
      <sheetData sheetId="12">
        <row r="1">
          <cell r="D1">
            <v>2020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  <sheetName val="012"/>
    </sheetNames>
    <sheetDataSet>
      <sheetData sheetId="0"/>
      <sheetData sheetId="1"/>
      <sheetData sheetId="2">
        <row r="5">
          <cell r="C5">
            <v>2030</v>
          </cell>
          <cell r="D5">
            <v>2031</v>
          </cell>
          <cell r="E5">
            <v>2032</v>
          </cell>
          <cell r="F5">
            <v>2033</v>
          </cell>
          <cell r="G5">
            <v>2034</v>
          </cell>
          <cell r="H5">
            <v>2035</v>
          </cell>
          <cell r="I5">
            <v>2036</v>
          </cell>
          <cell r="J5">
            <v>2037</v>
          </cell>
          <cell r="K5">
            <v>2038</v>
          </cell>
          <cell r="L5">
            <v>2039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628117.5165399909</v>
          </cell>
          <cell r="D7">
            <v>605517.50160002708</v>
          </cell>
          <cell r="E7">
            <v>726674.27039003372</v>
          </cell>
          <cell r="F7">
            <v>692919.40479999781</v>
          </cell>
          <cell r="G7">
            <v>860419.12199002504</v>
          </cell>
          <cell r="H7">
            <v>830533.36764001846</v>
          </cell>
          <cell r="I7">
            <v>1437828.851450026</v>
          </cell>
          <cell r="J7">
            <v>1691470.4274600148</v>
          </cell>
          <cell r="K7">
            <v>2757087.1475200057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15.619236348356822</v>
          </cell>
          <cell r="G10">
            <v>32.033692333893782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-2377699.1405199766</v>
          </cell>
          <cell r="D11">
            <v>-2586992.1875300407</v>
          </cell>
          <cell r="E11">
            <v>-2488406.4557600319</v>
          </cell>
          <cell r="F11">
            <v>-2531243.9991398603</v>
          </cell>
          <cell r="G11">
            <v>-2816949.0565499663</v>
          </cell>
          <cell r="H11">
            <v>-2921894.4308999181</v>
          </cell>
          <cell r="I11">
            <v>-3238579.0627600253</v>
          </cell>
          <cell r="J11">
            <v>-3356152.7579000145</v>
          </cell>
          <cell r="K11">
            <v>-4448571.9624000788</v>
          </cell>
          <cell r="L11">
            <v>0</v>
          </cell>
        </row>
        <row r="12">
          <cell r="C12">
            <v>106319.79137051105</v>
          </cell>
          <cell r="D12">
            <v>-3185.0110977888107</v>
          </cell>
          <cell r="E12">
            <v>-8070.2324155271053</v>
          </cell>
          <cell r="F12">
            <v>-9781.3918090313673</v>
          </cell>
          <cell r="G12">
            <v>-6415.4299731850624</v>
          </cell>
          <cell r="H12">
            <v>-7087.1335572600365</v>
          </cell>
          <cell r="I12">
            <v>-4390.6772401034832</v>
          </cell>
          <cell r="J12">
            <v>-6843.2161721438169</v>
          </cell>
          <cell r="K12">
            <v>-6781.1421476602554</v>
          </cell>
          <cell r="L12">
            <v>0</v>
          </cell>
        </row>
        <row r="13">
          <cell r="C13">
            <v>1018.4050000011921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#N/A</v>
          </cell>
        </row>
        <row r="14">
          <cell r="C14">
            <v>-2741837.9644409418</v>
          </cell>
          <cell r="D14">
            <v>-3295250.9940621257</v>
          </cell>
          <cell r="E14">
            <v>-5751453.3210009933</v>
          </cell>
          <cell r="F14">
            <v>-6209784.2363599539</v>
          </cell>
          <cell r="G14">
            <v>-6618205.786879003</v>
          </cell>
          <cell r="H14">
            <v>-6433804.0653532147</v>
          </cell>
          <cell r="I14">
            <v>-6657157.5098221898</v>
          </cell>
          <cell r="J14">
            <v>-4919980.0071600676</v>
          </cell>
          <cell r="K14">
            <v>-3082293.1799060106</v>
          </cell>
          <cell r="L14">
            <v>0</v>
          </cell>
        </row>
        <row r="15">
          <cell r="C15">
            <v>-1962931.3137398958</v>
          </cell>
          <cell r="D15">
            <v>-2170255.9103299975</v>
          </cell>
          <cell r="E15">
            <v>-2333495.9075799584</v>
          </cell>
          <cell r="F15">
            <v>-2621674.3469799757</v>
          </cell>
          <cell r="G15">
            <v>-2856224.0114899874</v>
          </cell>
          <cell r="H15">
            <v>-3016643.0412399769</v>
          </cell>
          <cell r="I15">
            <v>-3311970.1239100099</v>
          </cell>
          <cell r="J15">
            <v>-3128195.1193700433</v>
          </cell>
          <cell r="K15">
            <v>-3781922.8241199255</v>
          </cell>
          <cell r="L15">
            <v>0</v>
          </cell>
        </row>
        <row r="16">
          <cell r="C16">
            <v>-43229.890107865722</v>
          </cell>
          <cell r="D16">
            <v>-81066.622101898087</v>
          </cell>
          <cell r="E16">
            <v>-82811.124470951196</v>
          </cell>
          <cell r="F16">
            <v>-83136.161409283086</v>
          </cell>
          <cell r="G16">
            <v>-60297.636645480736</v>
          </cell>
          <cell r="H16">
            <v>-57505.166008519955</v>
          </cell>
          <cell r="I16">
            <v>-49010.661537210006</v>
          </cell>
          <cell r="J16">
            <v>-48778.774008776003</v>
          </cell>
          <cell r="K16">
            <v>-45688.916849429988</v>
          </cell>
          <cell r="L16">
            <v>0</v>
          </cell>
        </row>
        <row r="17">
          <cell r="C17">
            <v>-11756684.418388665</v>
          </cell>
          <cell r="D17">
            <v>-14180550.034995317</v>
          </cell>
          <cell r="E17">
            <v>-15867559.760544628</v>
          </cell>
          <cell r="F17">
            <v>-15439517.755398303</v>
          </cell>
          <cell r="G17">
            <v>-15527926.295906186</v>
          </cell>
          <cell r="H17">
            <v>-17120229.898834616</v>
          </cell>
          <cell r="I17">
            <v>-16867895.037044168</v>
          </cell>
          <cell r="J17">
            <v>-20290761.908172369</v>
          </cell>
          <cell r="K17">
            <v>-21734520.568858981</v>
          </cell>
          <cell r="L17">
            <v>0</v>
          </cell>
        </row>
        <row r="18">
          <cell r="C18">
            <v>-4741.4023299999826</v>
          </cell>
          <cell r="D18">
            <v>-8883.9984000000404</v>
          </cell>
          <cell r="E18">
            <v>-3110.9060000000172</v>
          </cell>
          <cell r="F18">
            <v>-7040.7854000000516</v>
          </cell>
          <cell r="G18">
            <v>-8237.8291000002064</v>
          </cell>
          <cell r="H18">
            <v>-9840.4386000001105</v>
          </cell>
          <cell r="I18">
            <v>-12550.753260000376</v>
          </cell>
          <cell r="J18">
            <v>-13866.631039999891</v>
          </cell>
          <cell r="K18">
            <v>-77545.398930000141</v>
          </cell>
          <cell r="L18">
            <v>0</v>
          </cell>
        </row>
        <row r="19">
          <cell r="C19">
            <v>-19407903.449696824</v>
          </cell>
          <cell r="D19">
            <v>-22931702.260117192</v>
          </cell>
          <cell r="E19">
            <v>-27261581.978162121</v>
          </cell>
          <cell r="F19">
            <v>-27595082.462060057</v>
          </cell>
          <cell r="G19">
            <v>-28754643.134841502</v>
          </cell>
          <cell r="H19">
            <v>-30397537.542133525</v>
          </cell>
          <cell r="I19">
            <v>-31579382.677023731</v>
          </cell>
          <cell r="J19">
            <v>-33456048.841283426</v>
          </cell>
          <cell r="K19">
            <v>-35934411.140732095</v>
          </cell>
          <cell r="L19" t="e">
            <v>#N/A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e">
            <v>#N/A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e">
            <v>#N/A</v>
          </cell>
        </row>
        <row r="22">
          <cell r="C22">
            <v>23892.995800000615</v>
          </cell>
          <cell r="D22">
            <v>22296.258999999613</v>
          </cell>
          <cell r="E22">
            <v>24730.9944000002</v>
          </cell>
          <cell r="F22">
            <v>22865.718400000595</v>
          </cell>
          <cell r="G22">
            <v>27461.353400001302</v>
          </cell>
          <cell r="H22">
            <v>25646.454200000502</v>
          </cell>
          <cell r="I22">
            <v>43294.149600000121</v>
          </cell>
          <cell r="J22">
            <v>46353.269800000824</v>
          </cell>
          <cell r="K22">
            <v>65047.694599999115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-87448.928987002466</v>
          </cell>
          <cell r="D25">
            <v>-89732.287911000196</v>
          </cell>
          <cell r="E25">
            <v>-83043.175933997612</v>
          </cell>
          <cell r="F25">
            <v>-81826.946287999395</v>
          </cell>
          <cell r="G25">
            <v>-84190.890156000387</v>
          </cell>
          <cell r="H25">
            <v>-87959.832152997609</v>
          </cell>
          <cell r="I25">
            <v>-93191.502500001341</v>
          </cell>
          <cell r="J25">
            <v>-95337.389591997955</v>
          </cell>
          <cell r="K25">
            <v>-111399.42907999875</v>
          </cell>
          <cell r="L25">
            <v>0</v>
          </cell>
        </row>
        <row r="26">
          <cell r="C26">
            <v>-29575.652626659255</v>
          </cell>
          <cell r="D26">
            <v>-15401.232488223817</v>
          </cell>
          <cell r="E26">
            <v>-13839.824087489862</v>
          </cell>
          <cell r="F26">
            <v>-12405.889900970738</v>
          </cell>
          <cell r="G26">
            <v>-6415.4299731799401</v>
          </cell>
          <cell r="H26">
            <v>-7087.1335572698154</v>
          </cell>
          <cell r="I26">
            <v>-4390.6772400997579</v>
          </cell>
          <cell r="J26">
            <v>-6843.2161721601151</v>
          </cell>
          <cell r="K26">
            <v>-6781.1421476597898</v>
          </cell>
          <cell r="L26">
            <v>0</v>
          </cell>
        </row>
        <row r="27">
          <cell r="C27">
            <v>-254982.81588299945</v>
          </cell>
          <cell r="D27">
            <v>-246803.48376700096</v>
          </cell>
          <cell r="E27">
            <v>-239061.70348500274</v>
          </cell>
          <cell r="F27">
            <v>-242992.75281799771</v>
          </cell>
          <cell r="G27">
            <v>-251329.42252599448</v>
          </cell>
          <cell r="H27">
            <v>-239287.37266799994</v>
          </cell>
          <cell r="I27">
            <v>-240464.18143000081</v>
          </cell>
          <cell r="J27">
            <v>-169570.13161600195</v>
          </cell>
          <cell r="K27">
            <v>-117052.71515000053</v>
          </cell>
          <cell r="L27">
            <v>0</v>
          </cell>
        </row>
        <row r="28">
          <cell r="C28">
            <v>-77294.871717499569</v>
          </cell>
          <cell r="D28">
            <v>-80408.134449502453</v>
          </cell>
          <cell r="E28">
            <v>-81960.601835500449</v>
          </cell>
          <cell r="F28">
            <v>-91064.246069999412</v>
          </cell>
          <cell r="G28">
            <v>-93523.157466001809</v>
          </cell>
          <cell r="H28">
            <v>-95785.384484998882</v>
          </cell>
          <cell r="I28">
            <v>-103587.56085999683</v>
          </cell>
          <cell r="J28">
            <v>-89696.974247999489</v>
          </cell>
          <cell r="K28">
            <v>-102081.36915699951</v>
          </cell>
          <cell r="L28">
            <v>0</v>
          </cell>
        </row>
        <row r="29">
          <cell r="C29">
            <v>-49874.154397533275</v>
          </cell>
          <cell r="D29">
            <v>-90326.168362236582</v>
          </cell>
          <cell r="E29">
            <v>-92257.447209610604</v>
          </cell>
          <cell r="F29">
            <v>-89934.861463384703</v>
          </cell>
          <cell r="G29">
            <v>-60426.693751900457</v>
          </cell>
          <cell r="H29">
            <v>-57253.665122520179</v>
          </cell>
          <cell r="I29">
            <v>-49027.864977211691</v>
          </cell>
          <cell r="J29">
            <v>-48505.652440775186</v>
          </cell>
          <cell r="K29">
            <v>-45766.614342429675</v>
          </cell>
          <cell r="L29">
            <v>0</v>
          </cell>
        </row>
        <row r="30">
          <cell r="C30">
            <v>-352785.23407063819</v>
          </cell>
          <cell r="D30">
            <v>-330703.5358395949</v>
          </cell>
          <cell r="E30">
            <v>-343477.13709421456</v>
          </cell>
          <cell r="F30">
            <v>-334836.19698545337</v>
          </cell>
          <cell r="G30">
            <v>-352496.21726184338</v>
          </cell>
          <cell r="H30">
            <v>-362807.32724875584</v>
          </cell>
          <cell r="I30">
            <v>-344249.46158779785</v>
          </cell>
          <cell r="J30">
            <v>-419374.30255040154</v>
          </cell>
          <cell r="K30">
            <v>-425792.33410677314</v>
          </cell>
          <cell r="L30">
            <v>0</v>
          </cell>
        </row>
        <row r="31">
          <cell r="C31">
            <v>-145.28613500000029</v>
          </cell>
          <cell r="D31">
            <v>-328.93177600000013</v>
          </cell>
          <cell r="E31">
            <v>-28.994793999999274</v>
          </cell>
          <cell r="F31">
            <v>-73.389123000000836</v>
          </cell>
          <cell r="G31">
            <v>-156.71433499999966</v>
          </cell>
          <cell r="H31">
            <v>-172.84573700000146</v>
          </cell>
          <cell r="I31">
            <v>-194.52191520000088</v>
          </cell>
          <cell r="J31">
            <v>-319.13440200000059</v>
          </cell>
          <cell r="K31">
            <v>-2078.8161175000023</v>
          </cell>
          <cell r="L31">
            <v>0</v>
          </cell>
        </row>
        <row r="32">
          <cell r="C32">
            <v>-875999.93961733277</v>
          </cell>
          <cell r="D32">
            <v>-876000.03359355847</v>
          </cell>
          <cell r="E32">
            <v>-878399.87883981608</v>
          </cell>
          <cell r="F32">
            <v>-876000.00104880589</v>
          </cell>
          <cell r="G32">
            <v>-875999.87886992178</v>
          </cell>
          <cell r="H32">
            <v>-876000.01517154276</v>
          </cell>
          <cell r="I32">
            <v>-878399.92011030845</v>
          </cell>
          <cell r="J32">
            <v>-876000.07082133705</v>
          </cell>
          <cell r="K32">
            <v>-876000.11470136046</v>
          </cell>
          <cell r="L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C35">
            <v>26.288771897744809</v>
          </cell>
          <cell r="D35">
            <v>27.15780712809434</v>
          </cell>
          <cell r="E35">
            <v>29.38313998364853</v>
          </cell>
          <cell r="F35">
            <v>30.303854559845352</v>
          </cell>
          <cell r="G35">
            <v>31.331999900266542</v>
          </cell>
          <cell r="H35">
            <v>32.383945209860713</v>
          </cell>
          <cell r="I35">
            <v>33.210696242663282</v>
          </cell>
          <cell r="J35">
            <v>36.490854577425836</v>
          </cell>
          <cell r="K35">
            <v>42.385624340328938</v>
          </cell>
          <cell r="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1.7830178458511901E-5</v>
          </cell>
          <cell r="G38">
            <v>3.6568146990178411E-5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27.189574167036099</v>
          </cell>
          <cell r="D39">
            <v>28.830115087402156</v>
          </cell>
          <cell r="E39">
            <v>29.965213008445239</v>
          </cell>
          <cell r="F39">
            <v>30.934112953828858</v>
          </cell>
          <cell r="G39">
            <v>33.459072012783544</v>
          </cell>
          <cell r="H39">
            <v>33.218508487119045</v>
          </cell>
          <cell r="I39">
            <v>34.751870888228019</v>
          </cell>
          <cell r="J39">
            <v>35.202901739421129</v>
          </cell>
          <cell r="K39">
            <v>39.933525684457919</v>
          </cell>
          <cell r="L39">
            <v>0</v>
          </cell>
        </row>
        <row r="40">
          <cell r="C40">
            <v>-3.5948417677409172</v>
          </cell>
          <cell r="D40">
            <v>0.20680235170945915</v>
          </cell>
          <cell r="E40">
            <v>0.58311669024911783</v>
          </cell>
          <cell r="F40">
            <v>0.78844741385831507</v>
          </cell>
          <cell r="G40">
            <v>1.0000000000007985</v>
          </cell>
          <cell r="H40">
            <v>0.99999999999862021</v>
          </cell>
          <cell r="I40">
            <v>1.0000000000008484</v>
          </cell>
          <cell r="J40">
            <v>0.99999999999761835</v>
          </cell>
          <cell r="K40">
            <v>1.0000000000000686</v>
          </cell>
          <cell r="L40">
            <v>0</v>
          </cell>
        </row>
        <row r="41">
          <cell r="C41">
            <v>10.753030375580495</v>
          </cell>
          <cell r="D41">
            <v>13.351719934282061</v>
          </cell>
          <cell r="E41">
            <v>24.058446991539171</v>
          </cell>
          <cell r="F41">
            <v>25.555429799221628</v>
          </cell>
          <cell r="G41">
            <v>26.332793512046905</v>
          </cell>
          <cell r="H41">
            <v>26.887353033374719</v>
          </cell>
          <cell r="I41">
            <v>27.684611779738557</v>
          </cell>
          <cell r="J41">
            <v>29.014425832383917</v>
          </cell>
          <cell r="K41">
            <v>26.332521855269384</v>
          </cell>
          <cell r="L41">
            <v>0</v>
          </cell>
        </row>
        <row r="42">
          <cell r="C42">
            <v>25.395362850385428</v>
          </cell>
          <cell r="D42">
            <v>26.990501958392677</v>
          </cell>
          <cell r="E42">
            <v>28.470946470883856</v>
          </cell>
          <cell r="F42">
            <v>28.789282952661168</v>
          </cell>
          <cell r="G42">
            <v>30.540286372691192</v>
          </cell>
          <cell r="H42">
            <v>31.493771805159049</v>
          </cell>
          <cell r="I42">
            <v>31.972662512888821</v>
          </cell>
          <cell r="J42">
            <v>34.875146520784803</v>
          </cell>
          <cell r="K42">
            <v>37.048120096267404</v>
          </cell>
          <cell r="L42">
            <v>0</v>
          </cell>
        </row>
        <row r="43">
          <cell r="C43">
            <v>0.86677940969769762</v>
          </cell>
          <cell r="D43">
            <v>0.89748766688292614</v>
          </cell>
          <cell r="E43">
            <v>0.89760910339089273</v>
          </cell>
          <cell r="F43">
            <v>0.92440417493866289</v>
          </cell>
          <cell r="G43">
            <v>0.99786423683960601</v>
          </cell>
          <cell r="H43">
            <v>1.0043927473544545</v>
          </cell>
          <cell r="I43">
            <v>0.9996491089299997</v>
          </cell>
          <cell r="J43">
            <v>1.0056307163033071</v>
          </cell>
          <cell r="K43">
            <v>0.99830231066649699</v>
          </cell>
          <cell r="L43">
            <v>0</v>
          </cell>
        </row>
        <row r="44">
          <cell r="C44">
            <v>33.325330209355144</v>
          </cell>
          <cell r="D44">
            <v>42.879946835142036</v>
          </cell>
          <cell r="E44">
            <v>46.196844118309428</v>
          </cell>
          <cell r="F44">
            <v>46.110659165290478</v>
          </cell>
          <cell r="G44">
            <v>44.051327462534552</v>
          </cell>
          <cell r="H44">
            <v>47.18821427522127</v>
          </cell>
          <cell r="I44">
            <v>48.999045515550229</v>
          </cell>
          <cell r="J44">
            <v>48.383417354795533</v>
          </cell>
          <cell r="K44">
            <v>51.0448846253976</v>
          </cell>
          <cell r="L44">
            <v>0</v>
          </cell>
        </row>
        <row r="45">
          <cell r="C45">
            <v>32.634926450483199</v>
          </cell>
          <cell r="D45">
            <v>27.008635371244999</v>
          </cell>
          <cell r="E45">
            <v>107.29188143223557</v>
          </cell>
          <cell r="F45">
            <v>95.937723632423996</v>
          </cell>
          <cell r="G45">
            <v>52.565893860317402</v>
          </cell>
          <cell r="H45">
            <v>56.931913802421562</v>
          </cell>
          <cell r="I45">
            <v>64.521024518477077</v>
          </cell>
          <cell r="J45">
            <v>43.450756023475854</v>
          </cell>
          <cell r="K45">
            <v>37.302673515566511</v>
          </cell>
          <cell r="L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22.155142451465089</v>
          </cell>
          <cell r="D47">
            <v>26.1777413021846</v>
          </cell>
          <cell r="E47">
            <v>31.035502889833058</v>
          </cell>
          <cell r="F47">
            <v>31.501235649567779</v>
          </cell>
          <cell r="G47">
            <v>32.824939624348183</v>
          </cell>
          <cell r="H47">
            <v>34.700384721090359</v>
          </cell>
          <cell r="I47">
            <v>35.951030907491464</v>
          </cell>
          <cell r="J47">
            <v>38.19183348914008</v>
          </cell>
          <cell r="K47">
            <v>41.021011912746829</v>
          </cell>
          <cell r="L4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  <sheetName val="012"/>
    </sheetNames>
    <sheetDataSet>
      <sheetData sheetId="0"/>
      <sheetData sheetId="1"/>
      <sheetData sheetId="2">
        <row r="5">
          <cell r="C5">
            <v>2030</v>
          </cell>
          <cell r="D5">
            <v>2031</v>
          </cell>
          <cell r="E5">
            <v>2032</v>
          </cell>
          <cell r="F5">
            <v>2033</v>
          </cell>
          <cell r="G5">
            <v>2034</v>
          </cell>
          <cell r="H5">
            <v>2035</v>
          </cell>
          <cell r="I5">
            <v>2036</v>
          </cell>
          <cell r="J5">
            <v>2037</v>
          </cell>
          <cell r="K5">
            <v>2038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C7">
            <v>394427.18782001734</v>
          </cell>
          <cell r="D7">
            <v>488021.8992099762</v>
          </cell>
          <cell r="E7">
            <v>429704.00083994865</v>
          </cell>
          <cell r="F7">
            <v>566585.19823002815</v>
          </cell>
          <cell r="G7">
            <v>590792.81417995691</v>
          </cell>
          <cell r="H7">
            <v>700010.46383994818</v>
          </cell>
          <cell r="I7">
            <v>1087495.3871800303</v>
          </cell>
          <cell r="J7">
            <v>1150952.3310200572</v>
          </cell>
          <cell r="K7">
            <v>1619738.0144799352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C11">
            <v>-1035244.7880599797</v>
          </cell>
          <cell r="D11">
            <v>-1222856.4554901123</v>
          </cell>
          <cell r="E11">
            <v>-1152446.1867000014</v>
          </cell>
          <cell r="F11">
            <v>-1096128.4915899634</v>
          </cell>
          <cell r="G11">
            <v>-1330426.0602799803</v>
          </cell>
          <cell r="H11">
            <v>-1390746.3364099562</v>
          </cell>
          <cell r="I11">
            <v>-1762062.249630034</v>
          </cell>
          <cell r="J11">
            <v>-1953796.2789500803</v>
          </cell>
          <cell r="K11">
            <v>-2666683.7374999523</v>
          </cell>
        </row>
        <row r="12">
          <cell r="C12">
            <v>109167.95436838269</v>
          </cell>
          <cell r="D12">
            <v>532.16335475444794</v>
          </cell>
          <cell r="E12">
            <v>-7571.6256593316793</v>
          </cell>
          <cell r="F12">
            <v>-6453.5125693678856</v>
          </cell>
          <cell r="G12">
            <v>-7371.1360114663839</v>
          </cell>
          <cell r="H12">
            <v>-7709.4002175033092</v>
          </cell>
          <cell r="I12">
            <v>-4418.5675929188728</v>
          </cell>
          <cell r="J12">
            <v>-6230.5484485179186</v>
          </cell>
          <cell r="K12">
            <v>-2793.599915266037</v>
          </cell>
        </row>
        <row r="13">
          <cell r="C13">
            <v>-162.47179000079632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>
            <v>-2555604.8389439583</v>
          </cell>
          <cell r="D14">
            <v>-2998345.947222054</v>
          </cell>
          <cell r="E14">
            <v>-5199970.3093110323</v>
          </cell>
          <cell r="F14">
            <v>-5550900.8438700438</v>
          </cell>
          <cell r="G14">
            <v>-5899603.715988934</v>
          </cell>
          <cell r="H14">
            <v>-5702666.4737331867</v>
          </cell>
          <cell r="I14">
            <v>-6213916.4898821115</v>
          </cell>
          <cell r="J14">
            <v>-4885563.3660600781</v>
          </cell>
          <cell r="K14">
            <v>-3501432.8855058849</v>
          </cell>
        </row>
        <row r="15">
          <cell r="C15">
            <v>-2004243.1663300395</v>
          </cell>
          <cell r="D15">
            <v>-2158497.9620199203</v>
          </cell>
          <cell r="E15">
            <v>-1995527.4665300846</v>
          </cell>
          <cell r="F15">
            <v>-2351699.0193799734</v>
          </cell>
          <cell r="G15">
            <v>-2626144.3069200516</v>
          </cell>
          <cell r="H15">
            <v>-2952766.8020499349</v>
          </cell>
          <cell r="I15">
            <v>-3085883.227330029</v>
          </cell>
          <cell r="J15">
            <v>-2751810.6527500153</v>
          </cell>
          <cell r="K15">
            <v>-3539622.9083200097</v>
          </cell>
        </row>
        <row r="16">
          <cell r="C16">
            <v>-41071.503186036352</v>
          </cell>
          <cell r="D16">
            <v>-85890.538021684129</v>
          </cell>
          <cell r="E16">
            <v>-85846.769485413766</v>
          </cell>
          <cell r="F16">
            <v>-80466.811090541858</v>
          </cell>
          <cell r="G16">
            <v>-57269.706804042034</v>
          </cell>
          <cell r="H16">
            <v>-59195.938261869931</v>
          </cell>
          <cell r="I16">
            <v>-51179.164215120007</v>
          </cell>
          <cell r="J16">
            <v>-49463.459699975087</v>
          </cell>
          <cell r="K16">
            <v>-37607.291585008061</v>
          </cell>
        </row>
        <row r="17">
          <cell r="C17">
            <v>-12274007.310204893</v>
          </cell>
          <cell r="D17">
            <v>-13750618.701637089</v>
          </cell>
          <cell r="E17">
            <v>-15620755.354899973</v>
          </cell>
          <cell r="F17">
            <v>-16256227.306995898</v>
          </cell>
          <cell r="G17">
            <v>-16462121.983491987</v>
          </cell>
          <cell r="H17">
            <v>-17791631.722394198</v>
          </cell>
          <cell r="I17">
            <v>-18336018.978304118</v>
          </cell>
          <cell r="J17">
            <v>-20709101.508903861</v>
          </cell>
          <cell r="K17">
            <v>-22012779.388030529</v>
          </cell>
        </row>
        <row r="18">
          <cell r="C18">
            <v>-2409.132099999988</v>
          </cell>
          <cell r="D18">
            <v>-8511.922900000005</v>
          </cell>
          <cell r="E18">
            <v>-4170.5217000000412</v>
          </cell>
          <cell r="F18">
            <v>-7856.6159999999218</v>
          </cell>
          <cell r="G18">
            <v>-7012.6043999998365</v>
          </cell>
          <cell r="H18">
            <v>-10509.153999999864</v>
          </cell>
          <cell r="I18">
            <v>-14465.039620000171</v>
          </cell>
          <cell r="J18">
            <v>-16626.922600000165</v>
          </cell>
          <cell r="K18">
            <v>-71298.277699999977</v>
          </cell>
        </row>
        <row r="19">
          <cell r="C19">
            <v>-18198002.444066543</v>
          </cell>
          <cell r="D19">
            <v>-20712211.26314608</v>
          </cell>
          <cell r="E19">
            <v>-24495992.235125784</v>
          </cell>
          <cell r="F19">
            <v>-25916317.799725819</v>
          </cell>
          <cell r="G19">
            <v>-26980742.328076422</v>
          </cell>
          <cell r="H19">
            <v>-28615236.290906597</v>
          </cell>
          <cell r="I19">
            <v>-30555439.10375436</v>
          </cell>
          <cell r="J19">
            <v>-31523545.068432584</v>
          </cell>
          <cell r="K19">
            <v>-33451956.103036582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</row>
        <row r="22">
          <cell r="C22">
            <v>17276.513099999167</v>
          </cell>
          <cell r="D22">
            <v>19055.519199999981</v>
          </cell>
          <cell r="E22">
            <v>18504.360200000927</v>
          </cell>
          <cell r="F22">
            <v>22344.710399999283</v>
          </cell>
          <cell r="G22">
            <v>22209.422299999744</v>
          </cell>
          <cell r="H22">
            <v>25149.620099999942</v>
          </cell>
          <cell r="I22">
            <v>36921.028099998832</v>
          </cell>
          <cell r="J22">
            <v>35175.884899999015</v>
          </cell>
          <cell r="K22">
            <v>45198.374799999408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C25">
            <v>-42032.03117499873</v>
          </cell>
          <cell r="D25">
            <v>-48769.841274002567</v>
          </cell>
          <cell r="E25">
            <v>-46144.098049998749</v>
          </cell>
          <cell r="F25">
            <v>-41500.959678999614</v>
          </cell>
          <cell r="G25">
            <v>-46786.902589996811</v>
          </cell>
          <cell r="H25">
            <v>-49571.295642000157</v>
          </cell>
          <cell r="I25">
            <v>-57882.027954996098</v>
          </cell>
          <cell r="J25">
            <v>-61561.065491999034</v>
          </cell>
          <cell r="K25">
            <v>-76352.012120003346</v>
          </cell>
        </row>
        <row r="26">
          <cell r="C26">
            <v>-28120.370236426592</v>
          </cell>
          <cell r="D26">
            <v>-14425.409548720345</v>
          </cell>
          <cell r="E26">
            <v>-15576.985401575919</v>
          </cell>
          <cell r="F26">
            <v>-11613.076632775832</v>
          </cell>
          <cell r="G26">
            <v>-7371.1360114705749</v>
          </cell>
          <cell r="H26">
            <v>-7709.4002174991183</v>
          </cell>
          <cell r="I26">
            <v>-4418.5675929202698</v>
          </cell>
          <cell r="J26">
            <v>-6230.5484485137276</v>
          </cell>
          <cell r="K26">
            <v>-2793.5999152599834</v>
          </cell>
        </row>
        <row r="27">
          <cell r="C27">
            <v>-240380.17781399935</v>
          </cell>
          <cell r="D27">
            <v>-232671.12451600097</v>
          </cell>
          <cell r="E27">
            <v>-222046.76140599884</v>
          </cell>
          <cell r="F27">
            <v>-223074.38697099686</v>
          </cell>
          <cell r="G27">
            <v>-229975.19225599989</v>
          </cell>
          <cell r="H27">
            <v>-215969.74388800003</v>
          </cell>
          <cell r="I27">
            <v>-227997.04207600281</v>
          </cell>
          <cell r="J27">
            <v>-173795.2712109983</v>
          </cell>
          <cell r="K27">
            <v>-132581.14761500061</v>
          </cell>
        </row>
        <row r="28">
          <cell r="C28">
            <v>-90768.325802501291</v>
          </cell>
          <cell r="D28">
            <v>-93449.061217498034</v>
          </cell>
          <cell r="E28">
            <v>-81948.533143499866</v>
          </cell>
          <cell r="F28">
            <v>-91577.541531998664</v>
          </cell>
          <cell r="G28">
            <v>-98367.715797001496</v>
          </cell>
          <cell r="H28">
            <v>-104910.06856600195</v>
          </cell>
          <cell r="I28">
            <v>-104717.41908400133</v>
          </cell>
          <cell r="J28">
            <v>-87982.9093340002</v>
          </cell>
          <cell r="K28">
            <v>-106426.9552170001</v>
          </cell>
        </row>
        <row r="29">
          <cell r="C29">
            <v>-47588.890770173632</v>
          </cell>
          <cell r="D29">
            <v>-94244.156144445762</v>
          </cell>
          <cell r="E29">
            <v>-95086.191528157331</v>
          </cell>
          <cell r="F29">
            <v>-87438.804501604289</v>
          </cell>
          <cell r="G29">
            <v>-57549.547937143594</v>
          </cell>
          <cell r="H29">
            <v>-59427.892872269265</v>
          </cell>
          <cell r="I29">
            <v>-51371.036852120422</v>
          </cell>
          <cell r="J29">
            <v>-49057.337021975778</v>
          </cell>
          <cell r="K29">
            <v>-37653.412653010339</v>
          </cell>
        </row>
        <row r="30">
          <cell r="C30">
            <v>-409805.75213568844</v>
          </cell>
          <cell r="D30">
            <v>-373103.05726682395</v>
          </cell>
          <cell r="E30">
            <v>-399065.24074301496</v>
          </cell>
          <cell r="F30">
            <v>-398393.4279682301</v>
          </cell>
          <cell r="G30">
            <v>-413679.78567405045</v>
          </cell>
          <cell r="H30">
            <v>-413095.82085942477</v>
          </cell>
          <cell r="I30">
            <v>-394896.16774400324</v>
          </cell>
          <cell r="J30">
            <v>-461820.04498063028</v>
          </cell>
          <cell r="K30">
            <v>-473146.37289530411</v>
          </cell>
        </row>
        <row r="31">
          <cell r="C31">
            <v>-27.921070999999984</v>
          </cell>
          <cell r="D31">
            <v>-281.98963600000002</v>
          </cell>
          <cell r="E31">
            <v>-27.785828000000038</v>
          </cell>
          <cell r="F31">
            <v>-57.113989999999831</v>
          </cell>
          <cell r="G31">
            <v>-60.19151200000033</v>
          </cell>
          <cell r="H31">
            <v>-166.38122999999905</v>
          </cell>
          <cell r="I31">
            <v>-196.60595440000179</v>
          </cell>
          <cell r="J31">
            <v>-376.9212660000012</v>
          </cell>
          <cell r="K31">
            <v>-1848.1007679999966</v>
          </cell>
        </row>
        <row r="32">
          <cell r="C32">
            <v>-875999.98210478725</v>
          </cell>
          <cell r="D32">
            <v>-876000.15880349162</v>
          </cell>
          <cell r="E32">
            <v>-878399.95630024665</v>
          </cell>
          <cell r="F32">
            <v>-876000.02167460462</v>
          </cell>
          <cell r="G32">
            <v>-875999.89407766261</v>
          </cell>
          <cell r="H32">
            <v>-876000.22337519517</v>
          </cell>
          <cell r="I32">
            <v>-878399.89535844303</v>
          </cell>
          <cell r="J32">
            <v>-875999.98265411635</v>
          </cell>
          <cell r="K32">
            <v>-875999.9759835779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</row>
        <row r="35">
          <cell r="C35">
            <v>22.830254319086897</v>
          </cell>
          <cell r="D35">
            <v>25.610527537343444</v>
          </cell>
          <cell r="E35">
            <v>23.221770231208918</v>
          </cell>
          <cell r="F35">
            <v>25.356569321661304</v>
          </cell>
          <cell r="G35">
            <v>26.600998720257742</v>
          </cell>
          <cell r="H35">
            <v>27.833838485693459</v>
          </cell>
          <cell r="I35">
            <v>29.454634476445275</v>
          </cell>
          <cell r="J35">
            <v>32.719925434486782</v>
          </cell>
          <cell r="K35">
            <v>35.836200342317539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24.629901508917762</v>
          </cell>
          <cell r="D39">
            <v>25.07402984192144</v>
          </cell>
          <cell r="E39">
            <v>24.974942309009606</v>
          </cell>
          <cell r="F39">
            <v>26.412123962150886</v>
          </cell>
          <cell r="G39">
            <v>28.435865309118146</v>
          </cell>
          <cell r="H39">
            <v>28.055476831870859</v>
          </cell>
          <cell r="I39">
            <v>30.442303282809242</v>
          </cell>
          <cell r="J39">
            <v>31.737531885376661</v>
          </cell>
          <cell r="K39">
            <v>34.926175007787542</v>
          </cell>
        </row>
        <row r="40">
          <cell r="C40">
            <v>-3.8821663246442113</v>
          </cell>
          <cell r="D40">
            <v>-3.6890692978741479E-2</v>
          </cell>
          <cell r="E40">
            <v>0.4860777271169337</v>
          </cell>
          <cell r="F40">
            <v>0.55571083989526082</v>
          </cell>
          <cell r="G40">
            <v>0.99999999999943145</v>
          </cell>
          <cell r="H40">
            <v>1.0000000000005436</v>
          </cell>
          <cell r="I40">
            <v>0.99999999999968381</v>
          </cell>
          <cell r="J40">
            <v>1.0000000000006726</v>
          </cell>
          <cell r="K40">
            <v>1.0000000000021669</v>
          </cell>
        </row>
        <row r="41">
          <cell r="C41">
            <v>10.631512390848743</v>
          </cell>
          <cell r="D41">
            <v>12.886626793329722</v>
          </cell>
          <cell r="E41">
            <v>23.418356909980805</v>
          </cell>
          <cell r="F41">
            <v>24.883631506255117</v>
          </cell>
          <cell r="G41">
            <v>25.653217888917833</v>
          </cell>
          <cell r="H41">
            <v>26.404932334829912</v>
          </cell>
          <cell r="I41">
            <v>27.254373273012476</v>
          </cell>
          <cell r="J41">
            <v>28.111025875546979</v>
          </cell>
          <cell r="K41">
            <v>26.40973432869669</v>
          </cell>
        </row>
        <row r="42">
          <cell r="C42">
            <v>22.080865198406126</v>
          </cell>
          <cell r="D42">
            <v>23.098123554137413</v>
          </cell>
          <cell r="E42">
            <v>24.350984575107912</v>
          </cell>
          <cell r="F42">
            <v>25.679866264571558</v>
          </cell>
          <cell r="G42">
            <v>26.697217533642306</v>
          </cell>
          <cell r="H42">
            <v>28.14569509305262</v>
          </cell>
          <cell r="I42">
            <v>29.468671538348566</v>
          </cell>
          <cell r="J42">
            <v>31.276649903717185</v>
          </cell>
          <cell r="K42">
            <v>33.258706885890582</v>
          </cell>
        </row>
        <row r="43">
          <cell r="C43">
            <v>0.86304812995931279</v>
          </cell>
          <cell r="D43">
            <v>0.9113619510799349</v>
          </cell>
          <cell r="E43">
            <v>0.90283108520538913</v>
          </cell>
          <cell r="F43">
            <v>0.92026430998453879</v>
          </cell>
          <cell r="G43">
            <v>0.99513738781393724</v>
          </cell>
          <cell r="H43">
            <v>0.99609687304751182</v>
          </cell>
          <cell r="I43">
            <v>0.99626496468130965</v>
          </cell>
          <cell r="J43">
            <v>1.0082785308508977</v>
          </cell>
          <cell r="K43">
            <v>0.99877511585929013</v>
          </cell>
        </row>
        <row r="44">
          <cell r="C44">
            <v>29.950793140992605</v>
          </cell>
          <cell r="D44">
            <v>36.85474678864226</v>
          </cell>
          <cell r="E44">
            <v>39.143362438221551</v>
          </cell>
          <cell r="F44">
            <v>40.804456514007185</v>
          </cell>
          <cell r="G44">
            <v>39.794359196615282</v>
          </cell>
          <cell r="H44">
            <v>43.069018915223147</v>
          </cell>
          <cell r="I44">
            <v>46.432506760082539</v>
          </cell>
          <cell r="J44">
            <v>44.842361725057742</v>
          </cell>
          <cell r="K44">
            <v>46.524248412449367</v>
          </cell>
        </row>
        <row r="45">
          <cell r="C45">
            <v>86.283656525925863</v>
          </cell>
          <cell r="D45">
            <v>30.185233119702328</v>
          </cell>
          <cell r="E45">
            <v>150.09528238640343</v>
          </cell>
          <cell r="F45">
            <v>137.56027201041189</v>
          </cell>
          <cell r="G45">
            <v>116.50487198261106</v>
          </cell>
          <cell r="H45">
            <v>63.163098385556616</v>
          </cell>
          <cell r="I45">
            <v>73.573761609328145</v>
          </cell>
          <cell r="J45">
            <v>44.112455570496024</v>
          </cell>
          <cell r="K45">
            <v>38.579215448927357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20.773975817147559</v>
          </cell>
          <cell r="D47">
            <v>23.644072498156177</v>
          </cell>
          <cell r="E47">
            <v>27.887059942831769</v>
          </cell>
          <cell r="F47">
            <v>29.58483693891116</v>
          </cell>
          <cell r="G47">
            <v>30.799937888673327</v>
          </cell>
          <cell r="H47">
            <v>32.665786523036708</v>
          </cell>
          <cell r="I47">
            <v>34.785340099893567</v>
          </cell>
          <cell r="J47">
            <v>35.985782754152723</v>
          </cell>
          <cell r="K47">
            <v>38.187165548122913</v>
          </cell>
        </row>
      </sheetData>
      <sheetData sheetId="3"/>
      <sheetData sheetId="4"/>
      <sheetData sheetId="5"/>
      <sheetData sheetId="6"/>
      <sheetData sheetId="7">
        <row r="3">
          <cell r="F3">
            <v>47484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ImportData"/>
      <sheetName val="Summary"/>
      <sheetName val="Avoided Costs"/>
      <sheetName val="AC Dollars"/>
      <sheetName val="Recon"/>
      <sheetName val="Side-by-Side"/>
      <sheetName val="Delta"/>
      <sheetName val="NPC"/>
      <sheetName val="BASE"/>
      <sheetName val="Check MWh"/>
      <sheetName val="Check Dollars"/>
      <sheetName val="Trapped Adj"/>
      <sheetName val="RenewContract$"/>
      <sheetName val="EIM"/>
      <sheetName val="Integration"/>
      <sheetName val="FuelCalc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GRID Ready Reserve (MWH)"/>
      <sheetName val="GRID Spinning Reserve (MWH)"/>
      <sheetName val="GRID Reserves (MWh)"/>
      <sheetName val="MacroBuilder"/>
      <sheetName val="NPC Version Log"/>
      <sheetName val="029 - UTSch38 2020Q1 - 1b - GRI"/>
    </sheetNames>
    <sheetDataSet>
      <sheetData sheetId="0"/>
      <sheetData sheetId="1"/>
      <sheetData sheetId="2">
        <row r="5">
          <cell r="C5">
            <v>2030</v>
          </cell>
          <cell r="D5">
            <v>2031</v>
          </cell>
          <cell r="E5">
            <v>2032</v>
          </cell>
          <cell r="F5">
            <v>2033</v>
          </cell>
          <cell r="G5">
            <v>2034</v>
          </cell>
          <cell r="H5">
            <v>2035</v>
          </cell>
          <cell r="I5">
            <v>2036</v>
          </cell>
          <cell r="J5">
            <v>2037</v>
          </cell>
          <cell r="K5">
            <v>2038</v>
          </cell>
          <cell r="L5">
            <v>2039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C7">
            <v>431021.08868998289</v>
          </cell>
          <cell r="D7">
            <v>573858.19815993309</v>
          </cell>
          <cell r="E7">
            <v>498011.67669999599</v>
          </cell>
          <cell r="F7">
            <v>618543.47457998991</v>
          </cell>
          <cell r="G7">
            <v>596567.24580997229</v>
          </cell>
          <cell r="H7">
            <v>648043.39208006859</v>
          </cell>
          <cell r="I7">
            <v>1104919.6674999595</v>
          </cell>
          <cell r="J7">
            <v>1213616.6786000729</v>
          </cell>
          <cell r="K7">
            <v>1539886.0702800155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-1104140.3738900423</v>
          </cell>
          <cell r="D11">
            <v>-1299235.9043660015</v>
          </cell>
          <cell r="E11">
            <v>-1259435.0416300297</v>
          </cell>
          <cell r="F11">
            <v>-1272203.9422499835</v>
          </cell>
          <cell r="G11">
            <v>-1486561.3841000795</v>
          </cell>
          <cell r="H11">
            <v>-1516266.2519500256</v>
          </cell>
          <cell r="I11">
            <v>-1888339.9280800521</v>
          </cell>
          <cell r="J11">
            <v>-2043134.9224599749</v>
          </cell>
          <cell r="K11">
            <v>-2651210.1200000048</v>
          </cell>
          <cell r="L11">
            <v>0</v>
          </cell>
        </row>
        <row r="12">
          <cell r="C12">
            <v>55302.913048386574</v>
          </cell>
          <cell r="D12">
            <v>-11756.54057700932</v>
          </cell>
          <cell r="E12">
            <v>-13199.08844602108</v>
          </cell>
          <cell r="F12">
            <v>-11999.207520574331</v>
          </cell>
          <cell r="G12">
            <v>-3434.6291957497597</v>
          </cell>
          <cell r="H12">
            <v>-3986.7030007839203</v>
          </cell>
          <cell r="I12">
            <v>-2481.6748807728291</v>
          </cell>
          <cell r="J12">
            <v>-2988.4478227347136</v>
          </cell>
          <cell r="K12">
            <v>-3311.5719932317734</v>
          </cell>
          <cell r="L12">
            <v>0</v>
          </cell>
        </row>
        <row r="13">
          <cell r="C13">
            <v>93.524749994277954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#N/A</v>
          </cell>
        </row>
        <row r="14">
          <cell r="C14">
            <v>-2788911.3514460325</v>
          </cell>
          <cell r="D14">
            <v>-3301736.3456419706</v>
          </cell>
          <cell r="E14">
            <v>-5603450.9807310104</v>
          </cell>
          <cell r="F14">
            <v>-5995323.0404500365</v>
          </cell>
          <cell r="G14">
            <v>-6214133.0393790603</v>
          </cell>
          <cell r="H14">
            <v>-6079077.1563130617</v>
          </cell>
          <cell r="I14">
            <v>-6328129.4276021123</v>
          </cell>
          <cell r="J14">
            <v>-5205904.9564599395</v>
          </cell>
          <cell r="K14">
            <v>-3542883.7995559871</v>
          </cell>
          <cell r="L14">
            <v>0</v>
          </cell>
        </row>
        <row r="15">
          <cell r="C15">
            <v>-2140463.6143699884</v>
          </cell>
          <cell r="D15">
            <v>-2141722.905970037</v>
          </cell>
          <cell r="E15">
            <v>-2072800.6926000118</v>
          </cell>
          <cell r="F15">
            <v>-2364470.9713200331</v>
          </cell>
          <cell r="G15">
            <v>-2798075.5548399687</v>
          </cell>
          <cell r="H15">
            <v>-3105279.125</v>
          </cell>
          <cell r="I15">
            <v>-3409314.5556000471</v>
          </cell>
          <cell r="J15">
            <v>-2793680.0063200593</v>
          </cell>
          <cell r="K15">
            <v>-3402550.2590500116</v>
          </cell>
          <cell r="L15">
            <v>0</v>
          </cell>
        </row>
        <row r="16">
          <cell r="C16">
            <v>-38304.935374284833</v>
          </cell>
          <cell r="D16">
            <v>-78663.449640844614</v>
          </cell>
          <cell r="E16">
            <v>-83318.162165788453</v>
          </cell>
          <cell r="F16">
            <v>-76700.376253101596</v>
          </cell>
          <cell r="G16">
            <v>-54741.306377670007</v>
          </cell>
          <cell r="H16">
            <v>-55509.827964258999</v>
          </cell>
          <cell r="I16">
            <v>-41112.021040009873</v>
          </cell>
          <cell r="J16">
            <v>-46681.293624139027</v>
          </cell>
          <cell r="K16">
            <v>-42152.988295869887</v>
          </cell>
          <cell r="L16">
            <v>0</v>
          </cell>
        </row>
        <row r="17">
          <cell r="C17">
            <v>-12622062.852236301</v>
          </cell>
          <cell r="D17">
            <v>-13723834.049599946</v>
          </cell>
          <cell r="E17">
            <v>-15568737.833600014</v>
          </cell>
          <cell r="F17">
            <v>-16143393.319919854</v>
          </cell>
          <cell r="G17">
            <v>-16417819.957184851</v>
          </cell>
          <cell r="H17">
            <v>-17704082.150023788</v>
          </cell>
          <cell r="I17">
            <v>-18270511.877913147</v>
          </cell>
          <cell r="J17">
            <v>-20429953.338423848</v>
          </cell>
          <cell r="K17">
            <v>-21894751.280852914</v>
          </cell>
          <cell r="L17">
            <v>0</v>
          </cell>
        </row>
        <row r="18">
          <cell r="C18">
            <v>-3423.4925500000536</v>
          </cell>
          <cell r="D18">
            <v>-9843.1749999999593</v>
          </cell>
          <cell r="E18">
            <v>-5429.5890000000363</v>
          </cell>
          <cell r="F18">
            <v>-10748.438647999661</v>
          </cell>
          <cell r="G18">
            <v>-11216.629300000146</v>
          </cell>
          <cell r="H18">
            <v>-17588.880933000008</v>
          </cell>
          <cell r="I18">
            <v>-17650.882800000021</v>
          </cell>
          <cell r="J18">
            <v>-19383.449380000005</v>
          </cell>
          <cell r="K18">
            <v>-95602.225799999665</v>
          </cell>
          <cell r="L18">
            <v>0</v>
          </cell>
        </row>
        <row r="19">
          <cell r="C19">
            <v>-19072931.270758253</v>
          </cell>
          <cell r="D19">
            <v>-21140650.568955742</v>
          </cell>
          <cell r="E19">
            <v>-25104383.064872876</v>
          </cell>
          <cell r="F19">
            <v>-26493382.770941574</v>
          </cell>
          <cell r="G19">
            <v>-27582549.746187352</v>
          </cell>
          <cell r="H19">
            <v>-29129833.487264991</v>
          </cell>
          <cell r="I19">
            <v>-31062460.0354161</v>
          </cell>
          <cell r="J19">
            <v>-31755343.093090769</v>
          </cell>
          <cell r="K19">
            <v>-33172348.315828033</v>
          </cell>
          <cell r="L19" t="e">
            <v>#N/A</v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 t="e">
            <v>#N/A</v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e">
            <v>#N/A</v>
          </cell>
        </row>
        <row r="22">
          <cell r="C22">
            <v>18172.14969999902</v>
          </cell>
          <cell r="D22">
            <v>24264.628699998371</v>
          </cell>
          <cell r="E22">
            <v>22132.035099999048</v>
          </cell>
          <cell r="F22">
            <v>25495.303700000048</v>
          </cell>
          <cell r="G22">
            <v>23739.592299999669</v>
          </cell>
          <cell r="H22">
            <v>25447.632699999958</v>
          </cell>
          <cell r="I22">
            <v>38672.571499998681</v>
          </cell>
          <cell r="J22">
            <v>38361.633600000292</v>
          </cell>
          <cell r="K22">
            <v>43958.497900000773</v>
          </cell>
          <cell r="L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>
            <v>-46284.828678999562</v>
          </cell>
          <cell r="D25">
            <v>-52825.037301997654</v>
          </cell>
          <cell r="E25">
            <v>-51328.25781860156</v>
          </cell>
          <cell r="F25">
            <v>-49301.141629998572</v>
          </cell>
          <cell r="G25">
            <v>-52889.598609999288</v>
          </cell>
          <cell r="H25">
            <v>-53349.602907001972</v>
          </cell>
          <cell r="I25">
            <v>-61761.694422003347</v>
          </cell>
          <cell r="J25">
            <v>-64274.416352998465</v>
          </cell>
          <cell r="K25">
            <v>-75556.728067996912</v>
          </cell>
          <cell r="L25">
            <v>0</v>
          </cell>
        </row>
        <row r="26">
          <cell r="C26">
            <v>-18967.370280330535</v>
          </cell>
          <cell r="D26">
            <v>-14105.595966120251</v>
          </cell>
          <cell r="E26">
            <v>-13199.088445999194</v>
          </cell>
          <cell r="F26">
            <v>-12194.087772590108</v>
          </cell>
          <cell r="G26">
            <v>-3434.6291957604699</v>
          </cell>
          <cell r="H26">
            <v>-3986.7030007839203</v>
          </cell>
          <cell r="I26">
            <v>-2481.6748808003031</v>
          </cell>
          <cell r="J26">
            <v>-2988.4478227300569</v>
          </cell>
          <cell r="K26">
            <v>-3311.5719932001084</v>
          </cell>
          <cell r="L26">
            <v>0</v>
          </cell>
        </row>
        <row r="27">
          <cell r="C27">
            <v>-255146.16394500062</v>
          </cell>
          <cell r="D27">
            <v>-250687.11167100258</v>
          </cell>
          <cell r="E27">
            <v>-237920.79469499923</v>
          </cell>
          <cell r="F27">
            <v>-238802.94676299766</v>
          </cell>
          <cell r="G27">
            <v>-241211.92916100286</v>
          </cell>
          <cell r="H27">
            <v>-229248.97424499877</v>
          </cell>
          <cell r="I27">
            <v>-232093.9449350033</v>
          </cell>
          <cell r="J27">
            <v>-184130.91594200209</v>
          </cell>
          <cell r="K27">
            <v>-134318.32831799984</v>
          </cell>
          <cell r="L27">
            <v>0</v>
          </cell>
        </row>
        <row r="28">
          <cell r="C28">
            <v>-97419.421703001484</v>
          </cell>
          <cell r="D28">
            <v>-92273.820202000439</v>
          </cell>
          <cell r="E28">
            <v>-84449.495605500415</v>
          </cell>
          <cell r="F28">
            <v>-91462.088716002181</v>
          </cell>
          <cell r="G28">
            <v>-104239.54980199784</v>
          </cell>
          <cell r="H28">
            <v>-110001.61430500261</v>
          </cell>
          <cell r="I28">
            <v>-115513.50383099914</v>
          </cell>
          <cell r="J28">
            <v>-88896.270701998845</v>
          </cell>
          <cell r="K28">
            <v>-102918.35704200156</v>
          </cell>
          <cell r="L28">
            <v>0</v>
          </cell>
        </row>
        <row r="29">
          <cell r="C29">
            <v>-43157.375341463834</v>
          </cell>
          <cell r="D29">
            <v>-82522.031652162783</v>
          </cell>
          <cell r="E29">
            <v>-84123.477843484841</v>
          </cell>
          <cell r="F29">
            <v>-79341.551497831009</v>
          </cell>
          <cell r="G29">
            <v>-54656.935803569853</v>
          </cell>
          <cell r="H29">
            <v>-55520.157209259458</v>
          </cell>
          <cell r="I29">
            <v>-41112.021040009335</v>
          </cell>
          <cell r="J29">
            <v>-46825.688580138609</v>
          </cell>
          <cell r="K29">
            <v>-42154.886765871197</v>
          </cell>
          <cell r="L29">
            <v>0</v>
          </cell>
        </row>
        <row r="30">
          <cell r="C30">
            <v>-396813.21079806238</v>
          </cell>
          <cell r="D30">
            <v>-359018.05876216292</v>
          </cell>
          <cell r="E30">
            <v>-385209.16397086903</v>
          </cell>
          <cell r="F30">
            <v>-379289.82228282094</v>
          </cell>
          <cell r="G30">
            <v>-395659.90002642944</v>
          </cell>
          <cell r="H30">
            <v>-398146.74410526454</v>
          </cell>
          <cell r="I30">
            <v>-386504.42777310312</v>
          </cell>
          <cell r="J30">
            <v>-450101.18376646936</v>
          </cell>
          <cell r="K30">
            <v>-471243.84083149582</v>
          </cell>
          <cell r="L30">
            <v>0</v>
          </cell>
        </row>
        <row r="31">
          <cell r="C31">
            <v>-39.038043999999672</v>
          </cell>
          <cell r="D31">
            <v>-303.54274399999986</v>
          </cell>
          <cell r="E31">
            <v>-37.715640000000349</v>
          </cell>
          <cell r="F31">
            <v>-113.19450270000016</v>
          </cell>
          <cell r="G31">
            <v>-168.08222399999977</v>
          </cell>
          <cell r="H31">
            <v>-298.40621479999572</v>
          </cell>
          <cell r="I31">
            <v>-260.48202600000513</v>
          </cell>
          <cell r="J31">
            <v>-421.62293239999963</v>
          </cell>
          <cell r="K31">
            <v>-2538.1347989999995</v>
          </cell>
          <cell r="L31">
            <v>0</v>
          </cell>
        </row>
        <row r="32">
          <cell r="C32">
            <v>-875999.55849085748</v>
          </cell>
          <cell r="D32">
            <v>-875999.82699944498</v>
          </cell>
          <cell r="E32">
            <v>-878400.02911945328</v>
          </cell>
          <cell r="F32">
            <v>-876000.13686494052</v>
          </cell>
          <cell r="G32">
            <v>-876000.21712275944</v>
          </cell>
          <cell r="H32">
            <v>-875999.8346871112</v>
          </cell>
          <cell r="I32">
            <v>-878400.32040791726</v>
          </cell>
          <cell r="J32">
            <v>-876000.17969873769</v>
          </cell>
          <cell r="K32">
            <v>-876000.3457175662</v>
          </cell>
          <cell r="L32">
            <v>0</v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</row>
        <row r="35">
          <cell r="C35">
            <v>23.718772726707513</v>
          </cell>
          <cell r="D35">
            <v>23.649988848169418</v>
          </cell>
          <cell r="E35">
            <v>22.501847410318693</v>
          </cell>
          <cell r="F35">
            <v>24.261074975152727</v>
          </cell>
          <cell r="G35">
            <v>25.129633157599788</v>
          </cell>
          <cell r="H35">
            <v>25.465763347019294</v>
          </cell>
          <cell r="I35">
            <v>28.571145508128343</v>
          </cell>
          <cell r="J35">
            <v>31.636209533059709</v>
          </cell>
          <cell r="K35">
            <v>35.030452445919188</v>
          </cell>
          <cell r="L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>
            <v>23.855341056734101</v>
          </cell>
          <cell r="D39">
            <v>24.595077840425283</v>
          </cell>
          <cell r="E39">
            <v>24.536874913638808</v>
          </cell>
          <cell r="F39">
            <v>25.804756242721115</v>
          </cell>
          <cell r="G39">
            <v>28.106875891832363</v>
          </cell>
          <cell r="H39">
            <v>28.421322171659881</v>
          </cell>
          <cell r="I39">
            <v>30.574613370829223</v>
          </cell>
          <cell r="J39">
            <v>31.787685340291084</v>
          </cell>
          <cell r="K39">
            <v>35.089001175567859</v>
          </cell>
          <cell r="L39">
            <v>0</v>
          </cell>
        </row>
        <row r="40">
          <cell r="C40">
            <v>-2.9156868997141148</v>
          </cell>
          <cell r="D40">
            <v>0.83346642036585716</v>
          </cell>
          <cell r="E40">
            <v>1.0000000000016582</v>
          </cell>
          <cell r="F40">
            <v>0.98401846405814553</v>
          </cell>
          <cell r="G40">
            <v>0.99999999999688172</v>
          </cell>
          <cell r="H40">
            <v>1</v>
          </cell>
          <cell r="I40">
            <v>0.99999999998892919</v>
          </cell>
          <cell r="J40">
            <v>1.0000000000015583</v>
          </cell>
          <cell r="K40">
            <v>1.0000000000095619</v>
          </cell>
          <cell r="L40">
            <v>0</v>
          </cell>
        </row>
        <row r="41">
          <cell r="C41">
            <v>10.930641904720979</v>
          </cell>
          <cell r="D41">
            <v>13.170746288605025</v>
          </cell>
          <cell r="E41">
            <v>23.551749597652076</v>
          </cell>
          <cell r="F41">
            <v>25.10573308125948</v>
          </cell>
          <cell r="G41">
            <v>25.762129845706276</v>
          </cell>
          <cell r="H41">
            <v>26.517358153220531</v>
          </cell>
          <cell r="I41">
            <v>27.265379238455669</v>
          </cell>
          <cell r="J41">
            <v>28.272845599158945</v>
          </cell>
          <cell r="K41">
            <v>26.37677109238717</v>
          </cell>
          <cell r="L41">
            <v>0</v>
          </cell>
        </row>
        <row r="42">
          <cell r="C42">
            <v>21.97163129232619</v>
          </cell>
          <cell r="D42">
            <v>23.210515195767368</v>
          </cell>
          <cell r="E42">
            <v>24.544855806871212</v>
          </cell>
          <cell r="F42">
            <v>25.851924054150164</v>
          </cell>
          <cell r="G42">
            <v>26.842744046332605</v>
          </cell>
          <cell r="H42">
            <v>28.229395946771838</v>
          </cell>
          <cell r="I42">
            <v>29.514424223405172</v>
          </cell>
          <cell r="J42">
            <v>31.426290262334291</v>
          </cell>
          <cell r="K42">
            <v>33.060674080343233</v>
          </cell>
          <cell r="L42">
            <v>0</v>
          </cell>
        </row>
        <row r="43">
          <cell r="C43">
            <v>0.88756406225387441</v>
          </cell>
          <cell r="D43">
            <v>0.95324179574755974</v>
          </cell>
          <cell r="E43">
            <v>0.99042698069146984</v>
          </cell>
          <cell r="F43">
            <v>0.96671132345071908</v>
          </cell>
          <cell r="G43">
            <v>1.0015436389336456</v>
          </cell>
          <cell r="H43">
            <v>0.99981395504768611</v>
          </cell>
          <cell r="I43">
            <v>1.0000000000000131</v>
          </cell>
          <cell r="J43">
            <v>0.9969163303225651</v>
          </cell>
          <cell r="K43">
            <v>0.99995496441463938</v>
          </cell>
          <cell r="L43">
            <v>0</v>
          </cell>
        </row>
        <row r="44">
          <cell r="C44">
            <v>31.808575190455663</v>
          </cell>
          <cell r="D44">
            <v>38.226027116623435</v>
          </cell>
          <cell r="E44">
            <v>40.416322584624133</v>
          </cell>
          <cell r="F44">
            <v>42.562157937057393</v>
          </cell>
          <cell r="G44">
            <v>41.494778611853683</v>
          </cell>
          <cell r="H44">
            <v>44.466223602579738</v>
          </cell>
          <cell r="I44">
            <v>47.271158012810204</v>
          </cell>
          <cell r="J44">
            <v>45.389690307999125</v>
          </cell>
          <cell r="K44">
            <v>46.461617922093737</v>
          </cell>
          <cell r="L44">
            <v>0</v>
          </cell>
        </row>
        <row r="45">
          <cell r="C45">
            <v>87.696313626781162</v>
          </cell>
          <cell r="D45">
            <v>32.427640569790604</v>
          </cell>
          <cell r="E45">
            <v>143.96120548398451</v>
          </cell>
          <cell r="F45">
            <v>94.955482745361678</v>
          </cell>
          <cell r="G45">
            <v>66.732989563489838</v>
          </cell>
          <cell r="H45">
            <v>58.942743349996277</v>
          </cell>
          <cell r="I45">
            <v>67.762382959965436</v>
          </cell>
          <cell r="J45">
            <v>45.973422910522935</v>
          </cell>
          <cell r="K45">
            <v>37.666331133266056</v>
          </cell>
          <cell r="L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C47">
            <v>21.772763565790438</v>
          </cell>
          <cell r="D47">
            <v>24.133167515989857</v>
          </cell>
          <cell r="E47">
            <v>28.579670119135368</v>
          </cell>
          <cell r="F47">
            <v>30.243582912848627</v>
          </cell>
          <cell r="G47">
            <v>31.486921129749028</v>
          </cell>
          <cell r="H47">
            <v>33.253240849833674</v>
          </cell>
          <cell r="I47">
            <v>35.362532678712043</v>
          </cell>
          <cell r="J47">
            <v>36.250384222537079</v>
          </cell>
          <cell r="K47">
            <v>37.867962584712522</v>
          </cell>
          <cell r="L47">
            <v>0</v>
          </cell>
        </row>
      </sheetData>
      <sheetData sheetId="3"/>
      <sheetData sheetId="4"/>
      <sheetData sheetId="5"/>
      <sheetData sheetId="6"/>
      <sheetData sheetId="7">
        <row r="3">
          <cell r="F3">
            <v>47484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endix B.1"/>
      <sheetName val="Table 1"/>
      <sheetName val="Table 2"/>
      <sheetName val="Table 4"/>
      <sheetName val="Table 5"/>
      <sheetName val="Table3ACsummary"/>
      <sheetName val="Table 3 TransCost"/>
      <sheetName val="Table 3 WYAE Wind_2024"/>
      <sheetName val="Table 3 PV wS UTS_2024"/>
      <sheetName val="Table 3 PV wS UTS_2030"/>
      <sheetName val="Table 3 PV wS UTN_2024"/>
      <sheetName val="Table 3 PV wS JB_2024"/>
      <sheetName val="Table 3 PV wS JB_2029"/>
      <sheetName val="Table 3 PV wS SO_2024"/>
      <sheetName val="Table 3 PV wS YK_2024"/>
      <sheetName val="Table 3 185 MW (NTN) 2026)"/>
      <sheetName val="Table 3 YK Wind wS_2029"/>
      <sheetName val="Table 3 ID Wind_2030"/>
      <sheetName val="Table 3 ID Wind wS_2032"/>
      <sheetName val="4_Appendix B.1 - UT 2019"/>
    </sheetNames>
    <sheetDataSet>
      <sheetData sheetId="0"/>
      <sheetData sheetId="1">
        <row r="13">
          <cell r="B13">
            <v>2020</v>
          </cell>
          <cell r="C13">
            <v>0</v>
          </cell>
        </row>
        <row r="14">
          <cell r="B14">
            <v>2021</v>
          </cell>
          <cell r="C14">
            <v>0</v>
          </cell>
        </row>
        <row r="15">
          <cell r="B15">
            <v>2022</v>
          </cell>
          <cell r="C15">
            <v>0</v>
          </cell>
        </row>
        <row r="16">
          <cell r="B16">
            <v>2023</v>
          </cell>
          <cell r="C16">
            <v>0</v>
          </cell>
        </row>
        <row r="17">
          <cell r="B17">
            <v>2024</v>
          </cell>
          <cell r="C17">
            <v>0</v>
          </cell>
        </row>
        <row r="18">
          <cell r="B18">
            <v>2025</v>
          </cell>
          <cell r="C18">
            <v>0</v>
          </cell>
        </row>
        <row r="19">
          <cell r="B19">
            <v>2026</v>
          </cell>
          <cell r="C19">
            <v>112.48330989724177</v>
          </cell>
        </row>
        <row r="20">
          <cell r="B20">
            <v>2027</v>
          </cell>
          <cell r="C20">
            <v>115</v>
          </cell>
        </row>
        <row r="21">
          <cell r="B21">
            <v>2028</v>
          </cell>
          <cell r="C21">
            <v>117.55000000000001</v>
          </cell>
        </row>
        <row r="22">
          <cell r="B22">
            <v>2029</v>
          </cell>
          <cell r="C22">
            <v>120.23</v>
          </cell>
        </row>
        <row r="23">
          <cell r="B23">
            <v>2030</v>
          </cell>
          <cell r="C23">
            <v>122.91</v>
          </cell>
        </row>
        <row r="24">
          <cell r="B24">
            <v>2031</v>
          </cell>
          <cell r="C24">
            <v>125.58000000000001</v>
          </cell>
        </row>
        <row r="25">
          <cell r="B25">
            <v>2032</v>
          </cell>
          <cell r="C25">
            <v>128.28</v>
          </cell>
        </row>
        <row r="26">
          <cell r="B26">
            <v>2033</v>
          </cell>
          <cell r="C26">
            <v>131.03</v>
          </cell>
        </row>
        <row r="27">
          <cell r="B27">
            <v>2034</v>
          </cell>
          <cell r="C27">
            <v>133.79000000000002</v>
          </cell>
        </row>
        <row r="28">
          <cell r="B28">
            <v>2035</v>
          </cell>
          <cell r="C28">
            <v>136.57999999999998</v>
          </cell>
        </row>
        <row r="29">
          <cell r="B29">
            <v>2036</v>
          </cell>
          <cell r="C29">
            <v>139.44</v>
          </cell>
        </row>
        <row r="30">
          <cell r="B30">
            <v>2037</v>
          </cell>
          <cell r="C30">
            <v>142.33000000000001</v>
          </cell>
        </row>
        <row r="31">
          <cell r="B31">
            <v>2038</v>
          </cell>
          <cell r="C31">
            <v>145.32</v>
          </cell>
        </row>
        <row r="32">
          <cell r="B32">
            <v>2039</v>
          </cell>
          <cell r="C32">
            <v>148.33000000000001</v>
          </cell>
        </row>
        <row r="33">
          <cell r="B33">
            <v>2040</v>
          </cell>
          <cell r="C33" t="e">
            <v>#REF!</v>
          </cell>
        </row>
        <row r="34">
          <cell r="B34">
            <v>2041</v>
          </cell>
          <cell r="C34" t="e">
            <v>#N/A</v>
          </cell>
        </row>
        <row r="35">
          <cell r="B35">
            <v>0</v>
          </cell>
          <cell r="C3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C2:L29"/>
  <sheetViews>
    <sheetView tabSelected="1" view="pageBreakPreview" zoomScale="80" zoomScaleNormal="80" zoomScaleSheetLayoutView="80" workbookViewId="0">
      <selection activeCell="F14" sqref="F14"/>
    </sheetView>
  </sheetViews>
  <sheetFormatPr defaultRowHeight="12.75" x14ac:dyDescent="0.2"/>
  <cols>
    <col min="1" max="1" width="9.140625" style="75"/>
    <col min="2" max="2" width="12.28515625" style="75" customWidth="1"/>
    <col min="3" max="3" width="22" style="75" customWidth="1"/>
    <col min="4" max="4" width="9.140625" style="75"/>
    <col min="5" max="5" width="11.28515625" style="75" customWidth="1"/>
    <col min="6" max="16384" width="9.140625" style="75"/>
  </cols>
  <sheetData>
    <row r="2" spans="3:12" x14ac:dyDescent="0.2">
      <c r="C2" s="73" t="str">
        <f>Incremental!$B$30&amp;",  "&amp;LEFT(Incremental!$B$29,50)</f>
        <v xml:space="preserve">2020 - 2034,  Nominal Levelized Payment at 6.920% Discount Rate </v>
      </c>
      <c r="D2" s="74"/>
      <c r="E2" s="74"/>
      <c r="F2" s="74"/>
      <c r="G2" s="74"/>
      <c r="H2" s="74"/>
      <c r="I2" s="74"/>
      <c r="J2" s="74"/>
    </row>
    <row r="3" spans="3:12" ht="15.75" customHeight="1" x14ac:dyDescent="0.2">
      <c r="C3" s="74"/>
      <c r="D3" s="76" t="str">
        <f>Incremental!B30</f>
        <v>2020 - 2034</v>
      </c>
      <c r="E3" s="76"/>
      <c r="F3" s="102" t="str">
        <f>Incremental!B31</f>
        <v>2021 - 2035</v>
      </c>
      <c r="G3" s="102"/>
      <c r="H3" s="77" t="str">
        <f>Incremental!B32</f>
        <v>2022 - 2036</v>
      </c>
      <c r="I3" s="78"/>
      <c r="J3" s="74"/>
    </row>
    <row r="4" spans="3:12" x14ac:dyDescent="0.2">
      <c r="C4" s="79" t="s">
        <v>20</v>
      </c>
      <c r="D4" s="80">
        <f>Total!$C$30</f>
        <v>24.28</v>
      </c>
      <c r="E4" s="80"/>
      <c r="F4" s="80">
        <f>Total!$C$31</f>
        <v>26.47</v>
      </c>
      <c r="G4" s="80"/>
      <c r="H4" s="80">
        <f>Total!$C$32</f>
        <v>28.99</v>
      </c>
      <c r="I4" s="80"/>
      <c r="J4" s="74"/>
    </row>
    <row r="5" spans="3:12" ht="13.5" customHeight="1" x14ac:dyDescent="0.2">
      <c r="C5" s="81" t="str">
        <f>Incremental!C7</f>
        <v>OFPC</v>
      </c>
      <c r="D5" s="80"/>
      <c r="E5" s="80" t="str">
        <f>TEXT(Incremental!$C$30,"$0.00")</f>
        <v>-$0.30</v>
      </c>
      <c r="F5" s="80"/>
      <c r="G5" s="80" t="str">
        <f>TEXT(Incremental!$C$31,"$0.00")</f>
        <v>-$0.27</v>
      </c>
      <c r="H5" s="80"/>
      <c r="I5" s="80" t="str">
        <f>TEXT(Incremental!$C$32,"$0.00")</f>
        <v>-$0.60</v>
      </c>
      <c r="J5" s="74"/>
    </row>
    <row r="6" spans="3:12" x14ac:dyDescent="0.2">
      <c r="C6" s="81" t="str">
        <f>Incremental!D7</f>
        <v>Queue</v>
      </c>
      <c r="D6" s="80"/>
      <c r="E6" s="80" t="str">
        <f>TEXT(Incremental!$D$30,"$0.00")</f>
        <v>$1.87</v>
      </c>
      <c r="F6" s="80"/>
      <c r="G6" s="80" t="str">
        <f>TEXT(Incremental!$D$31,"$0.00")</f>
        <v>$1.85</v>
      </c>
      <c r="H6" s="80"/>
      <c r="I6" s="80" t="str">
        <f>TEXT(Incremental!$D$32,"$0.00")</f>
        <v>$1.85</v>
      </c>
      <c r="J6" s="74"/>
    </row>
    <row r="7" spans="3:12" x14ac:dyDescent="0.2">
      <c r="C7" s="74" t="s">
        <v>22</v>
      </c>
      <c r="D7" s="80">
        <f>Total!E30</f>
        <v>25.85</v>
      </c>
      <c r="E7" s="80"/>
      <c r="F7" s="80">
        <f>Total!E31</f>
        <v>28.05</v>
      </c>
      <c r="G7" s="80"/>
      <c r="H7" s="80">
        <f>Total!E32</f>
        <v>30.24</v>
      </c>
      <c r="I7" s="80"/>
      <c r="J7" s="74"/>
    </row>
    <row r="8" spans="3:12" x14ac:dyDescent="0.2">
      <c r="C8" s="74"/>
      <c r="D8" s="82"/>
      <c r="E8" s="82"/>
      <c r="F8" s="74"/>
      <c r="G8" s="74"/>
      <c r="H8" s="74"/>
      <c r="I8" s="74"/>
      <c r="J8" s="74"/>
    </row>
    <row r="9" spans="3:12" x14ac:dyDescent="0.2">
      <c r="C9" s="74"/>
      <c r="D9" s="82"/>
      <c r="E9" s="82"/>
      <c r="F9" s="74"/>
      <c r="G9" s="74"/>
      <c r="H9" s="74"/>
      <c r="I9" s="74"/>
      <c r="J9" s="74"/>
    </row>
    <row r="10" spans="3:12" x14ac:dyDescent="0.2">
      <c r="C10" s="83"/>
      <c r="D10" s="95"/>
      <c r="E10" s="83"/>
      <c r="F10" s="83"/>
      <c r="G10" s="83"/>
      <c r="H10" s="83"/>
      <c r="I10" s="83"/>
      <c r="J10" s="83"/>
      <c r="K10" s="83"/>
      <c r="L10" s="83"/>
    </row>
    <row r="11" spans="3:12" x14ac:dyDescent="0.2">
      <c r="C11" s="83"/>
      <c r="D11" s="83"/>
      <c r="E11" s="83"/>
      <c r="F11" s="83"/>
      <c r="G11" s="83"/>
      <c r="H11" s="83"/>
      <c r="I11" s="83"/>
      <c r="J11" s="83"/>
      <c r="K11" s="83"/>
      <c r="L11" s="83"/>
    </row>
    <row r="21" spans="3:10" x14ac:dyDescent="0.2">
      <c r="C21" s="84"/>
      <c r="D21" s="85"/>
      <c r="E21" s="85"/>
      <c r="F21" s="85"/>
      <c r="G21" s="85"/>
      <c r="H21" s="85"/>
      <c r="I21" s="85"/>
      <c r="J21" s="85"/>
    </row>
    <row r="22" spans="3:10" x14ac:dyDescent="0.2">
      <c r="C22" s="86"/>
      <c r="D22" s="86"/>
      <c r="E22" s="86"/>
      <c r="F22" s="86"/>
      <c r="G22" s="86"/>
      <c r="H22" s="86"/>
      <c r="I22" s="86"/>
      <c r="J22" s="86"/>
    </row>
    <row r="23" spans="3:10" x14ac:dyDescent="0.2">
      <c r="C23" s="87"/>
      <c r="D23" s="86"/>
      <c r="E23" s="88"/>
      <c r="F23" s="89"/>
      <c r="G23" s="89"/>
      <c r="H23" s="86"/>
      <c r="I23" s="86"/>
      <c r="J23" s="86"/>
    </row>
    <row r="24" spans="3:10" x14ac:dyDescent="0.2">
      <c r="C24" s="86"/>
      <c r="D24" s="86"/>
      <c r="E24" s="88"/>
      <c r="F24" s="88"/>
      <c r="G24" s="88"/>
      <c r="H24" s="90"/>
      <c r="I24" s="90"/>
      <c r="J24" s="90"/>
    </row>
    <row r="25" spans="3:10" x14ac:dyDescent="0.2">
      <c r="C25" s="86"/>
      <c r="D25" s="86"/>
      <c r="E25" s="88"/>
      <c r="F25" s="88"/>
      <c r="G25" s="88"/>
      <c r="H25" s="90"/>
      <c r="I25" s="90"/>
      <c r="J25" s="90"/>
    </row>
    <row r="26" spans="3:10" x14ac:dyDescent="0.2">
      <c r="C26" s="86"/>
      <c r="D26" s="86"/>
      <c r="E26" s="88"/>
      <c r="F26" s="88"/>
      <c r="G26" s="88"/>
      <c r="H26" s="90"/>
      <c r="I26" s="90"/>
      <c r="J26" s="90"/>
    </row>
    <row r="27" spans="3:10" x14ac:dyDescent="0.2">
      <c r="C27" s="86"/>
      <c r="D27" s="86"/>
      <c r="E27" s="88"/>
      <c r="F27" s="88"/>
      <c r="G27" s="88"/>
      <c r="H27" s="90"/>
      <c r="I27" s="90"/>
      <c r="J27" s="90"/>
    </row>
    <row r="28" spans="3:10" x14ac:dyDescent="0.2">
      <c r="C28" s="86"/>
      <c r="D28" s="86"/>
      <c r="E28" s="88"/>
      <c r="F28" s="88"/>
      <c r="G28" s="88"/>
      <c r="H28" s="90"/>
      <c r="I28" s="90"/>
      <c r="J28" s="90"/>
    </row>
    <row r="29" spans="3:10" x14ac:dyDescent="0.2">
      <c r="C29" s="86"/>
      <c r="D29" s="86"/>
      <c r="E29" s="88"/>
      <c r="F29" s="88"/>
      <c r="G29" s="88"/>
      <c r="H29" s="90"/>
      <c r="I29" s="90"/>
      <c r="J29" s="90"/>
    </row>
  </sheetData>
  <mergeCells count="1">
    <mergeCell ref="F3:G3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2"/>
    <pageSetUpPr fitToPage="1"/>
  </sheetPr>
  <dimension ref="B1:H41"/>
  <sheetViews>
    <sheetView showGridLines="0" view="pageBreakPreview" zoomScale="60" zoomScaleNormal="60" workbookViewId="0">
      <pane xSplit="2" ySplit="9" topLeftCell="C10" activePane="bottomRight" state="frozen"/>
      <selection activeCell="E37" sqref="E37"/>
      <selection pane="topRight" activeCell="E37" sqref="E37"/>
      <selection pane="bottomLeft" activeCell="E37" sqref="E37"/>
      <selection pane="bottomRight" activeCell="B36" sqref="B36"/>
    </sheetView>
  </sheetViews>
  <sheetFormatPr defaultColWidth="9.140625" defaultRowHeight="15" x14ac:dyDescent="0.2"/>
  <cols>
    <col min="1" max="1" width="1.85546875" style="1" customWidth="1"/>
    <col min="2" max="2" width="17" style="1" customWidth="1"/>
    <col min="3" max="4" width="15.7109375" style="1" customWidth="1"/>
    <col min="5" max="5" width="31.42578125" style="1" customWidth="1"/>
    <col min="6" max="6" width="17.7109375" style="1" hidden="1" customWidth="1"/>
    <col min="7" max="7" width="11" style="1" customWidth="1"/>
    <col min="8" max="8" width="10.85546875" style="1" bestFit="1" customWidth="1"/>
    <col min="9" max="16384" width="9.140625" style="1"/>
  </cols>
  <sheetData>
    <row r="1" spans="2:8" ht="15.75" x14ac:dyDescent="0.25">
      <c r="B1" s="6" t="str">
        <f>Total!B1</f>
        <v>Appendix C</v>
      </c>
      <c r="C1" s="6"/>
      <c r="D1" s="6"/>
      <c r="E1" s="6"/>
    </row>
    <row r="2" spans="2:8" ht="8.25" customHeight="1" x14ac:dyDescent="0.25">
      <c r="B2" s="6"/>
      <c r="C2" s="6"/>
      <c r="D2" s="6"/>
      <c r="E2" s="6"/>
    </row>
    <row r="3" spans="2:8" ht="15.75" x14ac:dyDescent="0.25">
      <c r="B3" s="6" t="str">
        <f>Total!B3</f>
        <v>Utah Quarterly Compliance Filing</v>
      </c>
      <c r="C3" s="6"/>
      <c r="D3" s="6"/>
      <c r="E3" s="6"/>
    </row>
    <row r="4" spans="2:8" ht="15.75" x14ac:dyDescent="0.25">
      <c r="B4" s="6" t="str">
        <f>Capacity!$B$4</f>
        <v>Step Study between 2020.Q1 and 2019.Q4 Compliance Filing</v>
      </c>
      <c r="C4" s="6"/>
      <c r="D4" s="6"/>
      <c r="E4" s="6"/>
    </row>
    <row r="5" spans="2:8" ht="15.75" x14ac:dyDescent="0.25">
      <c r="B5" s="6" t="s">
        <v>14</v>
      </c>
      <c r="C5" s="6"/>
      <c r="D5" s="6"/>
      <c r="E5" s="6"/>
    </row>
    <row r="6" spans="2:8" x14ac:dyDescent="0.2">
      <c r="C6" s="9"/>
      <c r="D6" s="9"/>
      <c r="E6" s="9"/>
    </row>
    <row r="7" spans="2:8" s="4" customFormat="1" ht="15.75" x14ac:dyDescent="0.25">
      <c r="B7" s="14"/>
      <c r="C7" s="11" t="str">
        <f>Energy!D7</f>
        <v>OFPC</v>
      </c>
      <c r="D7" s="11" t="str">
        <f>Energy!E7</f>
        <v>Queue</v>
      </c>
      <c r="E7" s="11" t="s">
        <v>4</v>
      </c>
      <c r="F7" s="1"/>
    </row>
    <row r="8" spans="2:8" s="4" customFormat="1" ht="15.75" x14ac:dyDescent="0.25">
      <c r="B8" s="15" t="s">
        <v>0</v>
      </c>
      <c r="C8" s="69" t="s">
        <v>16</v>
      </c>
      <c r="D8" s="54"/>
      <c r="E8" s="12" t="s">
        <v>12</v>
      </c>
      <c r="F8" s="1"/>
    </row>
    <row r="9" spans="2:8" ht="4.5" customHeight="1" x14ac:dyDescent="0.2"/>
    <row r="10" spans="2:8" ht="15.75" hidden="1" x14ac:dyDescent="0.25">
      <c r="B10" s="3">
        <f>Total!B10</f>
        <v>2019</v>
      </c>
      <c r="C10" s="59" t="e">
        <f>ROUND(Total!D10-Total!C10,3)</f>
        <v>#N/A</v>
      </c>
      <c r="D10" s="59" t="e">
        <f>ROUND(Total!E10-Total!#REF!,3)</f>
        <v>#N/A</v>
      </c>
      <c r="E10" s="59" t="e">
        <f t="shared" ref="E10:E27" si="0">SUM(C10:D10)</f>
        <v>#N/A</v>
      </c>
      <c r="F10" s="58"/>
      <c r="G10" s="68"/>
      <c r="H10" s="19"/>
    </row>
    <row r="11" spans="2:8" ht="15.75" x14ac:dyDescent="0.25">
      <c r="B11" s="3">
        <f t="shared" ref="B11:B27" si="1">B10+1</f>
        <v>2020</v>
      </c>
      <c r="C11" s="59">
        <f>ROUND(Total!D11-Total!C11,3)</f>
        <v>-1.1919999999999999</v>
      </c>
      <c r="D11" s="59">
        <f>ROUND(Total!E11-Total!D11,3)</f>
        <v>1.454</v>
      </c>
      <c r="E11" s="59">
        <f t="shared" si="0"/>
        <v>0.26200000000000001</v>
      </c>
      <c r="F11" s="58"/>
      <c r="G11" s="68"/>
      <c r="H11" s="19"/>
    </row>
    <row r="12" spans="2:8" ht="15.75" x14ac:dyDescent="0.25">
      <c r="B12" s="3">
        <f t="shared" si="1"/>
        <v>2021</v>
      </c>
      <c r="C12" s="59">
        <f>ROUND(Total!D12-Total!C12,3)</f>
        <v>2.3410000000000002</v>
      </c>
      <c r="D12" s="59">
        <f>ROUND(Total!E12-Total!D12,3)</f>
        <v>1.446</v>
      </c>
      <c r="E12" s="59">
        <f t="shared" si="0"/>
        <v>3.7869999999999999</v>
      </c>
      <c r="F12" s="58"/>
      <c r="G12" s="68"/>
      <c r="H12" s="19"/>
    </row>
    <row r="13" spans="2:8" ht="15.75" x14ac:dyDescent="0.25">
      <c r="B13" s="3">
        <f t="shared" si="1"/>
        <v>2022</v>
      </c>
      <c r="C13" s="59">
        <f>ROUND(Total!D13-Total!C13,3)</f>
        <v>-0.65400000000000003</v>
      </c>
      <c r="D13" s="59">
        <f>ROUND(Total!E13-Total!D13,3)</f>
        <v>2.282</v>
      </c>
      <c r="E13" s="59">
        <f t="shared" si="0"/>
        <v>1.6280000000000001</v>
      </c>
      <c r="F13" s="58"/>
      <c r="G13" s="68"/>
      <c r="H13" s="19"/>
    </row>
    <row r="14" spans="2:8" ht="15.75" x14ac:dyDescent="0.25">
      <c r="B14" s="3">
        <f t="shared" si="1"/>
        <v>2023</v>
      </c>
      <c r="C14" s="59">
        <f>ROUND(Total!D14-Total!C14,3)</f>
        <v>-9.6000000000000002E-2</v>
      </c>
      <c r="D14" s="59">
        <f>ROUND(Total!E14-Total!D14,3)</f>
        <v>2.9540000000000002</v>
      </c>
      <c r="E14" s="59">
        <f t="shared" si="0"/>
        <v>2.8580000000000001</v>
      </c>
      <c r="F14" s="58"/>
      <c r="G14" s="68"/>
      <c r="H14" s="19"/>
    </row>
    <row r="15" spans="2:8" ht="15.75" x14ac:dyDescent="0.25">
      <c r="B15" s="3">
        <f t="shared" si="1"/>
        <v>2024</v>
      </c>
      <c r="C15" s="59">
        <f>ROUND(Total!D15-Total!C15,3)</f>
        <v>0.36699999999999999</v>
      </c>
      <c r="D15" s="59">
        <f>ROUND(Total!E15-Total!D15,3)</f>
        <v>4.3540000000000001</v>
      </c>
      <c r="E15" s="59">
        <f t="shared" si="0"/>
        <v>4.7210000000000001</v>
      </c>
      <c r="F15" s="58"/>
      <c r="G15" s="68"/>
      <c r="H15" s="19"/>
    </row>
    <row r="16" spans="2:8" ht="15.75" x14ac:dyDescent="0.25">
      <c r="B16" s="3">
        <f t="shared" si="1"/>
        <v>2025</v>
      </c>
      <c r="C16" s="59">
        <f>ROUND(Total!D16-Total!C16,3)</f>
        <v>0.8</v>
      </c>
      <c r="D16" s="59">
        <f>ROUND(Total!E16-Total!D16,3)</f>
        <v>3.5569999999999999</v>
      </c>
      <c r="E16" s="59">
        <f t="shared" si="0"/>
        <v>4.3570000000000002</v>
      </c>
      <c r="F16" s="58"/>
      <c r="G16" s="68"/>
      <c r="H16" s="19"/>
    </row>
    <row r="17" spans="2:8" ht="15.75" x14ac:dyDescent="0.25">
      <c r="B17" s="3">
        <f t="shared" si="1"/>
        <v>2026</v>
      </c>
      <c r="C17" s="59">
        <f>ROUND(Total!D17-Total!C17,3)</f>
        <v>1.2999999999999999E-2</v>
      </c>
      <c r="D17" s="59">
        <f>ROUND(Total!E17-Total!D17,3)</f>
        <v>1.7649999999999999</v>
      </c>
      <c r="E17" s="59">
        <f t="shared" si="0"/>
        <v>1.7779999999999998</v>
      </c>
      <c r="F17" s="58"/>
      <c r="G17" s="68"/>
      <c r="H17" s="19"/>
    </row>
    <row r="18" spans="2:8" ht="15.75" x14ac:dyDescent="0.25">
      <c r="B18" s="3">
        <f t="shared" si="1"/>
        <v>2027</v>
      </c>
      <c r="C18" s="59">
        <f>ROUND(Total!D18-Total!C18,3)</f>
        <v>1.0589999999999999</v>
      </c>
      <c r="D18" s="59">
        <f>ROUND(Total!E18-Total!D18,3)</f>
        <v>1.58</v>
      </c>
      <c r="E18" s="59">
        <f t="shared" si="0"/>
        <v>2.6390000000000002</v>
      </c>
      <c r="F18" s="58"/>
      <c r="G18" s="68"/>
      <c r="H18" s="19"/>
    </row>
    <row r="19" spans="2:8" ht="15.75" x14ac:dyDescent="0.25">
      <c r="B19" s="3">
        <f t="shared" si="1"/>
        <v>2028</v>
      </c>
      <c r="C19" s="59">
        <f>ROUND(Total!D19-Total!C19,3)</f>
        <v>0.56899999999999995</v>
      </c>
      <c r="D19" s="59">
        <f>ROUND(Total!E19-Total!D19,3)</f>
        <v>1.32</v>
      </c>
      <c r="E19" s="59">
        <f t="shared" si="0"/>
        <v>1.889</v>
      </c>
      <c r="F19" s="58"/>
      <c r="G19" s="68"/>
      <c r="H19" s="19"/>
    </row>
    <row r="20" spans="2:8" ht="15.75" x14ac:dyDescent="0.25">
      <c r="B20" s="3">
        <f t="shared" si="1"/>
        <v>2029</v>
      </c>
      <c r="C20" s="59">
        <f>ROUND(Total!D20-Total!C20,3)</f>
        <v>-0.39400000000000002</v>
      </c>
      <c r="D20" s="59">
        <f>ROUND(Total!E20-Total!D20,3)</f>
        <v>1.1160000000000001</v>
      </c>
      <c r="E20" s="59">
        <f t="shared" si="0"/>
        <v>0.72200000000000009</v>
      </c>
      <c r="F20" s="58"/>
      <c r="G20" s="68"/>
      <c r="H20" s="19"/>
    </row>
    <row r="21" spans="2:8" ht="15.75" x14ac:dyDescent="0.25">
      <c r="B21" s="3">
        <f t="shared" si="1"/>
        <v>2030</v>
      </c>
      <c r="C21" s="59">
        <f>ROUND(Total!D21-Total!C21,3)</f>
        <v>-1.381</v>
      </c>
      <c r="D21" s="59">
        <f>ROUND(Total!E21-Total!D21,3)</f>
        <v>0.999</v>
      </c>
      <c r="E21" s="59">
        <f t="shared" si="0"/>
        <v>-0.38200000000000001</v>
      </c>
      <c r="F21" s="58"/>
      <c r="G21" s="68"/>
      <c r="H21" s="19"/>
    </row>
    <row r="22" spans="2:8" ht="15.75" x14ac:dyDescent="0.25">
      <c r="B22" s="3">
        <f t="shared" si="1"/>
        <v>2031</v>
      </c>
      <c r="C22" s="59">
        <f>ROUND(Total!D22-Total!C22,3)</f>
        <v>-2.5339999999999998</v>
      </c>
      <c r="D22" s="59">
        <f>ROUND(Total!E22-Total!D22,3)</f>
        <v>0.48899999999999999</v>
      </c>
      <c r="E22" s="59">
        <f t="shared" si="0"/>
        <v>-2.0449999999999999</v>
      </c>
      <c r="F22" s="58"/>
      <c r="G22" s="68"/>
      <c r="H22" s="19"/>
    </row>
    <row r="23" spans="2:8" ht="15.75" x14ac:dyDescent="0.25">
      <c r="B23" s="3">
        <f t="shared" si="1"/>
        <v>2032</v>
      </c>
      <c r="C23" s="59">
        <f>ROUND(Total!D23-Total!C23,3)</f>
        <v>-3.149</v>
      </c>
      <c r="D23" s="59">
        <f>ROUND(Total!E23-Total!D23,3)</f>
        <v>0.69299999999999995</v>
      </c>
      <c r="E23" s="59">
        <f t="shared" si="0"/>
        <v>-2.456</v>
      </c>
      <c r="F23" s="58"/>
      <c r="G23" s="68"/>
      <c r="H23" s="19"/>
    </row>
    <row r="24" spans="2:8" ht="15.75" x14ac:dyDescent="0.25">
      <c r="B24" s="3">
        <f t="shared" si="1"/>
        <v>2033</v>
      </c>
      <c r="C24" s="59">
        <f>ROUND(Total!D24-Total!C24,3)</f>
        <v>-1.9159999999999999</v>
      </c>
      <c r="D24" s="59">
        <f>ROUND(Total!E24-Total!D24,3)</f>
        <v>0.65900000000000003</v>
      </c>
      <c r="E24" s="59">
        <f t="shared" si="0"/>
        <v>-1.2569999999999999</v>
      </c>
      <c r="F24" s="58"/>
      <c r="G24" s="68"/>
      <c r="H24" s="19"/>
    </row>
    <row r="25" spans="2:8" ht="15.75" x14ac:dyDescent="0.25">
      <c r="B25" s="3">
        <f t="shared" si="1"/>
        <v>2034</v>
      </c>
      <c r="C25" s="59">
        <f>ROUND(Total!D25-Total!C25,3)</f>
        <v>-2.0249999999999999</v>
      </c>
      <c r="D25" s="59">
        <f>ROUND(Total!E25-Total!D25,3)</f>
        <v>0.68700000000000006</v>
      </c>
      <c r="E25" s="59">
        <f t="shared" si="0"/>
        <v>-1.3379999999999999</v>
      </c>
      <c r="F25" s="58"/>
      <c r="G25" s="68"/>
      <c r="H25" s="19"/>
    </row>
    <row r="26" spans="2:8" ht="15.75" x14ac:dyDescent="0.25">
      <c r="B26" s="3">
        <f t="shared" si="1"/>
        <v>2035</v>
      </c>
      <c r="C26" s="59">
        <f>ROUND(Total!D26-Total!C26,3)</f>
        <v>-2.0339999999999998</v>
      </c>
      <c r="D26" s="59">
        <f>ROUND(Total!E26-Total!D26,3)</f>
        <v>0.58699999999999997</v>
      </c>
      <c r="E26" s="59">
        <f t="shared" si="0"/>
        <v>-1.4469999999999998</v>
      </c>
      <c r="F26" s="58"/>
      <c r="G26" s="68"/>
      <c r="H26" s="19"/>
    </row>
    <row r="27" spans="2:8" ht="15.75" x14ac:dyDescent="0.25">
      <c r="B27" s="3">
        <f t="shared" si="1"/>
        <v>2036</v>
      </c>
      <c r="C27" s="59">
        <f>ROUND(Total!D27-Total!C27,3)</f>
        <v>-1.1659999999999999</v>
      </c>
      <c r="D27" s="59">
        <f>ROUND(Total!E27-Total!D27,3)</f>
        <v>0.57799999999999996</v>
      </c>
      <c r="E27" s="59">
        <f t="shared" si="0"/>
        <v>-0.58799999999999997</v>
      </c>
      <c r="F27" s="58"/>
      <c r="G27" s="68"/>
      <c r="H27" s="19"/>
    </row>
    <row r="28" spans="2:8" x14ac:dyDescent="0.2">
      <c r="C28" s="48"/>
      <c r="D28" s="48"/>
      <c r="E28" s="48"/>
      <c r="F28" s="58"/>
    </row>
    <row r="29" spans="2:8" x14ac:dyDescent="0.2">
      <c r="B29" s="13" t="str">
        <f>Total!B29</f>
        <v>Nominal Levelized Payment at 6.920% Discount Rate (3)</v>
      </c>
      <c r="C29" s="61"/>
      <c r="D29" s="61"/>
      <c r="E29" s="61"/>
      <c r="F29" s="58"/>
      <c r="G29" s="1" t="s">
        <v>15</v>
      </c>
    </row>
    <row r="30" spans="2:8" x14ac:dyDescent="0.2">
      <c r="B30" s="8" t="str">
        <f>B11&amp;" - "&amp;B25</f>
        <v>2020 - 2034</v>
      </c>
      <c r="C30" s="60">
        <f>ROUND(Total!D30-Total!C30,3)</f>
        <v>-0.3</v>
      </c>
      <c r="D30" s="60">
        <f>ROUND(Total!E30-Total!D30,3)</f>
        <v>1.87</v>
      </c>
      <c r="E30" s="60">
        <f>SUM(C30:D30)</f>
        <v>1.57</v>
      </c>
      <c r="F30" s="58"/>
      <c r="G30" s="66">
        <f>SUM(C30:D30)-E30</f>
        <v>0</v>
      </c>
    </row>
    <row r="31" spans="2:8" x14ac:dyDescent="0.2">
      <c r="B31" s="8" t="str">
        <f>B12&amp;" - "&amp;B26</f>
        <v>2021 - 2035</v>
      </c>
      <c r="C31" s="60">
        <f>ROUND(Total!D31-Total!C31,3)</f>
        <v>-0.27</v>
      </c>
      <c r="D31" s="60">
        <f>ROUND(Total!E31-Total!D31,3)</f>
        <v>1.85</v>
      </c>
      <c r="E31" s="60">
        <f>SUM(C31:D31)</f>
        <v>1.58</v>
      </c>
      <c r="F31" s="58"/>
      <c r="G31" s="66">
        <f>SUM(C31:D31)-E31</f>
        <v>0</v>
      </c>
    </row>
    <row r="32" spans="2:8" x14ac:dyDescent="0.2">
      <c r="B32" s="8" t="str">
        <f>B13&amp;" - "&amp;B27</f>
        <v>2022 - 2036</v>
      </c>
      <c r="C32" s="60">
        <f>ROUND(Total!D32-Total!C32,3)</f>
        <v>-0.6</v>
      </c>
      <c r="D32" s="60">
        <f>ROUND(Total!E32-Total!D32,3)</f>
        <v>1.85</v>
      </c>
      <c r="E32" s="60">
        <f>SUM(C32:D32)</f>
        <v>1.25</v>
      </c>
      <c r="F32" s="58"/>
      <c r="G32" s="66">
        <f>SUM(C32:D32)-E32</f>
        <v>0</v>
      </c>
    </row>
    <row r="33" spans="2:5" x14ac:dyDescent="0.2">
      <c r="C33" s="48"/>
      <c r="D33" s="48"/>
      <c r="E33" s="50"/>
    </row>
    <row r="34" spans="2:5" x14ac:dyDescent="0.2">
      <c r="B34" s="1" t="str">
        <f>Total!B34</f>
        <v>(1)   Studies are sequential.  The order of the studies would affect the price impact.</v>
      </c>
      <c r="C34" s="48"/>
      <c r="D34" s="48"/>
      <c r="E34" s="48"/>
    </row>
    <row r="35" spans="2:5" x14ac:dyDescent="0.2">
      <c r="B35" s="1" t="str">
        <f>Total!B35</f>
        <v>(2)   Official Forward Price Curve Dated March 2020</v>
      </c>
    </row>
    <row r="36" spans="2:5" x14ac:dyDescent="0.2">
      <c r="B36" s="1" t="str">
        <f>Total!B36</f>
        <v>(3)   Discount Rate - 2019 IRP - Calculated Annually</v>
      </c>
      <c r="C36" s="8"/>
    </row>
    <row r="40" spans="2:5" hidden="1" x14ac:dyDescent="0.2">
      <c r="B40" s="21" t="s">
        <v>11</v>
      </c>
    </row>
    <row r="41" spans="2:5" hidden="1" x14ac:dyDescent="0.2">
      <c r="B41" s="37">
        <f>Discount_Rate</f>
        <v>6.9199999999999998E-2</v>
      </c>
    </row>
  </sheetData>
  <phoneticPr fontId="2" type="noConversion"/>
  <printOptions horizontalCentered="1"/>
  <pageMargins left="0.25" right="0.25" top="0.75" bottom="0.75" header="0.3" footer="0.2"/>
  <pageSetup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42"/>
    <pageSetUpPr fitToPage="1"/>
  </sheetPr>
  <dimension ref="B1:N44"/>
  <sheetViews>
    <sheetView view="pageBreakPreview" zoomScale="60" zoomScaleNormal="70" workbookViewId="0">
      <pane xSplit="2" ySplit="9" topLeftCell="C10" activePane="bottomRight" state="frozen"/>
      <selection activeCell="E37" sqref="E37"/>
      <selection pane="topRight" activeCell="E37" sqref="E37"/>
      <selection pane="bottomLeft" activeCell="E37" sqref="E37"/>
      <selection pane="bottomRight" activeCell="B39" sqref="B39"/>
    </sheetView>
  </sheetViews>
  <sheetFormatPr defaultColWidth="9.140625" defaultRowHeight="15" x14ac:dyDescent="0.2"/>
  <cols>
    <col min="1" max="1" width="1.85546875" style="1" customWidth="1"/>
    <col min="2" max="2" width="18.7109375" style="1" customWidth="1"/>
    <col min="3" max="5" width="17.7109375" style="1" customWidth="1"/>
    <col min="6" max="6" width="16.28515625" style="1" customWidth="1"/>
    <col min="7" max="7" width="11.5703125" style="1" customWidth="1"/>
    <col min="8" max="8" width="16.42578125" style="1" customWidth="1"/>
    <col min="9" max="9" width="13.85546875" style="1" customWidth="1"/>
    <col min="10" max="12" width="9.140625" style="1"/>
    <col min="13" max="13" width="10.28515625" style="1" customWidth="1"/>
    <col min="14" max="16384" width="9.140625" style="1"/>
  </cols>
  <sheetData>
    <row r="1" spans="2:14" ht="15.75" x14ac:dyDescent="0.25">
      <c r="B1" s="6" t="s">
        <v>3</v>
      </c>
      <c r="C1" s="6"/>
      <c r="D1" s="6"/>
      <c r="E1" s="6"/>
    </row>
    <row r="2" spans="2:14" ht="8.25" customHeight="1" x14ac:dyDescent="0.25">
      <c r="B2" s="6"/>
      <c r="C2" s="6"/>
      <c r="D2" s="6"/>
      <c r="E2" s="6"/>
    </row>
    <row r="3" spans="2:14" ht="15.75" x14ac:dyDescent="0.25">
      <c r="B3" s="6" t="s">
        <v>1</v>
      </c>
      <c r="C3" s="6"/>
      <c r="D3" s="6"/>
      <c r="E3" s="6"/>
    </row>
    <row r="4" spans="2:14" ht="15.75" x14ac:dyDescent="0.25">
      <c r="B4" s="6" t="str">
        <f>Capacity!$B$4</f>
        <v>Step Study between 2020.Q1 and 2019.Q4 Compliance Filing</v>
      </c>
      <c r="C4" s="6"/>
      <c r="D4" s="6"/>
      <c r="E4" s="6"/>
    </row>
    <row r="5" spans="2:14" ht="15.75" x14ac:dyDescent="0.25">
      <c r="B5" s="6" t="s">
        <v>9</v>
      </c>
      <c r="C5" s="6"/>
      <c r="D5" s="6"/>
      <c r="E5" s="6"/>
    </row>
    <row r="6" spans="2:14" s="18" customFormat="1" ht="15.75" x14ac:dyDescent="0.25">
      <c r="B6" s="16"/>
      <c r="C6" s="16"/>
      <c r="D6" s="16"/>
      <c r="E6" s="17"/>
    </row>
    <row r="7" spans="2:14" ht="15.75" x14ac:dyDescent="0.25">
      <c r="B7" s="43"/>
      <c r="C7" s="44" t="str">
        <f>Energy!C7</f>
        <v>2019.Q4</v>
      </c>
      <c r="D7" s="44" t="str">
        <f>Energy!D7</f>
        <v>OFPC</v>
      </c>
      <c r="E7" s="44" t="str">
        <f>Energy!E7</f>
        <v>Queue</v>
      </c>
    </row>
    <row r="8" spans="2:14" ht="15.75" x14ac:dyDescent="0.25">
      <c r="B8" s="7" t="s">
        <v>0</v>
      </c>
      <c r="C8" s="2" t="str">
        <f>Energy!C8</f>
        <v>As Filed</v>
      </c>
      <c r="D8" s="67" t="s">
        <v>16</v>
      </c>
      <c r="E8" s="2"/>
    </row>
    <row r="9" spans="2:14" ht="4.5" customHeight="1" x14ac:dyDescent="0.2"/>
    <row r="10" spans="2:14" ht="15.75" hidden="1" x14ac:dyDescent="0.25">
      <c r="B10" s="3">
        <v>2019</v>
      </c>
      <c r="C10" s="63">
        <f>ROUND(Capacity!$F10+Energy!C10,3)</f>
        <v>27.215</v>
      </c>
      <c r="D10" s="63" t="e">
        <f>ROUND(Capacity!$G10+Energy!D10,3)</f>
        <v>#N/A</v>
      </c>
      <c r="E10" s="63" t="e">
        <f>ROUND(Capacity!$G10+Energy!E10,3)</f>
        <v>#N/A</v>
      </c>
      <c r="G10" s="45"/>
      <c r="H10" s="51"/>
      <c r="I10" s="45"/>
      <c r="J10" s="45"/>
      <c r="K10" s="45"/>
      <c r="L10" s="45"/>
      <c r="M10" s="45"/>
    </row>
    <row r="11" spans="2:14" ht="15.75" x14ac:dyDescent="0.25">
      <c r="B11" s="3">
        <f t="shared" ref="B11:B27" si="0">B10+1</f>
        <v>2020</v>
      </c>
      <c r="C11" s="63">
        <f>ROUND(Capacity!$F11+Energy!C11,3)</f>
        <v>13.961</v>
      </c>
      <c r="D11" s="63">
        <f>ROUND(Capacity!$F11+Energy!D11,3)</f>
        <v>12.769</v>
      </c>
      <c r="E11" s="63">
        <f>ROUND(Capacity!$G11+Energy!E11,3)</f>
        <v>14.223000000000001</v>
      </c>
      <c r="F11" s="66"/>
      <c r="G11" s="66"/>
      <c r="H11" s="66"/>
      <c r="I11" s="66"/>
      <c r="J11" s="45"/>
      <c r="K11" s="45"/>
      <c r="L11" s="45"/>
      <c r="M11" s="45"/>
    </row>
    <row r="12" spans="2:14" ht="15.75" x14ac:dyDescent="0.25">
      <c r="B12" s="3">
        <f t="shared" si="0"/>
        <v>2021</v>
      </c>
      <c r="C12" s="63">
        <f>ROUND(Capacity!$F12+Energy!C12,3)</f>
        <v>12.901</v>
      </c>
      <c r="D12" s="63">
        <f>ROUND(Capacity!$F12+Energy!D12,3)</f>
        <v>15.242000000000001</v>
      </c>
      <c r="E12" s="63">
        <f>ROUND(Capacity!$G12+Energy!E12,3)</f>
        <v>16.687999999999999</v>
      </c>
      <c r="F12" s="66"/>
      <c r="G12" s="66"/>
      <c r="H12" s="66"/>
      <c r="I12" s="66"/>
      <c r="J12" s="45"/>
      <c r="K12" s="45"/>
      <c r="L12" s="45"/>
      <c r="M12" s="45"/>
    </row>
    <row r="13" spans="2:14" ht="15.75" x14ac:dyDescent="0.25">
      <c r="B13" s="3">
        <f t="shared" si="0"/>
        <v>2022</v>
      </c>
      <c r="C13" s="63">
        <f>ROUND(Capacity!$F13+Energy!C13,3)</f>
        <v>16.091000000000001</v>
      </c>
      <c r="D13" s="63">
        <f>ROUND(Capacity!$F13+Energy!D13,3)</f>
        <v>15.436999999999999</v>
      </c>
      <c r="E13" s="63">
        <f>ROUND(Capacity!$G13+Energy!E13,3)</f>
        <v>17.719000000000001</v>
      </c>
      <c r="F13" s="66"/>
      <c r="G13" s="66"/>
      <c r="H13" s="66"/>
      <c r="I13" s="66"/>
      <c r="J13" s="45"/>
      <c r="K13" s="45"/>
      <c r="L13" s="45"/>
      <c r="M13" s="45"/>
      <c r="N13" s="5"/>
    </row>
    <row r="14" spans="2:14" ht="15.75" x14ac:dyDescent="0.25">
      <c r="B14" s="3">
        <f t="shared" si="0"/>
        <v>2023</v>
      </c>
      <c r="C14" s="63">
        <f>ROUND(Capacity!$F14+Energy!C14,3)</f>
        <v>14.006</v>
      </c>
      <c r="D14" s="63">
        <f>ROUND(Capacity!$F14+Energy!D14,3)</f>
        <v>13.91</v>
      </c>
      <c r="E14" s="63">
        <f>ROUND(Capacity!$G14+Energy!E14,3)</f>
        <v>16.864000000000001</v>
      </c>
      <c r="F14" s="66"/>
      <c r="G14" s="66"/>
      <c r="H14" s="66"/>
      <c r="I14" s="66"/>
      <c r="J14" s="45"/>
      <c r="K14" s="45"/>
      <c r="L14" s="45"/>
      <c r="M14" s="45"/>
    </row>
    <row r="15" spans="2:14" ht="15.75" x14ac:dyDescent="0.25">
      <c r="B15" s="3">
        <f t="shared" si="0"/>
        <v>2024</v>
      </c>
      <c r="C15" s="63">
        <f>ROUND(Capacity!$F15+Energy!C15,3)</f>
        <v>7.3570000000000002</v>
      </c>
      <c r="D15" s="63">
        <f>ROUND(Capacity!$F15+Energy!D15,3)</f>
        <v>7.7240000000000002</v>
      </c>
      <c r="E15" s="63">
        <f>ROUND(Capacity!$G15+Energy!E15,3)</f>
        <v>12.077999999999999</v>
      </c>
      <c r="F15" s="66"/>
      <c r="G15" s="66"/>
      <c r="H15" s="66"/>
      <c r="I15" s="66"/>
      <c r="J15" s="45"/>
      <c r="K15" s="45"/>
      <c r="L15" s="45"/>
      <c r="M15" s="45"/>
    </row>
    <row r="16" spans="2:14" ht="15.75" x14ac:dyDescent="0.25">
      <c r="B16" s="3">
        <f t="shared" si="0"/>
        <v>2025</v>
      </c>
      <c r="C16" s="63">
        <f>ROUND(Capacity!$F16+Energy!C16,3)</f>
        <v>8.3520000000000003</v>
      </c>
      <c r="D16" s="63">
        <f>ROUND(Capacity!$F16+Energy!D16,3)</f>
        <v>9.1519999999999992</v>
      </c>
      <c r="E16" s="63">
        <f>ROUND(Capacity!$G16+Energy!E16,3)</f>
        <v>12.709</v>
      </c>
      <c r="F16" s="66"/>
      <c r="G16" s="66"/>
      <c r="H16" s="66"/>
      <c r="I16" s="66"/>
      <c r="J16" s="45"/>
      <c r="K16" s="45"/>
      <c r="L16" s="45"/>
      <c r="M16" s="45"/>
    </row>
    <row r="17" spans="2:13" ht="15.75" x14ac:dyDescent="0.25">
      <c r="B17" s="3">
        <f t="shared" si="0"/>
        <v>2026</v>
      </c>
      <c r="C17" s="63">
        <f>ROUND(Capacity!$F17+Energy!C17,3)</f>
        <v>28.154</v>
      </c>
      <c r="D17" s="63">
        <f>ROUND(Capacity!$F17+Energy!D17,3)</f>
        <v>28.167000000000002</v>
      </c>
      <c r="E17" s="63">
        <f>ROUND(Capacity!$G17+Energy!E17,3)</f>
        <v>29.931999999999999</v>
      </c>
      <c r="F17" s="66"/>
      <c r="G17" s="66"/>
      <c r="H17" s="66"/>
      <c r="I17" s="66"/>
      <c r="J17" s="45"/>
      <c r="K17" s="45"/>
      <c r="L17" s="45"/>
      <c r="M17" s="45"/>
    </row>
    <row r="18" spans="2:13" ht="15.75" x14ac:dyDescent="0.25">
      <c r="B18" s="3">
        <f t="shared" si="0"/>
        <v>2027</v>
      </c>
      <c r="C18" s="63">
        <f>ROUND(Capacity!$F18+Energy!C18,3)</f>
        <v>29.321000000000002</v>
      </c>
      <c r="D18" s="63">
        <f>ROUND(Capacity!$F18+Energy!D18,3)</f>
        <v>30.38</v>
      </c>
      <c r="E18" s="63">
        <f>ROUND(Capacity!$G18+Energy!E18,3)</f>
        <v>31.96</v>
      </c>
      <c r="F18" s="66"/>
      <c r="G18" s="66"/>
      <c r="H18" s="66"/>
      <c r="I18" s="66"/>
      <c r="J18" s="45"/>
      <c r="K18" s="45"/>
      <c r="L18" s="45"/>
      <c r="M18" s="45"/>
    </row>
    <row r="19" spans="2:13" ht="15.75" x14ac:dyDescent="0.25">
      <c r="B19" s="3">
        <f t="shared" si="0"/>
        <v>2028</v>
      </c>
      <c r="C19" s="63">
        <f>ROUND(Capacity!$F19+Energy!C19,3)</f>
        <v>33.74</v>
      </c>
      <c r="D19" s="63">
        <f>ROUND(Capacity!$F19+Energy!D19,3)</f>
        <v>34.308999999999997</v>
      </c>
      <c r="E19" s="63">
        <f>ROUND(Capacity!$G19+Energy!E19,3)</f>
        <v>35.628999999999998</v>
      </c>
      <c r="F19" s="66"/>
      <c r="G19" s="66"/>
      <c r="H19" s="66"/>
      <c r="I19" s="66"/>
      <c r="J19" s="45"/>
      <c r="K19" s="45"/>
      <c r="L19" s="45"/>
      <c r="M19" s="45"/>
    </row>
    <row r="20" spans="2:13" ht="15.75" x14ac:dyDescent="0.25">
      <c r="B20" s="3">
        <f t="shared" si="0"/>
        <v>2029</v>
      </c>
      <c r="C20" s="63">
        <f>ROUND(Capacity!$F20+Energy!C20,3)</f>
        <v>36.235999999999997</v>
      </c>
      <c r="D20" s="63">
        <f>ROUND(Capacity!$F20+Energy!D20,3)</f>
        <v>35.841999999999999</v>
      </c>
      <c r="E20" s="63">
        <f>ROUND(Capacity!$G20+Energy!E20,3)</f>
        <v>36.957999999999998</v>
      </c>
      <c r="F20" s="66"/>
      <c r="G20" s="66"/>
      <c r="H20" s="66"/>
      <c r="I20" s="66"/>
      <c r="J20" s="45"/>
      <c r="K20" s="45"/>
      <c r="L20" s="45"/>
      <c r="M20" s="45"/>
    </row>
    <row r="21" spans="2:13" ht="15.75" x14ac:dyDescent="0.25">
      <c r="B21" s="3">
        <f t="shared" si="0"/>
        <v>2030</v>
      </c>
      <c r="C21" s="63">
        <f>ROUND(Capacity!$F21+Energy!C21,3)</f>
        <v>36.6</v>
      </c>
      <c r="D21" s="63">
        <f>ROUND(Capacity!$F21+Energy!D21,3)</f>
        <v>35.219000000000001</v>
      </c>
      <c r="E21" s="63">
        <f>ROUND(Capacity!$G21+Energy!E21,3)</f>
        <v>36.218000000000004</v>
      </c>
      <c r="F21" s="66"/>
      <c r="G21" s="66"/>
      <c r="H21" s="66"/>
      <c r="I21" s="66"/>
      <c r="J21" s="45"/>
      <c r="K21" s="45"/>
      <c r="L21" s="45"/>
      <c r="M21" s="45"/>
    </row>
    <row r="22" spans="2:13" ht="15.75" x14ac:dyDescent="0.25">
      <c r="B22" s="3">
        <f t="shared" si="0"/>
        <v>2031</v>
      </c>
      <c r="C22" s="63">
        <f>ROUND(Capacity!$F22+Energy!C22,3)</f>
        <v>40.941000000000003</v>
      </c>
      <c r="D22" s="63">
        <f>ROUND(Capacity!$F22+Energy!D22,3)</f>
        <v>38.406999999999996</v>
      </c>
      <c r="E22" s="63">
        <f>ROUND(Capacity!$G22+Energy!E22,3)</f>
        <v>38.896000000000001</v>
      </c>
      <c r="F22" s="66"/>
      <c r="G22" s="66"/>
      <c r="H22" s="66"/>
      <c r="I22" s="66"/>
      <c r="J22" s="45"/>
      <c r="K22" s="45"/>
      <c r="L22" s="45"/>
      <c r="M22" s="45"/>
    </row>
    <row r="23" spans="2:13" ht="15.75" x14ac:dyDescent="0.25">
      <c r="B23" s="3">
        <f t="shared" si="0"/>
        <v>2032</v>
      </c>
      <c r="C23" s="63">
        <f>ROUND(Capacity!$F23+Energy!C23,3)</f>
        <v>46.085000000000001</v>
      </c>
      <c r="D23" s="63">
        <f>ROUND(Capacity!$F23+Energy!D23,3)</f>
        <v>42.936</v>
      </c>
      <c r="E23" s="63">
        <f>ROUND(Capacity!$G23+Energy!E23,3)</f>
        <v>43.628999999999998</v>
      </c>
      <c r="F23" s="66"/>
      <c r="G23" s="66"/>
      <c r="H23" s="66"/>
      <c r="I23" s="66"/>
      <c r="J23" s="45"/>
      <c r="K23" s="45"/>
      <c r="L23" s="45"/>
      <c r="M23" s="45"/>
    </row>
    <row r="24" spans="2:13" ht="15.75" x14ac:dyDescent="0.25">
      <c r="B24" s="3">
        <f t="shared" si="0"/>
        <v>2033</v>
      </c>
      <c r="C24" s="63">
        <f>ROUND(Capacity!$F24+Energy!C24,3)</f>
        <v>46.905999999999999</v>
      </c>
      <c r="D24" s="63">
        <f>ROUND(Capacity!$F24+Energy!D24,3)</f>
        <v>44.99</v>
      </c>
      <c r="E24" s="63">
        <f>ROUND(Capacity!$G24+Energy!E24,3)</f>
        <v>45.649000000000001</v>
      </c>
      <c r="F24" s="66"/>
      <c r="G24" s="66"/>
      <c r="H24" s="66"/>
      <c r="I24" s="66"/>
      <c r="J24" s="45"/>
      <c r="K24" s="45"/>
      <c r="L24" s="45"/>
      <c r="M24" s="45"/>
    </row>
    <row r="25" spans="2:13" ht="15.75" x14ac:dyDescent="0.25">
      <c r="B25" s="3">
        <f t="shared" si="0"/>
        <v>2034</v>
      </c>
      <c r="C25" s="63">
        <f>ROUND(Capacity!$F25+Energy!C25,3)</f>
        <v>48.554000000000002</v>
      </c>
      <c r="D25" s="63">
        <f>ROUND(Capacity!$F25+Energy!D25,3)</f>
        <v>46.529000000000003</v>
      </c>
      <c r="E25" s="63">
        <f>ROUND(Capacity!$G25+Energy!E25,3)</f>
        <v>47.216000000000001</v>
      </c>
      <c r="F25" s="66"/>
      <c r="G25" s="66"/>
      <c r="H25" s="66"/>
      <c r="I25" s="66"/>
      <c r="J25" s="45"/>
      <c r="K25" s="45"/>
      <c r="L25" s="45"/>
      <c r="M25" s="45"/>
    </row>
    <row r="26" spans="2:13" ht="15.75" x14ac:dyDescent="0.25">
      <c r="B26" s="3">
        <f t="shared" si="0"/>
        <v>2035</v>
      </c>
      <c r="C26" s="63">
        <f>ROUND(Capacity!$F26+Energy!C26,3)</f>
        <v>50.758000000000003</v>
      </c>
      <c r="D26" s="63">
        <f>ROUND(Capacity!$F26+Energy!D26,3)</f>
        <v>48.723999999999997</v>
      </c>
      <c r="E26" s="63">
        <f>ROUND(Capacity!$G26+Energy!E26,3)</f>
        <v>49.311</v>
      </c>
      <c r="F26" s="66"/>
      <c r="G26" s="66"/>
      <c r="H26" s="66"/>
      <c r="I26" s="66"/>
      <c r="J26" s="45"/>
      <c r="K26" s="45"/>
      <c r="L26" s="45"/>
      <c r="M26" s="45"/>
    </row>
    <row r="27" spans="2:13" ht="15.75" x14ac:dyDescent="0.25">
      <c r="B27" s="3">
        <f t="shared" si="0"/>
        <v>2036</v>
      </c>
      <c r="C27" s="63">
        <f>ROUND(Capacity!$F27+Energy!C27,3)</f>
        <v>52.302999999999997</v>
      </c>
      <c r="D27" s="63">
        <f>ROUND(Capacity!$F27+Energy!D27,3)</f>
        <v>51.137</v>
      </c>
      <c r="E27" s="63">
        <f>ROUND(Capacity!$G27+Energy!E27,3)</f>
        <v>51.715000000000003</v>
      </c>
      <c r="F27" s="66"/>
      <c r="G27" s="66"/>
      <c r="H27" s="66"/>
      <c r="I27" s="66"/>
      <c r="J27" s="45"/>
      <c r="K27" s="45"/>
      <c r="L27" s="45"/>
      <c r="M27" s="45"/>
    </row>
    <row r="28" spans="2:13" x14ac:dyDescent="0.2">
      <c r="C28" s="64"/>
      <c r="D28" s="64"/>
      <c r="E28" s="64"/>
      <c r="G28" s="45"/>
      <c r="H28" s="45"/>
    </row>
    <row r="29" spans="2:13" x14ac:dyDescent="0.2">
      <c r="B29" s="4" t="str">
        <f>"Nominal Levelized Payment at "&amp;TEXT(Discount_Rate,"0.000%")&amp;" Discount Rate (3)"</f>
        <v>Nominal Levelized Payment at 6.920% Discount Rate (3)</v>
      </c>
      <c r="C29" s="64"/>
      <c r="D29" s="64"/>
      <c r="E29" s="64"/>
      <c r="G29" s="45"/>
      <c r="H29" s="45"/>
    </row>
    <row r="30" spans="2:13" x14ac:dyDescent="0.2">
      <c r="B30" s="8" t="str">
        <f>B11&amp;" - "&amp;B25</f>
        <v>2020 - 2034</v>
      </c>
      <c r="C30" s="65">
        <f t="shared" ref="C30:E32" si="1">ROUND(PMT(Discount_Rate,COUNT(C11:C25),-NPV(Discount_Rate,C11:C25)),2)</f>
        <v>24.28</v>
      </c>
      <c r="D30" s="65">
        <f t="shared" si="1"/>
        <v>23.98</v>
      </c>
      <c r="E30" s="65">
        <f t="shared" si="1"/>
        <v>25.85</v>
      </c>
      <c r="G30" s="45"/>
      <c r="H30" s="51"/>
    </row>
    <row r="31" spans="2:13" x14ac:dyDescent="0.2">
      <c r="B31" s="8" t="str">
        <f>B12&amp;" - "&amp;B26</f>
        <v>2021 - 2035</v>
      </c>
      <c r="C31" s="65">
        <f t="shared" si="1"/>
        <v>26.47</v>
      </c>
      <c r="D31" s="65">
        <f t="shared" si="1"/>
        <v>26.2</v>
      </c>
      <c r="E31" s="65">
        <f t="shared" si="1"/>
        <v>28.05</v>
      </c>
      <c r="G31" s="45"/>
      <c r="H31" s="51"/>
    </row>
    <row r="32" spans="2:13" x14ac:dyDescent="0.2">
      <c r="B32" s="8" t="str">
        <f>B13&amp;" - "&amp;B27</f>
        <v>2022 - 2036</v>
      </c>
      <c r="C32" s="65">
        <f t="shared" si="1"/>
        <v>28.99</v>
      </c>
      <c r="D32" s="65">
        <f t="shared" si="1"/>
        <v>28.39</v>
      </c>
      <c r="E32" s="65">
        <f t="shared" si="1"/>
        <v>30.24</v>
      </c>
      <c r="G32" s="45"/>
      <c r="H32" s="51"/>
    </row>
    <row r="33" spans="2:8" x14ac:dyDescent="0.2">
      <c r="D33" s="10"/>
      <c r="E33" s="10"/>
      <c r="G33" s="45"/>
      <c r="H33" s="45"/>
    </row>
    <row r="34" spans="2:8" x14ac:dyDescent="0.2">
      <c r="B34" s="8" t="s">
        <v>13</v>
      </c>
      <c r="G34" s="45"/>
      <c r="H34" s="45"/>
    </row>
    <row r="35" spans="2:8" x14ac:dyDescent="0.2">
      <c r="B35" s="1" t="str">
        <f>"(2)   Official Forward Price Curve Dated "&amp;TEXT(B42,"MMMM YYYY")</f>
        <v>(2)   Official Forward Price Curve Dated March 2020</v>
      </c>
      <c r="G35" s="45"/>
      <c r="H35" s="45"/>
    </row>
    <row r="36" spans="2:8" x14ac:dyDescent="0.2">
      <c r="B36" s="1" t="str">
        <f>"(3)   "&amp;B39&amp;" - Calculated Annually"</f>
        <v>(3)   Discount Rate - 2019 IRP - Calculated Annually</v>
      </c>
    </row>
    <row r="37" spans="2:8" x14ac:dyDescent="0.2">
      <c r="B37" s="25" t="str">
        <f>"(4)   Capacity costs are allocated based on assumed "&amp;TEXT(B44,"00%")&amp;" capacity factor."</f>
        <v>(4)   Capacity costs are allocated based on assumed 100% capacity factor.</v>
      </c>
    </row>
    <row r="39" spans="2:8" x14ac:dyDescent="0.2">
      <c r="B39" s="21" t="str">
        <f>[1]Incremental!$B$39</f>
        <v>Discount Rate - 2019 IRP</v>
      </c>
    </row>
    <row r="40" spans="2:8" x14ac:dyDescent="0.2">
      <c r="B40" s="20">
        <f>[1]Incremental!$B$40</f>
        <v>6.9199999999999998E-2</v>
      </c>
      <c r="D40" s="19"/>
    </row>
    <row r="41" spans="2:8" x14ac:dyDescent="0.2">
      <c r="B41" s="1" t="s">
        <v>10</v>
      </c>
      <c r="D41" s="19"/>
    </row>
    <row r="42" spans="2:8" x14ac:dyDescent="0.2">
      <c r="B42" s="22">
        <f>'[2]Forward Price Curve'!$G$2</f>
        <v>43921</v>
      </c>
      <c r="D42" s="19"/>
      <c r="E42" s="19"/>
    </row>
    <row r="43" spans="2:8" x14ac:dyDescent="0.2">
      <c r="B43" s="25" t="s">
        <v>18</v>
      </c>
    </row>
    <row r="44" spans="2:8" x14ac:dyDescent="0.2">
      <c r="B44" s="94">
        <v>1</v>
      </c>
    </row>
  </sheetData>
  <phoneticPr fontId="2" type="noConversion"/>
  <printOptions horizontalCentered="1"/>
  <pageMargins left="0.25" right="0.25" top="0.75" bottom="0.75" header="0.3" footer="0.2"/>
  <pageSetup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2"/>
    <pageSetUpPr fitToPage="1"/>
  </sheetPr>
  <dimension ref="B1:H43"/>
  <sheetViews>
    <sheetView zoomScale="70" zoomScaleNormal="70" workbookViewId="0">
      <pane xSplit="2" ySplit="8" topLeftCell="C22" activePane="bottomRight" state="frozen"/>
      <selection activeCell="E37" sqref="E37"/>
      <selection pane="topRight" activeCell="E37" sqref="E37"/>
      <selection pane="bottomLeft" activeCell="E37" sqref="E37"/>
      <selection pane="bottomRight" activeCell="C30" sqref="C30:E32"/>
    </sheetView>
  </sheetViews>
  <sheetFormatPr defaultColWidth="9.140625" defaultRowHeight="15" x14ac:dyDescent="0.2"/>
  <cols>
    <col min="1" max="1" width="1.85546875" style="25" customWidth="1"/>
    <col min="2" max="2" width="17.5703125" style="25" customWidth="1"/>
    <col min="3" max="5" width="17.7109375" style="25" customWidth="1"/>
    <col min="6" max="6" width="27.7109375" style="25" customWidth="1"/>
    <col min="7" max="7" width="18.85546875" style="25" customWidth="1"/>
    <col min="8" max="16384" width="9.140625" style="25"/>
  </cols>
  <sheetData>
    <row r="1" spans="2:8" ht="15.75" x14ac:dyDescent="0.25">
      <c r="B1" s="23" t="str">
        <f>Total!B1</f>
        <v>Appendix C</v>
      </c>
      <c r="C1" s="23"/>
      <c r="D1" s="23"/>
      <c r="E1" s="23"/>
    </row>
    <row r="2" spans="2:8" ht="8.25" customHeight="1" x14ac:dyDescent="0.25">
      <c r="B2" s="23"/>
      <c r="C2" s="23"/>
      <c r="D2" s="23"/>
      <c r="E2" s="23"/>
    </row>
    <row r="3" spans="2:8" ht="15.75" x14ac:dyDescent="0.25">
      <c r="B3" s="23" t="str">
        <f>Total!B3</f>
        <v>Utah Quarterly Compliance Filing</v>
      </c>
      <c r="C3" s="23"/>
      <c r="D3" s="23"/>
      <c r="E3" s="23"/>
    </row>
    <row r="4" spans="2:8" ht="15.75" x14ac:dyDescent="0.25">
      <c r="B4" s="23" t="str">
        <f>Capacity!$B$4</f>
        <v>Step Study between 2020.Q1 and 2019.Q4 Compliance Filing</v>
      </c>
      <c r="C4" s="23"/>
      <c r="D4" s="23"/>
      <c r="E4" s="23"/>
    </row>
    <row r="5" spans="2:8" ht="15.75" x14ac:dyDescent="0.25">
      <c r="B5" s="23" t="s">
        <v>5</v>
      </c>
      <c r="C5" s="23"/>
      <c r="D5" s="23"/>
      <c r="E5" s="23"/>
    </row>
    <row r="6" spans="2:8" ht="15.75" x14ac:dyDescent="0.25">
      <c r="B6" s="23"/>
      <c r="C6" s="47"/>
      <c r="D6" s="47"/>
      <c r="E6" s="47"/>
    </row>
    <row r="7" spans="2:8" ht="15.75" x14ac:dyDescent="0.25">
      <c r="B7" s="26"/>
      <c r="C7" s="41" t="str">
        <f>Capacity!K7</f>
        <v>2019.Q4</v>
      </c>
      <c r="D7" s="46" t="str">
        <f>[1]Incremental!I7</f>
        <v>OFPC</v>
      </c>
      <c r="E7" s="46" t="str">
        <f>[1]Incremental!J7</f>
        <v>Queue</v>
      </c>
      <c r="G7" s="55"/>
      <c r="H7" s="56"/>
    </row>
    <row r="8" spans="2:8" ht="15.75" x14ac:dyDescent="0.25">
      <c r="B8" s="28" t="s">
        <v>0</v>
      </c>
      <c r="C8" s="40" t="s">
        <v>6</v>
      </c>
      <c r="D8" s="93" t="s">
        <v>16</v>
      </c>
      <c r="E8" s="93" t="s">
        <v>16</v>
      </c>
      <c r="G8" s="55"/>
      <c r="H8" s="56"/>
    </row>
    <row r="9" spans="2:8" ht="4.5" customHeight="1" x14ac:dyDescent="0.2">
      <c r="B9" s="70"/>
      <c r="C9" s="91"/>
      <c r="D9" s="91"/>
      <c r="E9" s="91"/>
      <c r="G9" s="96"/>
      <c r="H9" s="56"/>
    </row>
    <row r="10" spans="2:8" ht="15.75" hidden="1" x14ac:dyDescent="0.25">
      <c r="B10" s="71">
        <f>Total!B10</f>
        <v>2019</v>
      </c>
      <c r="C10" s="92">
        <v>27.215</v>
      </c>
      <c r="D10" s="92" t="e">
        <f>C10+[1]Incremental!N10</f>
        <v>#REF!</v>
      </c>
      <c r="E10" s="92" t="e">
        <f>#REF!+[1]Incremental!P10</f>
        <v>#REF!</v>
      </c>
      <c r="G10" s="97"/>
      <c r="H10" s="57"/>
    </row>
    <row r="11" spans="2:8" ht="15.75" x14ac:dyDescent="0.25">
      <c r="B11" s="71">
        <f t="shared" ref="B11:B27" si="0">B10+1</f>
        <v>2020</v>
      </c>
      <c r="C11" s="99">
        <f>ROUND(HLOOKUP($B11,[3]Summary!$C$5:$L$47,43,FALSE),3)</f>
        <v>13.961</v>
      </c>
      <c r="D11" s="98">
        <f>ROUND(HLOOKUP($B11,[4]Summary!$C$5:$L$47,43,FALSE),3)</f>
        <v>12.769</v>
      </c>
      <c r="E11" s="99">
        <f>ROUND(HLOOKUP($B11,[5]Summary!$C$5:$L$47,43,FALSE),3)</f>
        <v>14.223000000000001</v>
      </c>
      <c r="G11" s="97">
        <f>E11-[1]Energy!E11</f>
        <v>0</v>
      </c>
      <c r="H11" s="57"/>
    </row>
    <row r="12" spans="2:8" ht="15.75" x14ac:dyDescent="0.25">
      <c r="B12" s="71">
        <f t="shared" si="0"/>
        <v>2021</v>
      </c>
      <c r="C12" s="99">
        <f>ROUND(HLOOKUP($B12,[3]Summary!$C$5:$L$47,43,FALSE),3)</f>
        <v>12.901</v>
      </c>
      <c r="D12" s="98">
        <f>ROUND(HLOOKUP($B12,[4]Summary!$C$5:$L$47,43,FALSE),3)</f>
        <v>15.242000000000001</v>
      </c>
      <c r="E12" s="99">
        <f>ROUND(HLOOKUP($B12,[5]Summary!$C$5:$L$47,43,FALSE),3)</f>
        <v>16.687999999999999</v>
      </c>
      <c r="G12" s="97">
        <f>E12-[1]Energy!E12</f>
        <v>0</v>
      </c>
      <c r="H12" s="57"/>
    </row>
    <row r="13" spans="2:8" ht="15.75" x14ac:dyDescent="0.25">
      <c r="B13" s="71">
        <f t="shared" si="0"/>
        <v>2022</v>
      </c>
      <c r="C13" s="99">
        <f>ROUND(HLOOKUP($B13,[3]Summary!$C$5:$L$47,43,FALSE),3)</f>
        <v>16.091000000000001</v>
      </c>
      <c r="D13" s="98">
        <f>ROUND(HLOOKUP($B13,[4]Summary!$C$5:$L$47,43,FALSE),3)</f>
        <v>15.436999999999999</v>
      </c>
      <c r="E13" s="99">
        <f>ROUND(HLOOKUP($B13,[5]Summary!$C$5:$L$47,43,FALSE),3)</f>
        <v>17.719000000000001</v>
      </c>
      <c r="G13" s="97">
        <f>E13-[1]Energy!E13</f>
        <v>0</v>
      </c>
      <c r="H13" s="57"/>
    </row>
    <row r="14" spans="2:8" ht="15.75" x14ac:dyDescent="0.25">
      <c r="B14" s="71">
        <f t="shared" si="0"/>
        <v>2023</v>
      </c>
      <c r="C14" s="99">
        <f>ROUND(HLOOKUP($B14,[3]Summary!$C$5:$L$47,43,FALSE),3)</f>
        <v>14.006</v>
      </c>
      <c r="D14" s="98">
        <f>ROUND(HLOOKUP($B14,[4]Summary!$C$5:$L$47,43,FALSE),3)</f>
        <v>13.91</v>
      </c>
      <c r="E14" s="99">
        <f>ROUND(HLOOKUP($B14,[5]Summary!$C$5:$L$47,43,FALSE),3)</f>
        <v>16.864000000000001</v>
      </c>
      <c r="G14" s="97">
        <f>E14-[1]Energy!E14</f>
        <v>0</v>
      </c>
      <c r="H14" s="57"/>
    </row>
    <row r="15" spans="2:8" ht="15.75" x14ac:dyDescent="0.25">
      <c r="B15" s="71">
        <f t="shared" si="0"/>
        <v>2024</v>
      </c>
      <c r="C15" s="99">
        <f>ROUND(HLOOKUP($B15,[3]Summary!$C$5:$L$47,43,FALSE),3)</f>
        <v>7.3570000000000002</v>
      </c>
      <c r="D15" s="98">
        <f>ROUND(HLOOKUP($B15,[4]Summary!$C$5:$L$47,43,FALSE),3)</f>
        <v>7.7240000000000002</v>
      </c>
      <c r="E15" s="99">
        <f>ROUND(HLOOKUP($B15,[5]Summary!$C$5:$L$47,43,FALSE),3)</f>
        <v>12.077999999999999</v>
      </c>
      <c r="G15" s="97">
        <f>E15-[1]Energy!E15</f>
        <v>0</v>
      </c>
      <c r="H15" s="57"/>
    </row>
    <row r="16" spans="2:8" ht="15.75" x14ac:dyDescent="0.25">
      <c r="B16" s="71">
        <f t="shared" si="0"/>
        <v>2025</v>
      </c>
      <c r="C16" s="99">
        <f>ROUND(HLOOKUP($B16,[3]Summary!$C$5:$L$47,43,FALSE),3)</f>
        <v>8.3520000000000003</v>
      </c>
      <c r="D16" s="98">
        <f>ROUND(HLOOKUP($B16,[4]Summary!$C$5:$L$47,43,FALSE),3)</f>
        <v>9.1519999999999992</v>
      </c>
      <c r="E16" s="99">
        <f>ROUND(HLOOKUP($B16,[5]Summary!$C$5:$L$47,43,FALSE),3)</f>
        <v>12.709</v>
      </c>
      <c r="G16" s="97">
        <f>E16-[1]Energy!E16</f>
        <v>0</v>
      </c>
      <c r="H16" s="57"/>
    </row>
    <row r="17" spans="2:8" ht="15.75" x14ac:dyDescent="0.25">
      <c r="B17" s="71">
        <f t="shared" si="0"/>
        <v>2026</v>
      </c>
      <c r="C17" s="99">
        <f>ROUND(HLOOKUP($B17,[3]Summary!$C$5:$L$47,43,FALSE),3)</f>
        <v>14.955</v>
      </c>
      <c r="D17" s="98">
        <f>ROUND(HLOOKUP($B17,[4]Summary!$C$5:$L$47,43,FALSE),3)</f>
        <v>14.968</v>
      </c>
      <c r="E17" s="99">
        <f>ROUND(HLOOKUP($B17,[5]Summary!$C$5:$L$47,43,FALSE),3)</f>
        <v>16.733000000000001</v>
      </c>
      <c r="G17" s="97">
        <f>E17-[1]Energy!E17</f>
        <v>0</v>
      </c>
      <c r="H17" s="57"/>
    </row>
    <row r="18" spans="2:8" ht="15.75" x14ac:dyDescent="0.25">
      <c r="B18" s="71">
        <f t="shared" si="0"/>
        <v>2027</v>
      </c>
      <c r="C18" s="99">
        <f>ROUND(HLOOKUP($B18,[3]Summary!$C$5:$L$47,43,FALSE),3)</f>
        <v>15.818</v>
      </c>
      <c r="D18" s="98">
        <f>ROUND(HLOOKUP($B18,[4]Summary!$C$5:$L$47,43,FALSE),3)</f>
        <v>16.876999999999999</v>
      </c>
      <c r="E18" s="99">
        <f>ROUND(HLOOKUP($B18,[5]Summary!$C$5:$L$47,43,FALSE),3)</f>
        <v>18.457000000000001</v>
      </c>
      <c r="G18" s="97">
        <f>E18-[1]Energy!E18</f>
        <v>0</v>
      </c>
      <c r="H18" s="57"/>
    </row>
    <row r="19" spans="2:8" ht="15.75" x14ac:dyDescent="0.25">
      <c r="B19" s="71">
        <f t="shared" si="0"/>
        <v>2028</v>
      </c>
      <c r="C19" s="99">
        <f>ROUND(HLOOKUP($B19,[3]Summary!$C$5:$L$47,43,FALSE),3)</f>
        <v>19.963000000000001</v>
      </c>
      <c r="D19" s="98">
        <f>ROUND(HLOOKUP($B19,[4]Summary!$C$5:$L$47,43,FALSE),3)</f>
        <v>20.532</v>
      </c>
      <c r="E19" s="99">
        <f>ROUND(HLOOKUP($B19,[5]Summary!$C$5:$L$47,43,FALSE),3)</f>
        <v>21.852</v>
      </c>
      <c r="G19" s="97">
        <f>E19-[1]Energy!E19</f>
        <v>0</v>
      </c>
      <c r="H19" s="57"/>
    </row>
    <row r="20" spans="2:8" ht="15.75" x14ac:dyDescent="0.25">
      <c r="B20" s="71">
        <f t="shared" si="0"/>
        <v>2029</v>
      </c>
      <c r="C20" s="99">
        <f>ROUND(HLOOKUP($B20,[3]Summary!$C$5:$L$47,43,FALSE),3)</f>
        <v>22.103000000000002</v>
      </c>
      <c r="D20" s="98">
        <f>ROUND(HLOOKUP($B20,[4]Summary!$C$5:$L$47,43,FALSE),3)</f>
        <v>21.709</v>
      </c>
      <c r="E20" s="99">
        <f>ROUND(HLOOKUP($B20,[5]Summary!$C$5:$L$47,43,FALSE),3)</f>
        <v>22.824999999999999</v>
      </c>
      <c r="G20" s="97">
        <f>E20-[1]Energy!E20</f>
        <v>0</v>
      </c>
      <c r="H20" s="57"/>
    </row>
    <row r="21" spans="2:8" ht="15.75" x14ac:dyDescent="0.25">
      <c r="B21" s="71">
        <f t="shared" si="0"/>
        <v>2030</v>
      </c>
      <c r="C21" s="99">
        <f>ROUND(HLOOKUP($B21,[6]Summary!$C$5:$L$47,43,FALSE),3)</f>
        <v>22.155000000000001</v>
      </c>
      <c r="D21" s="98">
        <f>ROUND(HLOOKUP($B21,[7]Summary!$C$5:$K$47,43,FALSE),3)</f>
        <v>20.774000000000001</v>
      </c>
      <c r="E21" s="99">
        <f>ROUND(HLOOKUP($B21,[8]Summary!$C$5:$L$47,43,FALSE),3)</f>
        <v>21.773</v>
      </c>
      <c r="G21" s="97">
        <f>E21-[1]Energy!E21</f>
        <v>0</v>
      </c>
      <c r="H21" s="57"/>
    </row>
    <row r="22" spans="2:8" ht="15.75" x14ac:dyDescent="0.25">
      <c r="B22" s="71">
        <f t="shared" si="0"/>
        <v>2031</v>
      </c>
      <c r="C22" s="99">
        <f>ROUND(HLOOKUP($B22,[6]Summary!$C$5:$L$47,43,FALSE),3)</f>
        <v>26.178000000000001</v>
      </c>
      <c r="D22" s="98">
        <f>ROUND(HLOOKUP($B22,[7]Summary!$C$5:$K$47,43,FALSE),3)</f>
        <v>23.643999999999998</v>
      </c>
      <c r="E22" s="99">
        <f>ROUND(HLOOKUP($B22,[8]Summary!$C$5:$L$47,43,FALSE),3)</f>
        <v>24.132999999999999</v>
      </c>
      <c r="G22" s="97">
        <f>E22-[1]Energy!E22</f>
        <v>0</v>
      </c>
      <c r="H22" s="57"/>
    </row>
    <row r="23" spans="2:8" ht="15.75" x14ac:dyDescent="0.25">
      <c r="B23" s="71">
        <f t="shared" si="0"/>
        <v>2032</v>
      </c>
      <c r="C23" s="99">
        <f>ROUND(HLOOKUP($B23,[6]Summary!$C$5:$L$47,43,FALSE),3)</f>
        <v>31.036000000000001</v>
      </c>
      <c r="D23" s="98">
        <f>ROUND(HLOOKUP($B23,[7]Summary!$C$5:$K$47,43,FALSE),3)</f>
        <v>27.887</v>
      </c>
      <c r="E23" s="99">
        <f>ROUND(HLOOKUP($B23,[8]Summary!$C$5:$L$47,43,FALSE),3)</f>
        <v>28.58</v>
      </c>
      <c r="G23" s="97">
        <f>E23-[1]Energy!E23</f>
        <v>0</v>
      </c>
      <c r="H23" s="57"/>
    </row>
    <row r="24" spans="2:8" ht="15.75" x14ac:dyDescent="0.25">
      <c r="B24" s="71">
        <f t="shared" si="0"/>
        <v>2033</v>
      </c>
      <c r="C24" s="99">
        <f>ROUND(HLOOKUP($B24,[6]Summary!$C$5:$L$47,43,FALSE),3)</f>
        <v>31.501000000000001</v>
      </c>
      <c r="D24" s="98">
        <f>ROUND(HLOOKUP($B24,[7]Summary!$C$5:$K$47,43,FALSE),3)</f>
        <v>29.585000000000001</v>
      </c>
      <c r="E24" s="99">
        <f>ROUND(HLOOKUP($B24,[8]Summary!$C$5:$L$47,43,FALSE),3)</f>
        <v>30.244</v>
      </c>
      <c r="G24" s="97">
        <f>E24-[1]Energy!E24</f>
        <v>0</v>
      </c>
      <c r="H24" s="57"/>
    </row>
    <row r="25" spans="2:8" ht="15.75" x14ac:dyDescent="0.25">
      <c r="B25" s="71">
        <f t="shared" si="0"/>
        <v>2034</v>
      </c>
      <c r="C25" s="99">
        <f>ROUND(HLOOKUP($B25,[6]Summary!$C$5:$L$47,43,FALSE),3)</f>
        <v>32.825000000000003</v>
      </c>
      <c r="D25" s="98">
        <f>ROUND(HLOOKUP($B25,[7]Summary!$C$5:$K$47,43,FALSE),3)</f>
        <v>30.8</v>
      </c>
      <c r="E25" s="99">
        <f>ROUND(HLOOKUP($B25,[8]Summary!$C$5:$L$47,43,FALSE),3)</f>
        <v>31.486999999999998</v>
      </c>
      <c r="G25" s="97">
        <f>E25-[1]Energy!E25</f>
        <v>0</v>
      </c>
      <c r="H25" s="57"/>
    </row>
    <row r="26" spans="2:8" ht="15.75" x14ac:dyDescent="0.25">
      <c r="B26" s="71">
        <f t="shared" si="0"/>
        <v>2035</v>
      </c>
      <c r="C26" s="99">
        <f>ROUND(HLOOKUP($B26,[6]Summary!$C$5:$L$47,43,FALSE),3)</f>
        <v>34.700000000000003</v>
      </c>
      <c r="D26" s="98">
        <f>ROUND(HLOOKUP($B26,[7]Summary!$C$5:$K$47,43,FALSE),3)</f>
        <v>32.665999999999997</v>
      </c>
      <c r="E26" s="99">
        <f>ROUND(HLOOKUP($B26,[8]Summary!$C$5:$L$47,43,FALSE),3)</f>
        <v>33.253</v>
      </c>
      <c r="G26" s="97">
        <f>E26-[1]Energy!E26</f>
        <v>0</v>
      </c>
      <c r="H26" s="57"/>
    </row>
    <row r="27" spans="2:8" ht="15.75" x14ac:dyDescent="0.25">
      <c r="B27" s="72">
        <f t="shared" si="0"/>
        <v>2036</v>
      </c>
      <c r="C27" s="101">
        <f>ROUND(HLOOKUP($B27,[6]Summary!$C$5:$L$47,43,FALSE),3)</f>
        <v>35.951000000000001</v>
      </c>
      <c r="D27" s="100">
        <f>ROUND(HLOOKUP($B27,[7]Summary!$C$5:$K$47,43,FALSE),3)</f>
        <v>34.784999999999997</v>
      </c>
      <c r="E27" s="101">
        <f>ROUND(HLOOKUP($B27,[8]Summary!$C$5:$L$47,43,FALSE),3)</f>
        <v>35.363</v>
      </c>
      <c r="G27" s="97">
        <f>E27-[1]Energy!E27</f>
        <v>0</v>
      </c>
      <c r="H27" s="57"/>
    </row>
    <row r="28" spans="2:8" x14ac:dyDescent="0.2">
      <c r="C28" s="39"/>
      <c r="D28" s="39"/>
      <c r="E28" s="39"/>
      <c r="G28" s="97">
        <f>E28-[1]Energy!E28</f>
        <v>0</v>
      </c>
      <c r="H28" s="57"/>
    </row>
    <row r="29" spans="2:8" x14ac:dyDescent="0.2">
      <c r="B29" s="33" t="str">
        <f>"Nominal Levelized Payment at "&amp;TEXT($B$40,"0.00%")&amp;" Discount Rate (3)"</f>
        <v>Nominal Levelized Payment at 6.92% Discount Rate (3)</v>
      </c>
      <c r="C29" s="39"/>
      <c r="D29" s="39"/>
      <c r="E29" s="39"/>
      <c r="G29" s="97">
        <f>E29-[1]Energy!E29</f>
        <v>0</v>
      </c>
      <c r="H29" s="57"/>
    </row>
    <row r="30" spans="2:8" x14ac:dyDescent="0.2">
      <c r="B30" s="34" t="str">
        <f>B11&amp;" - "&amp;B25</f>
        <v>2020 - 2034</v>
      </c>
      <c r="C30" s="62">
        <f>ROUND(PMT($B$40,COUNT(C11:C25),-NPV($B$40,C11:C25)),3)</f>
        <v>17.443000000000001</v>
      </c>
      <c r="D30" s="62">
        <f t="shared" ref="D30:E30" si="1">ROUND(PMT($B$40,COUNT(D11:D25),-NPV($B$40,D11:D25)),3)</f>
        <v>17.143000000000001</v>
      </c>
      <c r="E30" s="62">
        <f t="shared" si="1"/>
        <v>19.007999999999999</v>
      </c>
      <c r="G30" s="97">
        <f>E30-[1]Energy!E30</f>
        <v>0</v>
      </c>
      <c r="H30" s="57"/>
    </row>
    <row r="31" spans="2:8" x14ac:dyDescent="0.2">
      <c r="B31" s="34" t="str">
        <f>B12&amp;" - "&amp;B26</f>
        <v>2021 - 2035</v>
      </c>
      <c r="C31" s="62">
        <f>ROUND(PMT($B$40,COUNT(C12:C26),-NPV($B$40,C12:C26)),3)</f>
        <v>18.515000000000001</v>
      </c>
      <c r="D31" s="62">
        <f t="shared" ref="D31:E31" si="2">ROUND(PMT($B$40,COUNT(D12:D26),-NPV($B$40,D12:D26)),3)</f>
        <v>18.242000000000001</v>
      </c>
      <c r="E31" s="62">
        <f t="shared" si="2"/>
        <v>20.100999999999999</v>
      </c>
      <c r="G31" s="97">
        <f>E31-[1]Energy!E31</f>
        <v>0</v>
      </c>
      <c r="H31" s="57"/>
    </row>
    <row r="32" spans="2:8" x14ac:dyDescent="0.2">
      <c r="B32" s="34" t="str">
        <f>B13&amp;" - "&amp;B27</f>
        <v>2022 - 2036</v>
      </c>
      <c r="C32" s="62">
        <f>ROUND(PMT($B$40,COUNT(C13:C27),-NPV($B$40,C13:C27)),3)</f>
        <v>19.826000000000001</v>
      </c>
      <c r="D32" s="62">
        <f t="shared" ref="D32:E32" si="3">ROUND(PMT($B$40,COUNT(D13:D27),-NPV($B$40,D13:D27)),3)</f>
        <v>19.231999999999999</v>
      </c>
      <c r="E32" s="62">
        <f t="shared" si="3"/>
        <v>21.085000000000001</v>
      </c>
      <c r="G32" s="97">
        <f>E32-[1]Energy!E32</f>
        <v>0</v>
      </c>
      <c r="H32" s="57"/>
    </row>
    <row r="33" spans="2:5" x14ac:dyDescent="0.2">
      <c r="B33" s="34"/>
      <c r="C33" s="32"/>
      <c r="D33" s="32"/>
      <c r="E33" s="32"/>
    </row>
    <row r="34" spans="2:5" x14ac:dyDescent="0.2">
      <c r="B34" s="34" t="str">
        <f>Total!B34</f>
        <v>(1)   Studies are sequential.  The order of the studies would affect the price impact.</v>
      </c>
    </row>
    <row r="35" spans="2:5" x14ac:dyDescent="0.2">
      <c r="B35" s="1" t="str">
        <f>"(2)   Official Forward Price Curve Dated "&amp;TEXT(B42,"MMMM YYYY")</f>
        <v>(2)   Official Forward Price Curve Dated March 2020</v>
      </c>
    </row>
    <row r="36" spans="2:5" x14ac:dyDescent="0.2">
      <c r="B36" s="34" t="str">
        <f>Total!B36</f>
        <v>(3)   Discount Rate - 2019 IRP - Calculated Annually</v>
      </c>
    </row>
    <row r="39" spans="2:5" x14ac:dyDescent="0.2">
      <c r="B39" s="21" t="str">
        <f>Total!B39</f>
        <v>Discount Rate - 2019 IRP</v>
      </c>
    </row>
    <row r="40" spans="2:5" x14ac:dyDescent="0.2">
      <c r="B40" s="38">
        <f>Discount_Rate</f>
        <v>6.9199999999999998E-2</v>
      </c>
    </row>
    <row r="41" spans="2:5" x14ac:dyDescent="0.2">
      <c r="B41" s="1" t="s">
        <v>10</v>
      </c>
    </row>
    <row r="42" spans="2:5" x14ac:dyDescent="0.2">
      <c r="B42" s="22">
        <f>'[2]Forward Price Curve'!$G$2</f>
        <v>43921</v>
      </c>
    </row>
    <row r="43" spans="2:5" x14ac:dyDescent="0.2">
      <c r="B43"/>
      <c r="C43"/>
      <c r="D43"/>
      <c r="E43"/>
    </row>
  </sheetData>
  <printOptions horizontalCentered="1"/>
  <pageMargins left="0.25" right="0.25" top="0.75" bottom="0.75" header="0.3" footer="0.2"/>
  <pageSetup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42"/>
    <pageSetUpPr fitToPage="1"/>
  </sheetPr>
  <dimension ref="B1:K42"/>
  <sheetViews>
    <sheetView view="pageBreakPreview" zoomScale="60" zoomScaleNormal="70" workbookViewId="0">
      <pane xSplit="2" ySplit="9" topLeftCell="C11" activePane="bottomRight" state="frozen"/>
      <selection activeCell="E37" sqref="E37"/>
      <selection pane="topRight" activeCell="E37" sqref="E37"/>
      <selection pane="bottomLeft" activeCell="E37" sqref="E37"/>
      <selection pane="bottomRight" activeCell="G28" sqref="G28"/>
    </sheetView>
  </sheetViews>
  <sheetFormatPr defaultColWidth="9.140625" defaultRowHeight="15" x14ac:dyDescent="0.2"/>
  <cols>
    <col min="1" max="1" width="1.85546875" style="25" customWidth="1"/>
    <col min="2" max="2" width="13.85546875" style="25" customWidth="1"/>
    <col min="3" max="4" width="19.140625" style="25" customWidth="1"/>
    <col min="5" max="5" width="1.140625" style="25" customWidth="1"/>
    <col min="6" max="7" width="19.140625" style="25" customWidth="1"/>
    <col min="8" max="8" width="21.5703125" style="25" customWidth="1"/>
    <col min="9" max="10" width="2.140625" customWidth="1"/>
    <col min="11" max="11" width="9.140625" style="25" customWidth="1"/>
    <col min="12" max="16384" width="9.140625" style="25"/>
  </cols>
  <sheetData>
    <row r="1" spans="2:11" ht="15.75" x14ac:dyDescent="0.25">
      <c r="B1" s="23" t="str">
        <f>[1]Total!B1</f>
        <v>Appendix C</v>
      </c>
      <c r="C1" s="23"/>
      <c r="D1" s="23"/>
      <c r="E1" s="24"/>
      <c r="F1" s="23"/>
      <c r="G1" s="23"/>
      <c r="H1" s="52"/>
      <c r="I1" s="53"/>
    </row>
    <row r="2" spans="2:11" ht="8.25" customHeight="1" x14ac:dyDescent="0.25">
      <c r="B2" s="23"/>
      <c r="C2" s="23"/>
      <c r="D2" s="23"/>
      <c r="E2" s="24"/>
      <c r="F2" s="23"/>
      <c r="G2" s="23"/>
      <c r="H2" s="52"/>
      <c r="I2" s="53"/>
    </row>
    <row r="3" spans="2:11" ht="15.75" x14ac:dyDescent="0.25">
      <c r="B3" s="23" t="str">
        <f>[1]Total!B3</f>
        <v>Utah Quarterly Compliance Filing</v>
      </c>
      <c r="C3" s="23"/>
      <c r="D3" s="23"/>
      <c r="E3" s="24"/>
      <c r="F3" s="23"/>
      <c r="G3" s="23"/>
      <c r="H3" s="52"/>
      <c r="I3" s="53"/>
    </row>
    <row r="4" spans="2:11" ht="15.75" x14ac:dyDescent="0.25">
      <c r="B4" s="23" t="str">
        <f>"Step Study between "&amp;K8&amp;" and "&amp;K7&amp;" Compliance Filing"</f>
        <v>Step Study between 2020.Q1 and 2019.Q4 Compliance Filing</v>
      </c>
      <c r="C4" s="23"/>
      <c r="D4" s="23"/>
      <c r="E4" s="24"/>
      <c r="F4" s="23"/>
      <c r="G4" s="23"/>
      <c r="H4" s="52"/>
      <c r="I4" s="53"/>
    </row>
    <row r="5" spans="2:11" ht="15.75" x14ac:dyDescent="0.25">
      <c r="B5" s="23" t="s">
        <v>8</v>
      </c>
      <c r="C5" s="23"/>
      <c r="D5" s="23"/>
      <c r="E5" s="24"/>
      <c r="F5" s="23"/>
      <c r="G5" s="23"/>
      <c r="H5" s="52"/>
      <c r="I5" s="53"/>
    </row>
    <row r="6" spans="2:11" ht="15.75" x14ac:dyDescent="0.25">
      <c r="B6" s="23"/>
      <c r="C6" s="23"/>
      <c r="D6" s="23"/>
      <c r="F6" s="23"/>
      <c r="G6" s="23"/>
      <c r="H6" s="52"/>
      <c r="I6" s="53"/>
    </row>
    <row r="7" spans="2:11" ht="15.75" x14ac:dyDescent="0.25">
      <c r="B7" s="26"/>
      <c r="C7" s="27" t="s">
        <v>2</v>
      </c>
      <c r="D7" s="27"/>
      <c r="F7" s="27" t="s">
        <v>7</v>
      </c>
      <c r="G7" s="42"/>
      <c r="H7" s="52"/>
      <c r="I7" s="53"/>
      <c r="K7" s="29" t="s">
        <v>19</v>
      </c>
    </row>
    <row r="8" spans="2:11" ht="30.75" customHeight="1" x14ac:dyDescent="0.25">
      <c r="B8" s="28" t="s">
        <v>0</v>
      </c>
      <c r="C8" s="49" t="str">
        <f>[1]Energy!C7&amp;" (3)"</f>
        <v>2019.Q4 (3)</v>
      </c>
      <c r="D8" s="49" t="str">
        <f>K8&amp;" (3)"</f>
        <v>2020.Q1 (3)</v>
      </c>
      <c r="F8" s="29" t="str">
        <f>C8</f>
        <v>2019.Q4 (3)</v>
      </c>
      <c r="G8" s="49" t="str">
        <f>D8</f>
        <v>2020.Q1 (3)</v>
      </c>
      <c r="K8" s="29" t="s">
        <v>21</v>
      </c>
    </row>
    <row r="9" spans="2:11" ht="4.5" customHeight="1" x14ac:dyDescent="0.2"/>
    <row r="10" spans="2:11" ht="15.75" hidden="1" x14ac:dyDescent="0.25">
      <c r="B10" s="30">
        <f>[1]Total!B10</f>
        <v>2019</v>
      </c>
      <c r="C10" s="31">
        <v>0</v>
      </c>
      <c r="D10" s="31" t="e">
        <f>IF(VLOOKUP($B10,'[9]Table 1'!$B$13:$C$35,2,FALSE)&lt;&gt;0,VLOOKUP($B10,'[9]Table 1'!$B$13:$C$35,2,FALSE),0)</f>
        <v>#N/A</v>
      </c>
      <c r="F10" s="31">
        <f t="shared" ref="F10" si="0">C10*1000/(IF(MOD($B10,4)=0,8784,8760)*0.85)</f>
        <v>0</v>
      </c>
      <c r="G10" s="31" t="e">
        <f t="shared" ref="G10" si="1">D10*1000/(IF(MOD($B10,4)=0,8784,8760)*0.85)</f>
        <v>#N/A</v>
      </c>
    </row>
    <row r="11" spans="2:11" ht="15.75" x14ac:dyDescent="0.25">
      <c r="B11" s="30">
        <f t="shared" ref="B11:B27" si="2">B10+1</f>
        <v>2020</v>
      </c>
      <c r="C11" s="31">
        <f>IFERROR(IF(VLOOKUP($B11,'[10]Table 1'!$B$13:$C$35,2,FALSE)&lt;&gt;0,VLOOKUP($B11,'[10]Table 1'!$B$13:$C$35,2,FALSE),0),0)</f>
        <v>0</v>
      </c>
      <c r="D11" s="31">
        <f>IF(VLOOKUP($B11,'[11]Table 1'!$B$13:$G$35,2,FALSE)&lt;&gt;0,VLOOKUP($B11,'[11]Table 1'!$B$13:$G$35,2,FALSE),0)</f>
        <v>0</v>
      </c>
      <c r="F11" s="31">
        <f>C11*1000/(IF(MOD($B11,4)=0,8784,8760)*1)</f>
        <v>0</v>
      </c>
      <c r="G11" s="31">
        <f>D11*1000/(IF(MOD($B11,4)=0,8784,8760)*1)</f>
        <v>0</v>
      </c>
    </row>
    <row r="12" spans="2:11" ht="15.75" x14ac:dyDescent="0.25">
      <c r="B12" s="30">
        <f t="shared" si="2"/>
        <v>2021</v>
      </c>
      <c r="C12" s="31">
        <f>IFERROR(IF(VLOOKUP($B12,'[10]Table 1'!$B$13:$C$35,2,FALSE)&lt;&gt;0,VLOOKUP($B12,'[10]Table 1'!$B$13:$C$35,2,FALSE),0),0)</f>
        <v>0</v>
      </c>
      <c r="D12" s="31">
        <f>IF(VLOOKUP($B12,'[11]Table 1'!$B$13:$G$35,2,FALSE)&lt;&gt;0,VLOOKUP($B12,'[11]Table 1'!$B$13:$G$35,2,FALSE),0)</f>
        <v>0</v>
      </c>
      <c r="F12" s="31">
        <f t="shared" ref="F12:F27" si="3">C12*1000/(IF(MOD($B12,4)=0,8784,8760)*1)</f>
        <v>0</v>
      </c>
      <c r="G12" s="31">
        <f t="shared" ref="G12:G27" si="4">D12*1000/(IF(MOD($B12,4)=0,8784,8760)*1)</f>
        <v>0</v>
      </c>
    </row>
    <row r="13" spans="2:11" ht="15.75" x14ac:dyDescent="0.25">
      <c r="B13" s="30">
        <f t="shared" si="2"/>
        <v>2022</v>
      </c>
      <c r="C13" s="31">
        <f>IFERROR(IF(VLOOKUP($B13,'[10]Table 1'!$B$13:$C$35,2,FALSE)&lt;&gt;0,VLOOKUP($B13,'[10]Table 1'!$B$13:$C$35,2,FALSE),0),0)</f>
        <v>0</v>
      </c>
      <c r="D13" s="31">
        <f>IF(VLOOKUP($B13,'[11]Table 1'!$B$13:$G$35,2,FALSE)&lt;&gt;0,VLOOKUP($B13,'[11]Table 1'!$B$13:$G$35,2,FALSE),0)</f>
        <v>0</v>
      </c>
      <c r="F13" s="31">
        <f t="shared" si="3"/>
        <v>0</v>
      </c>
      <c r="G13" s="31">
        <f t="shared" si="4"/>
        <v>0</v>
      </c>
    </row>
    <row r="14" spans="2:11" ht="15.75" x14ac:dyDescent="0.25">
      <c r="B14" s="30">
        <f t="shared" si="2"/>
        <v>2023</v>
      </c>
      <c r="C14" s="31">
        <f>IFERROR(IF(VLOOKUP($B14,'[10]Table 1'!$B$13:$C$35,2,FALSE)&lt;&gt;0,VLOOKUP($B14,'[10]Table 1'!$B$13:$C$35,2,FALSE),0),0)</f>
        <v>0</v>
      </c>
      <c r="D14" s="31">
        <f>IF(VLOOKUP($B14,'[11]Table 1'!$B$13:$G$35,2,FALSE)&lt;&gt;0,VLOOKUP($B14,'[11]Table 1'!$B$13:$G$35,2,FALSE),0)</f>
        <v>0</v>
      </c>
      <c r="F14" s="31">
        <f t="shared" si="3"/>
        <v>0</v>
      </c>
      <c r="G14" s="31">
        <f t="shared" si="4"/>
        <v>0</v>
      </c>
    </row>
    <row r="15" spans="2:11" ht="15.75" x14ac:dyDescent="0.25">
      <c r="B15" s="30">
        <f t="shared" si="2"/>
        <v>2024</v>
      </c>
      <c r="C15" s="31">
        <f>IFERROR(IF(VLOOKUP($B15,'[10]Table 1'!$B$13:$C$35,2,FALSE)&lt;&gt;0,VLOOKUP($B15,'[10]Table 1'!$B$13:$C$35,2,FALSE),0),0)</f>
        <v>0</v>
      </c>
      <c r="D15" s="31">
        <f>IF(VLOOKUP($B15,'[11]Table 1'!$B$13:$G$35,2,FALSE)&lt;&gt;0,VLOOKUP($B15,'[11]Table 1'!$B$13:$G$35,2,FALSE),0)</f>
        <v>0</v>
      </c>
      <c r="F15" s="31">
        <f t="shared" si="3"/>
        <v>0</v>
      </c>
      <c r="G15" s="31">
        <f t="shared" si="4"/>
        <v>0</v>
      </c>
    </row>
    <row r="16" spans="2:11" ht="15.75" x14ac:dyDescent="0.25">
      <c r="B16" s="30">
        <f t="shared" si="2"/>
        <v>2025</v>
      </c>
      <c r="C16" s="31">
        <f>IFERROR(IF(VLOOKUP($B16,'[10]Table 1'!$B$13:$C$35,2,FALSE)&lt;&gt;0,VLOOKUP($B16,'[10]Table 1'!$B$13:$C$35,2,FALSE),0),0)</f>
        <v>0</v>
      </c>
      <c r="D16" s="31">
        <f>IF(VLOOKUP($B16,'[11]Table 1'!$B$13:$G$35,2,FALSE)&lt;&gt;0,VLOOKUP($B16,'[11]Table 1'!$B$13:$G$35,2,FALSE),0)</f>
        <v>0</v>
      </c>
      <c r="F16" s="31">
        <f t="shared" si="3"/>
        <v>0</v>
      </c>
      <c r="G16" s="31">
        <f t="shared" si="4"/>
        <v>0</v>
      </c>
    </row>
    <row r="17" spans="2:7" ht="15.75" x14ac:dyDescent="0.25">
      <c r="B17" s="30">
        <f t="shared" si="2"/>
        <v>2026</v>
      </c>
      <c r="C17" s="31">
        <f>IFERROR(IF(VLOOKUP($B17,'[10]Table 1'!$B$13:$C$35,2,FALSE)&lt;&gt;0,VLOOKUP($B17,'[10]Table 1'!$B$13:$C$35,2,FALSE),0),0)</f>
        <v>115.62647139435012</v>
      </c>
      <c r="D17" s="31">
        <f>IF(VLOOKUP($B17,'[11]Table 1'!$B$13:$G$35,2,FALSE)&lt;&gt;0,VLOOKUP($B17,'[11]Table 1'!$B$13:$G$35,2,FALSE),0)</f>
        <v>115.62647139435012</v>
      </c>
      <c r="F17" s="31">
        <f t="shared" si="3"/>
        <v>13.199368880633575</v>
      </c>
      <c r="G17" s="31">
        <f t="shared" si="4"/>
        <v>13.199368880633575</v>
      </c>
    </row>
    <row r="18" spans="2:7" ht="15.75" x14ac:dyDescent="0.25">
      <c r="B18" s="30">
        <f t="shared" si="2"/>
        <v>2027</v>
      </c>
      <c r="C18" s="31">
        <f>IFERROR(IF(VLOOKUP($B18,'[10]Table 1'!$B$13:$C$35,2,FALSE)&lt;&gt;0,VLOOKUP($B18,'[10]Table 1'!$B$13:$C$35,2,FALSE),0),0)</f>
        <v>118.28437831789266</v>
      </c>
      <c r="D18" s="31">
        <f>IF(VLOOKUP($B18,'[11]Table 1'!$B$13:$G$35,2,FALSE)&lt;&gt;0,VLOOKUP($B18,'[11]Table 1'!$B$13:$G$35,2,FALSE),0)</f>
        <v>118.28437831789266</v>
      </c>
      <c r="F18" s="31">
        <f t="shared" si="3"/>
        <v>13.502782913001445</v>
      </c>
      <c r="G18" s="31">
        <f t="shared" si="4"/>
        <v>13.502782913001445</v>
      </c>
    </row>
    <row r="19" spans="2:7" ht="15.75" x14ac:dyDescent="0.25">
      <c r="B19" s="30">
        <f t="shared" si="2"/>
        <v>2028</v>
      </c>
      <c r="C19" s="31">
        <f>IFERROR(IF(VLOOKUP($B19,'[10]Table 1'!$B$13:$C$35,2,FALSE)&lt;&gt;0,VLOOKUP($B19,'[10]Table 1'!$B$13:$C$35,2,FALSE),0),0)</f>
        <v>121.01790585379931</v>
      </c>
      <c r="D19" s="31">
        <f>IF(VLOOKUP($B19,'[11]Table 1'!$B$13:$G$35,2,FALSE)&lt;&gt;0,VLOOKUP($B19,'[11]Table 1'!$B$13:$G$35,2,FALSE),0)</f>
        <v>121.01790585379931</v>
      </c>
      <c r="F19" s="31">
        <f t="shared" si="3"/>
        <v>13.777083999749467</v>
      </c>
      <c r="G19" s="31">
        <f t="shared" si="4"/>
        <v>13.777083999749467</v>
      </c>
    </row>
    <row r="20" spans="2:7" ht="15.75" x14ac:dyDescent="0.25">
      <c r="B20" s="30">
        <f t="shared" si="2"/>
        <v>2029</v>
      </c>
      <c r="C20" s="31">
        <f>IFERROR(IF(VLOOKUP($B20,'[10]Table 1'!$B$13:$C$35,2,FALSE)&lt;&gt;0,VLOOKUP($B20,'[10]Table 1'!$B$13:$C$35,2,FALSE),0),0)</f>
        <v>123.8030093809495</v>
      </c>
      <c r="D20" s="31">
        <f>IF(VLOOKUP($B20,'[11]Table 1'!$B$13:$G$35,2,FALSE)&lt;&gt;0,VLOOKUP($B20,'[11]Table 1'!$B$13:$G$35,2,FALSE),0)</f>
        <v>123.8030093809495</v>
      </c>
      <c r="F20" s="31">
        <f t="shared" si="3"/>
        <v>14.132763627962271</v>
      </c>
      <c r="G20" s="31">
        <f t="shared" si="4"/>
        <v>14.132763627962271</v>
      </c>
    </row>
    <row r="21" spans="2:7" ht="15.75" x14ac:dyDescent="0.25">
      <c r="B21" s="30">
        <f t="shared" si="2"/>
        <v>2030</v>
      </c>
      <c r="C21" s="31">
        <f>IFERROR(IF(VLOOKUP($B21,'[10]Table 1'!$B$13:$C$35,2,FALSE)&lt;&gt;0,VLOOKUP($B21,'[10]Table 1'!$B$13:$C$35,2,FALSE),0),0)</f>
        <v>126.53653691685614</v>
      </c>
      <c r="D21" s="31">
        <f>IF(VLOOKUP($B21,'[11]Table 1'!$B$13:$G$35,2,FALSE)&lt;&gt;0,VLOOKUP($B21,'[11]Table 1'!$B$13:$G$35,2,FALSE),0)</f>
        <v>126.53653691685614</v>
      </c>
      <c r="F21" s="31">
        <f t="shared" si="3"/>
        <v>14.444810150326042</v>
      </c>
      <c r="G21" s="31">
        <f t="shared" si="4"/>
        <v>14.444810150326042</v>
      </c>
    </row>
    <row r="22" spans="2:7" ht="15.75" x14ac:dyDescent="0.25">
      <c r="B22" s="30">
        <f t="shared" si="2"/>
        <v>2031</v>
      </c>
      <c r="C22" s="31">
        <f>IFERROR(IF(VLOOKUP($B22,'[10]Table 1'!$B$13:$C$35,2,FALSE)&lt;&gt;0,VLOOKUP($B22,'[10]Table 1'!$B$13:$C$35,2,FALSE),0),0)</f>
        <v>129.32164044400631</v>
      </c>
      <c r="D22" s="31">
        <f>IF(VLOOKUP($B22,'[11]Table 1'!$B$13:$G$35,2,FALSE)&lt;&gt;0,VLOOKUP($B22,'[11]Table 1'!$B$13:$G$35,2,FALSE),0)</f>
        <v>129.32164044400631</v>
      </c>
      <c r="F22" s="31">
        <f t="shared" si="3"/>
        <v>14.762744342923094</v>
      </c>
      <c r="G22" s="31">
        <f t="shared" si="4"/>
        <v>14.762744342923094</v>
      </c>
    </row>
    <row r="23" spans="2:7" ht="15.75" x14ac:dyDescent="0.25">
      <c r="B23" s="30">
        <f t="shared" si="2"/>
        <v>2032</v>
      </c>
      <c r="C23" s="31">
        <f>IFERROR(IF(VLOOKUP($B23,'[10]Table 1'!$B$13:$C$35,2,FALSE)&lt;&gt;0,VLOOKUP($B23,'[10]Table 1'!$B$13:$C$35,2,FALSE),0),0)</f>
        <v>132.18926555714609</v>
      </c>
      <c r="D23" s="31">
        <f>IF(VLOOKUP($B23,'[11]Table 1'!$B$13:$G$35,2,FALSE)&lt;&gt;0,VLOOKUP($B23,'[11]Table 1'!$B$13:$G$35,2,FALSE),0)</f>
        <v>132.18926555714609</v>
      </c>
      <c r="F23" s="31">
        <f t="shared" si="3"/>
        <v>15.048869029729746</v>
      </c>
      <c r="G23" s="31">
        <f t="shared" si="4"/>
        <v>15.048869029729746</v>
      </c>
    </row>
    <row r="24" spans="2:7" ht="15.75" x14ac:dyDescent="0.25">
      <c r="B24" s="30">
        <f t="shared" si="2"/>
        <v>2033</v>
      </c>
      <c r="C24" s="31">
        <f>IFERROR(IF(VLOOKUP($B24,'[10]Table 1'!$B$13:$C$35,2,FALSE)&lt;&gt;0,VLOOKUP($B24,'[10]Table 1'!$B$13:$C$35,2,FALSE),0),0)</f>
        <v>134.94342348955016</v>
      </c>
      <c r="D24" s="31">
        <f>IF(VLOOKUP($B24,'[11]Table 1'!$B$13:$G$35,2,FALSE)&lt;&gt;0,VLOOKUP($B24,'[11]Table 1'!$B$13:$G$35,2,FALSE),0)</f>
        <v>134.94342348955016</v>
      </c>
      <c r="F24" s="31">
        <f t="shared" si="3"/>
        <v>15.404500398350475</v>
      </c>
      <c r="G24" s="31">
        <f t="shared" si="4"/>
        <v>15.404500398350475</v>
      </c>
    </row>
    <row r="25" spans="2:7" ht="15.75" x14ac:dyDescent="0.25">
      <c r="B25" s="30">
        <f t="shared" si="2"/>
        <v>2034</v>
      </c>
      <c r="C25" s="31">
        <f>IFERROR(IF(VLOOKUP($B25,'[10]Table 1'!$B$13:$C$35,2,FALSE)&lt;&gt;0,VLOOKUP($B25,'[10]Table 1'!$B$13:$C$35,2,FALSE),0),0)</f>
        <v>137.79041820619256</v>
      </c>
      <c r="D25" s="31">
        <f>IF(VLOOKUP($B25,'[11]Table 1'!$B$13:$G$35,2,FALSE)&lt;&gt;0,VLOOKUP($B25,'[11]Table 1'!$B$13:$G$35,2,FALSE),0)</f>
        <v>137.79041820619256</v>
      </c>
      <c r="F25" s="31">
        <f t="shared" si="3"/>
        <v>15.72949979522746</v>
      </c>
      <c r="G25" s="31">
        <f t="shared" si="4"/>
        <v>15.72949979522746</v>
      </c>
    </row>
    <row r="26" spans="2:7" ht="15.75" x14ac:dyDescent="0.25">
      <c r="B26" s="30">
        <f t="shared" si="2"/>
        <v>2035</v>
      </c>
      <c r="C26" s="31">
        <f>IFERROR(IF(VLOOKUP($B26,'[10]Table 1'!$B$13:$C$35,2,FALSE)&lt;&gt;0,VLOOKUP($B26,'[10]Table 1'!$B$13:$C$35,2,FALSE),0),0)</f>
        <v>140.66835851758108</v>
      </c>
      <c r="D26" s="31">
        <f>IF(VLOOKUP($B26,'[11]Table 1'!$B$13:$G$35,2,FALSE)&lt;&gt;0,VLOOKUP($B26,'[11]Table 1'!$B$13:$G$35,2,FALSE),0)</f>
        <v>140.66835851758108</v>
      </c>
      <c r="F26" s="31">
        <f t="shared" si="3"/>
        <v>16.058031794244414</v>
      </c>
      <c r="G26" s="31">
        <f t="shared" si="4"/>
        <v>16.058031794244414</v>
      </c>
    </row>
    <row r="27" spans="2:7" ht="15.75" x14ac:dyDescent="0.25">
      <c r="B27" s="30">
        <f t="shared" si="2"/>
        <v>2036</v>
      </c>
      <c r="C27" s="31">
        <f>IFERROR(IF(VLOOKUP($B27,'[10]Table 1'!$B$13:$C$35,2,FALSE)&lt;&gt;0,VLOOKUP($B27,'[10]Table 1'!$B$13:$C$35,2,FALSE),0),0)</f>
        <v>143.63913561320794</v>
      </c>
      <c r="D27" s="31">
        <f>IF(VLOOKUP($B27,'[11]Table 1'!$B$13:$G$35,2,FALSE)&lt;&gt;0,VLOOKUP($B27,'[11]Table 1'!$B$13:$G$35,2,FALSE),0)</f>
        <v>143.63913561320794</v>
      </c>
      <c r="F27" s="31">
        <f t="shared" si="3"/>
        <v>16.352360611704</v>
      </c>
      <c r="G27" s="31">
        <f t="shared" si="4"/>
        <v>16.352360611704</v>
      </c>
    </row>
    <row r="28" spans="2:7" ht="15.75" x14ac:dyDescent="0.25">
      <c r="B28" s="30"/>
      <c r="C28" s="32"/>
      <c r="D28" s="32"/>
      <c r="F28" s="32"/>
    </row>
    <row r="29" spans="2:7" x14ac:dyDescent="0.2">
      <c r="B29" s="33" t="str">
        <f>"Nominal Levelized Payment at "&amp;TEXT($B$40,"0.000%")&amp;" Discount Rate (2)"</f>
        <v>Nominal Levelized Payment at 6.920% Discount Rate (2)</v>
      </c>
    </row>
    <row r="30" spans="2:7" x14ac:dyDescent="0.2">
      <c r="B30" s="34" t="str">
        <f>$B$11&amp;" - "&amp;B25</f>
        <v>2020 - 2034</v>
      </c>
      <c r="C30" s="35">
        <f t="shared" ref="C30:D32" si="5">PMT($B$40,COUNT(C11:C25),-NPV($B$40,C11:C25))</f>
        <v>59.934626030761713</v>
      </c>
      <c r="D30" s="35">
        <f t="shared" si="5"/>
        <v>59.934626030761713</v>
      </c>
      <c r="F30" s="35">
        <f t="shared" ref="F30:G32" si="6">PMT($B$40,COUNT(F11:F25),-NPV($B$40,F11:F25))</f>
        <v>6.8377070748886126</v>
      </c>
      <c r="G30" s="35">
        <f t="shared" si="6"/>
        <v>6.8377070748886126</v>
      </c>
    </row>
    <row r="31" spans="2:7" x14ac:dyDescent="0.2">
      <c r="B31" s="34" t="str">
        <f>$B$12&amp;" - "&amp;B26</f>
        <v>2021 - 2035</v>
      </c>
      <c r="C31" s="35">
        <f t="shared" si="5"/>
        <v>69.714532250285302</v>
      </c>
      <c r="D31" s="35">
        <f t="shared" si="5"/>
        <v>69.714532250285302</v>
      </c>
      <c r="F31" s="35">
        <f t="shared" si="6"/>
        <v>7.9538478768675791</v>
      </c>
      <c r="G31" s="35">
        <f t="shared" si="6"/>
        <v>7.9538478768675791</v>
      </c>
    </row>
    <row r="32" spans="2:7" x14ac:dyDescent="0.2">
      <c r="B32" s="34" t="str">
        <f>$B$13&amp;" - "&amp;B27</f>
        <v>2022 - 2036</v>
      </c>
      <c r="C32" s="35">
        <f t="shared" si="5"/>
        <v>80.290159352809752</v>
      </c>
      <c r="D32" s="35">
        <f t="shared" si="5"/>
        <v>80.290159352809752</v>
      </c>
      <c r="F32" s="35">
        <f t="shared" si="6"/>
        <v>9.1590106926158388</v>
      </c>
      <c r="G32" s="35">
        <f t="shared" si="6"/>
        <v>9.1590106926158388</v>
      </c>
    </row>
    <row r="34" spans="2:10" x14ac:dyDescent="0.2">
      <c r="B34" s="25" t="str">
        <f>"(1)   Capacity costs are allocated based on assumed "&amp;TEXT(B42,"00%")&amp;" capacity factor."</f>
        <v>(1)   Capacity costs are allocated based on assumed 100% capacity factor.</v>
      </c>
    </row>
    <row r="35" spans="2:10" s="1" customFormat="1" x14ac:dyDescent="0.2">
      <c r="B35" s="25" t="str">
        <f>"(2)   "&amp;MID([1]Total!B35,7,99)</f>
        <v>(2)   Discount Rate - 2019 IRP</v>
      </c>
      <c r="C35" s="25"/>
      <c r="D35" s="25"/>
      <c r="E35" s="25"/>
      <c r="F35" s="25"/>
      <c r="I35"/>
      <c r="J35"/>
    </row>
    <row r="36" spans="2:10" x14ac:dyDescent="0.2">
      <c r="B36" s="25" t="s">
        <v>17</v>
      </c>
    </row>
    <row r="39" spans="2:10" x14ac:dyDescent="0.2">
      <c r="B39" s="52" t="str">
        <f>MID([1]Total!B35,7,99)</f>
        <v>Discount Rate - 2019 IRP</v>
      </c>
    </row>
    <row r="40" spans="2:10" x14ac:dyDescent="0.2">
      <c r="B40" s="36">
        <f>Discount_Rate</f>
        <v>6.9199999999999998E-2</v>
      </c>
    </row>
    <row r="41" spans="2:10" x14ac:dyDescent="0.2">
      <c r="B41" s="25" t="s">
        <v>18</v>
      </c>
    </row>
    <row r="42" spans="2:10" x14ac:dyDescent="0.2">
      <c r="B42" s="94">
        <v>1</v>
      </c>
    </row>
  </sheetData>
  <printOptions horizontalCentered="1"/>
  <pageMargins left="0.25" right="0.25" top="0.75" bottom="0.75" header="0.3" footer="0.2"/>
  <pageSetup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Summary</vt:lpstr>
      <vt:lpstr>Incremental</vt:lpstr>
      <vt:lpstr>Total</vt:lpstr>
      <vt:lpstr>Energy</vt:lpstr>
      <vt:lpstr>Capacity</vt:lpstr>
      <vt:lpstr>Summary!Discount_Rate</vt:lpstr>
      <vt:lpstr>Discount_Rate</vt:lpstr>
      <vt:lpstr>Capacity!Print_Area</vt:lpstr>
      <vt:lpstr>Energy!Print_Area</vt:lpstr>
      <vt:lpstr>Incremental!Print_Area</vt:lpstr>
      <vt:lpstr>Total!Print_Area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Farmer</dc:creator>
  <cp:lastModifiedBy>Fred Nass</cp:lastModifiedBy>
  <cp:lastPrinted>2020-06-30T19:57:45Z</cp:lastPrinted>
  <dcterms:created xsi:type="dcterms:W3CDTF">2006-07-10T20:43:15Z</dcterms:created>
  <dcterms:modified xsi:type="dcterms:W3CDTF">2020-06-30T21:57:22Z</dcterms:modified>
</cp:coreProperties>
</file>