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125" windowHeight="12810"/>
  </bookViews>
  <sheets>
    <sheet name="Appendix B.1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state="hidden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B.1'!$A$1:$L$34</definedName>
    <definedName name="_xlnm.Print_Area" localSheetId="1">'Table 1'!$A$1:$H$55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5'!$A$1:$H$228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82" l="1"/>
  <c r="D26" i="82"/>
  <c r="F26" i="82" l="1"/>
  <c r="H26" i="82" l="1"/>
  <c r="K26" i="82" s="1"/>
  <c r="K27" i="82" s="1"/>
  <c r="G26" i="82"/>
  <c r="B32" i="82"/>
  <c r="B9" i="82"/>
  <c r="K5" i="82"/>
  <c r="J5" i="82"/>
  <c r="I5" i="82"/>
  <c r="D9" i="82" l="1"/>
  <c r="E9" i="82"/>
  <c r="F9" i="82"/>
  <c r="G9" i="82"/>
  <c r="H9" i="82"/>
  <c r="J26" i="82"/>
  <c r="J27" i="82" s="1"/>
  <c r="B10" i="82"/>
  <c r="E10" i="82" l="1"/>
  <c r="D10" i="82"/>
  <c r="J9" i="82"/>
  <c r="K9" i="82"/>
  <c r="F10" i="82"/>
  <c r="H10" i="82"/>
  <c r="G10" i="82"/>
  <c r="B11" i="82"/>
  <c r="E11" i="82" l="1"/>
  <c r="D11" i="82"/>
  <c r="K10" i="82"/>
  <c r="G11" i="82"/>
  <c r="F11" i="82"/>
  <c r="H11" i="82"/>
  <c r="J10" i="82"/>
  <c r="B12" i="82"/>
  <c r="S6" i="31"/>
  <c r="J11" i="82" l="1"/>
  <c r="E12" i="82"/>
  <c r="D12" i="82"/>
  <c r="H12" i="82"/>
  <c r="G12" i="82"/>
  <c r="F12" i="82"/>
  <c r="K11" i="82"/>
  <c r="B13" i="82"/>
  <c r="A9" i="31"/>
  <c r="P5" i="31"/>
  <c r="P6" i="31" s="1"/>
  <c r="E13" i="82" l="1"/>
  <c r="D13" i="82"/>
  <c r="J12" i="82"/>
  <c r="K12" i="82"/>
  <c r="H13" i="82"/>
  <c r="K13" i="82" s="1"/>
  <c r="G13" i="82"/>
  <c r="F13" i="82"/>
  <c r="B14" i="82"/>
  <c r="CX38" i="25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E14" i="82" l="1"/>
  <c r="D14" i="82"/>
  <c r="J13" i="82"/>
  <c r="F14" i="82"/>
  <c r="H14" i="82"/>
  <c r="G14" i="82"/>
  <c r="B15" i="82"/>
  <c r="BI9" i="25"/>
  <c r="CE9" i="25" s="1"/>
  <c r="AM9" i="25"/>
  <c r="C67" i="81"/>
  <c r="B3" i="81"/>
  <c r="C52" i="81" s="1"/>
  <c r="B9" i="81" s="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E15" i="82" l="1"/>
  <c r="D15" i="82"/>
  <c r="J15" i="82" s="1"/>
  <c r="K14" i="82"/>
  <c r="G15" i="82"/>
  <c r="F15" i="82"/>
  <c r="H15" i="82"/>
  <c r="J14" i="82"/>
  <c r="B16" i="82"/>
  <c r="C68" i="81"/>
  <c r="B14" i="81"/>
  <c r="B15" i="81" s="1"/>
  <c r="B16" i="81" s="1"/>
  <c r="B17" i="81" s="1"/>
  <c r="C69" i="81"/>
  <c r="E16" i="82" l="1"/>
  <c r="D16" i="82"/>
  <c r="J16" i="82" s="1"/>
  <c r="K15" i="82"/>
  <c r="H16" i="82"/>
  <c r="G16" i="82"/>
  <c r="F16" i="82"/>
  <c r="B17" i="82"/>
  <c r="C70" i="81"/>
  <c r="D17" i="81"/>
  <c r="B18" i="81"/>
  <c r="E17" i="82" l="1"/>
  <c r="D17" i="82"/>
  <c r="H17" i="82"/>
  <c r="G17" i="82"/>
  <c r="F17" i="82"/>
  <c r="K16" i="82"/>
  <c r="B18" i="82"/>
  <c r="B19" i="81"/>
  <c r="C71" i="81"/>
  <c r="E18" i="82" l="1"/>
  <c r="D18" i="82"/>
  <c r="K17" i="82"/>
  <c r="J17" i="82"/>
  <c r="F18" i="82"/>
  <c r="H18" i="82"/>
  <c r="G18" i="82"/>
  <c r="B19" i="82"/>
  <c r="C72" i="81"/>
  <c r="B20" i="81"/>
  <c r="K18" i="82" l="1"/>
  <c r="E19" i="82"/>
  <c r="D19" i="82"/>
  <c r="J18" i="82"/>
  <c r="G19" i="82"/>
  <c r="F19" i="82"/>
  <c r="H19" i="82"/>
  <c r="K19" i="82" s="1"/>
  <c r="B20" i="82"/>
  <c r="B21" i="81"/>
  <c r="C73" i="81"/>
  <c r="E20" i="82" l="1"/>
  <c r="K20" i="82" s="1"/>
  <c r="D20" i="82"/>
  <c r="J20" i="82" s="1"/>
  <c r="J19" i="82"/>
  <c r="H20" i="82"/>
  <c r="G20" i="82"/>
  <c r="F20" i="82"/>
  <c r="B21" i="82"/>
  <c r="C74" i="81"/>
  <c r="B22" i="81"/>
  <c r="D21" i="82" l="1"/>
  <c r="E21" i="82"/>
  <c r="H21" i="82"/>
  <c r="G21" i="82"/>
  <c r="F21" i="82"/>
  <c r="B22" i="82"/>
  <c r="B23" i="81"/>
  <c r="F66" i="81"/>
  <c r="J21" i="82" l="1"/>
  <c r="E22" i="82"/>
  <c r="D22" i="82"/>
  <c r="K21" i="82"/>
  <c r="F22" i="82"/>
  <c r="H22" i="82"/>
  <c r="G22" i="82"/>
  <c r="B23" i="82"/>
  <c r="F67" i="81"/>
  <c r="B24" i="81"/>
  <c r="E23" i="82" l="1"/>
  <c r="D23" i="82"/>
  <c r="J23" i="82" s="1"/>
  <c r="K22" i="82"/>
  <c r="J22" i="82"/>
  <c r="G23" i="82"/>
  <c r="F23" i="82"/>
  <c r="H23" i="82"/>
  <c r="B33" i="82"/>
  <c r="B25" i="81"/>
  <c r="F68" i="81"/>
  <c r="K23" i="82" l="1"/>
  <c r="F69" i="8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BB39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E13" i="72"/>
  <c r="I74" i="76"/>
  <c r="I74" i="75"/>
  <c r="I74" i="73"/>
  <c r="I74" i="71"/>
  <c r="E14" i="72" l="1"/>
  <c r="K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F19" i="72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F37" i="72" l="1"/>
  <c r="E15" i="72"/>
  <c r="K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K15" i="72" l="1"/>
  <c r="E16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7" i="72" l="1"/>
  <c r="K16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E25" i="77" s="1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H12" i="70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F20" i="77" s="1"/>
  <c r="J26" i="70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A11" i="47" l="1"/>
  <c r="BC11" i="47" s="1"/>
  <c r="M11" i="47"/>
  <c r="O11" i="47" s="1"/>
  <c r="AV11" i="47"/>
  <c r="AX11" i="47" s="1"/>
  <c r="BF11" i="47"/>
  <c r="BH11" i="47" s="1"/>
  <c r="AL11" i="47"/>
  <c r="AQ11" i="47"/>
  <c r="AS11" i="47" s="1"/>
  <c r="AG11" i="47"/>
  <c r="H11" i="47"/>
  <c r="J11" i="47" s="1"/>
  <c r="W11" i="47"/>
  <c r="C11" i="47"/>
  <c r="R11" i="47"/>
  <c r="B12" i="47"/>
  <c r="M12" i="47" l="1"/>
  <c r="AV12" i="47"/>
  <c r="AX12" i="47" s="1"/>
  <c r="BA12" i="47"/>
  <c r="BC12" i="47" s="1"/>
  <c r="AL12" i="47"/>
  <c r="AQ12" i="47"/>
  <c r="AS12" i="47" s="1"/>
  <c r="AG12" i="47"/>
  <c r="H12" i="47"/>
  <c r="O12" i="47"/>
  <c r="B13" i="47"/>
  <c r="E10" i="47"/>
  <c r="AQ13" i="47" l="1"/>
  <c r="BA13" i="47"/>
  <c r="BC13" i="47" s="1"/>
  <c r="AV13" i="47"/>
  <c r="AX13" i="47" s="1"/>
  <c r="M13" i="47"/>
  <c r="O13" i="47" s="1"/>
  <c r="AL13" i="47"/>
  <c r="H13" i="47"/>
  <c r="AG13" i="47"/>
  <c r="AS13" i="47"/>
  <c r="B14" i="47"/>
  <c r="AL14" i="47" l="1"/>
  <c r="AV14" i="47"/>
  <c r="AX14" i="47" s="1"/>
  <c r="BA14" i="47"/>
  <c r="BC14" i="47" s="1"/>
  <c r="AQ14" i="47"/>
  <c r="AS14" i="47" s="1"/>
  <c r="M14" i="47"/>
  <c r="O14" i="47" s="1"/>
  <c r="H14" i="47"/>
  <c r="AG14" i="47"/>
  <c r="B15" i="47"/>
  <c r="AV15" i="47" l="1"/>
  <c r="AX15" i="47" s="1"/>
  <c r="AQ15" i="47"/>
  <c r="AS15" i="47" s="1"/>
  <c r="AL15" i="47"/>
  <c r="BA15" i="47"/>
  <c r="BC15" i="47" s="1"/>
  <c r="M15" i="47"/>
  <c r="AG15" i="47"/>
  <c r="H15" i="47"/>
  <c r="O15" i="47"/>
  <c r="B16" i="47"/>
  <c r="C10" i="25"/>
  <c r="M16" i="47" l="1"/>
  <c r="O16" i="47" s="1"/>
  <c r="AV16" i="47"/>
  <c r="AX16" i="47" s="1"/>
  <c r="BA16" i="47"/>
  <c r="BC16" i="47" s="1"/>
  <c r="AL16" i="47"/>
  <c r="AQ16" i="47"/>
  <c r="AS16" i="47" s="1"/>
  <c r="H16" i="47"/>
  <c r="AG16" i="47"/>
  <c r="B17" i="47"/>
  <c r="AL17" i="47" l="1"/>
  <c r="M17" i="47"/>
  <c r="O17" i="47" s="1"/>
  <c r="AQ17" i="47"/>
  <c r="AS17" i="47" s="1"/>
  <c r="AV17" i="47"/>
  <c r="AX17" i="47" s="1"/>
  <c r="AG17" i="47"/>
  <c r="H17" i="47"/>
  <c r="B18" i="47"/>
  <c r="F44" i="47"/>
  <c r="M18" i="47" l="1"/>
  <c r="AV18" i="47"/>
  <c r="AX18" i="47" s="1"/>
  <c r="AQ18" i="47"/>
  <c r="AS18" i="47" s="1"/>
  <c r="AL18" i="47"/>
  <c r="B19" i="47"/>
  <c r="AI11" i="47"/>
  <c r="F45" i="47"/>
  <c r="AL19" i="47" l="1"/>
  <c r="AQ19" i="47"/>
  <c r="AS19" i="47" s="1"/>
  <c r="M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M20" i="47"/>
  <c r="AV20" i="47"/>
  <c r="AX20" i="47" s="1"/>
  <c r="AL20" i="47"/>
  <c r="B21" i="47"/>
  <c r="AS20" i="47"/>
  <c r="AN12" i="47"/>
  <c r="AI13" i="47"/>
  <c r="J12" i="47"/>
  <c r="C68" i="43"/>
  <c r="F47" i="47"/>
  <c r="D47" i="43"/>
  <c r="B3" i="43"/>
  <c r="C52" i="43" s="1"/>
  <c r="B9" i="43" s="1"/>
  <c r="AV21" i="47" l="1"/>
  <c r="AX21" i="47" s="1"/>
  <c r="M21" i="47"/>
  <c r="AQ21" i="47"/>
  <c r="C69" i="43"/>
  <c r="B22" i="47"/>
  <c r="AN13" i="47"/>
  <c r="AI14" i="47"/>
  <c r="J13" i="47"/>
  <c r="F48" i="47"/>
  <c r="C70" i="43" l="1"/>
  <c r="AQ22" i="47"/>
  <c r="M22" i="47"/>
  <c r="AV22" i="47"/>
  <c r="AX22" i="47" s="1"/>
  <c r="B23" i="47"/>
  <c r="AN14" i="47"/>
  <c r="AI15" i="47"/>
  <c r="J14" i="47"/>
  <c r="F49" i="47"/>
  <c r="C71" i="43"/>
  <c r="B14" i="43"/>
  <c r="AQ23" i="47" l="1"/>
  <c r="AV23" i="47"/>
  <c r="AX23" i="47" s="1"/>
  <c r="M23" i="47"/>
  <c r="B24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18" i="31" l="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00" i="31" l="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24" i="31"/>
  <c r="I213" i="31"/>
  <c r="I127" i="31"/>
  <c r="I191" i="31"/>
  <c r="I83" i="31"/>
  <c r="I105" i="31"/>
  <c r="I94" i="31"/>
  <c r="I180" i="31"/>
  <c r="I72" i="31"/>
  <c r="I116" i="31"/>
  <c r="I225" i="31" l="1"/>
  <c r="I203" i="31"/>
  <c r="I214" i="31"/>
  <c r="I117" i="31"/>
  <c r="I95" i="31"/>
  <c r="I128" i="31"/>
  <c r="I192" i="31"/>
  <c r="I84" i="31"/>
  <c r="I106" i="31"/>
  <c r="I204" i="31" l="1"/>
  <c r="I226" i="31"/>
  <c r="I215" i="31"/>
  <c r="I118" i="31"/>
  <c r="I107" i="31"/>
  <c r="I96" i="31"/>
  <c r="I129" i="31"/>
  <c r="I227" i="31" l="1"/>
  <c r="I216" i="31"/>
  <c r="I119" i="31"/>
  <c r="I108" i="31"/>
  <c r="I130" i="31"/>
  <c r="I228" i="31" l="1"/>
  <c r="I131" i="31"/>
  <c r="I120" i="31"/>
  <c r="I13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B15" i="25"/>
  <c r="O14" i="25"/>
  <c r="DA13" i="25"/>
  <c r="DB13" i="25" s="1"/>
  <c r="J15" i="31"/>
  <c r="B16" i="31"/>
  <c r="L28" i="31"/>
  <c r="BI14" i="25" l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BI15" i="25" l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BI16" i="25" l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BI17" i="25" l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BI18" i="25" l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BI19" i="25" l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BI20" i="25" l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BI21" i="25" l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I22" i="25" l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BI23" i="25" l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BI24" i="25" l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BI25" i="25" l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BI26" i="25" l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BI27" i="25" l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BI28" i="25" l="1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M31" i="25" l="1"/>
  <c r="AL31" i="25"/>
  <c r="AQ31" i="25"/>
  <c r="AN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D18" i="43" l="1"/>
  <c r="G18" i="43" l="1"/>
  <c r="L18" i="43"/>
  <c r="D19" i="43"/>
  <c r="L19" i="43" s="1"/>
  <c r="BJ14" i="25" l="1"/>
  <c r="BJ13" i="25"/>
  <c r="D20" i="43"/>
  <c r="L20" i="43" s="1"/>
  <c r="G19" i="43"/>
  <c r="BJ15" i="25" l="1"/>
  <c r="D21" i="43"/>
  <c r="L21" i="43" s="1"/>
  <c r="G20" i="43"/>
  <c r="BJ16" i="25" l="1"/>
  <c r="D22" i="43"/>
  <c r="L22" i="43" s="1"/>
  <c r="G21" i="43"/>
  <c r="BJ17" i="25" l="1"/>
  <c r="D23" i="43"/>
  <c r="L23" i="43" s="1"/>
  <c r="G22" i="43"/>
  <c r="BJ18" i="25" l="1"/>
  <c r="D24" i="43"/>
  <c r="L24" i="43" s="1"/>
  <c r="G23" i="43"/>
  <c r="BJ19" i="25" l="1"/>
  <c r="D25" i="43"/>
  <c r="L25" i="43" s="1"/>
  <c r="G24" i="43"/>
  <c r="BJ20" i="25" l="1"/>
  <c r="D26" i="43"/>
  <c r="L26" i="43" s="1"/>
  <c r="G25" i="43"/>
  <c r="BJ21" i="25" l="1"/>
  <c r="D27" i="43"/>
  <c r="L27" i="43" s="1"/>
  <c r="G26" i="43"/>
  <c r="BJ22" i="25" l="1"/>
  <c r="D28" i="43"/>
  <c r="L28" i="43" s="1"/>
  <c r="G27" i="43"/>
  <c r="BJ23" i="25" l="1"/>
  <c r="D29" i="43"/>
  <c r="L29" i="43" s="1"/>
  <c r="G28" i="43"/>
  <c r="J28" i="43" s="1"/>
  <c r="BJ24" i="25" l="1"/>
  <c r="D30" i="43"/>
  <c r="L30" i="43" s="1"/>
  <c r="G29" i="43"/>
  <c r="J29" i="43" s="1"/>
  <c r="B21" i="77"/>
  <c r="K28" i="43"/>
  <c r="BJ25" i="25" l="1"/>
  <c r="D31" i="43"/>
  <c r="L31" i="43" s="1"/>
  <c r="G30" i="43"/>
  <c r="J30" i="43" s="1"/>
  <c r="B22" i="77"/>
  <c r="K29" i="43"/>
  <c r="BJ26" i="25" l="1"/>
  <c r="D32" i="43"/>
  <c r="L32" i="43" s="1"/>
  <c r="BJ27" i="25" s="1"/>
  <c r="G31" i="43"/>
  <c r="J31" i="43" s="1"/>
  <c r="B23" i="77"/>
  <c r="K30" i="43"/>
  <c r="D33" i="43" l="1"/>
  <c r="L33" i="43" s="1"/>
  <c r="G32" i="43"/>
  <c r="J32" i="43" s="1"/>
  <c r="B24" i="77"/>
  <c r="K31" i="43"/>
  <c r="BJ28" i="25" l="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D35" i="43"/>
  <c r="L35" i="43" s="1"/>
  <c r="BJ30" i="25" s="1"/>
  <c r="J34" i="43" l="1"/>
  <c r="K34" i="43" s="1"/>
  <c r="G35" i="43"/>
  <c r="D36" i="43"/>
  <c r="L36" i="43" s="1"/>
  <c r="BJ31" i="25" l="1"/>
  <c r="J35" i="43"/>
  <c r="K35" i="43" s="1"/>
  <c r="G36" i="43"/>
  <c r="D37" i="43"/>
  <c r="L37" i="43" s="1"/>
  <c r="BJ33" i="25" s="1"/>
  <c r="BJ35" i="25" l="1"/>
  <c r="BJ32" i="25"/>
  <c r="BJ34" i="25"/>
  <c r="BJ36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I19" i="43" l="1"/>
  <c r="J18" i="43"/>
  <c r="K18" i="43" l="1"/>
  <c r="B11" i="77"/>
  <c r="I20" i="43"/>
  <c r="J19" i="43"/>
  <c r="B12" i="77" l="1"/>
  <c r="K19" i="43"/>
  <c r="I21" i="43"/>
  <c r="J20" i="43"/>
  <c r="K20" i="43" l="1"/>
  <c r="B13" i="77"/>
  <c r="J21" i="43"/>
  <c r="I22" i="43"/>
  <c r="I23" i="43" l="1"/>
  <c r="J22" i="43"/>
  <c r="B14" i="77"/>
  <c r="K21" i="43"/>
  <c r="K22" i="43" l="1"/>
  <c r="B15" i="77"/>
  <c r="J23" i="43"/>
  <c r="I24" i="43"/>
  <c r="K23" i="43" l="1"/>
  <c r="B16" i="77"/>
  <c r="I25" i="43"/>
  <c r="J24" i="43"/>
  <c r="K24" i="43" l="1"/>
  <c r="B17" i="77"/>
  <c r="J25" i="43"/>
  <c r="I26" i="43"/>
  <c r="I27" i="43" l="1"/>
  <c r="J27" i="43" s="1"/>
  <c r="J26" i="43"/>
  <c r="K25" i="43"/>
  <c r="B18" i="77"/>
  <c r="B19" i="77" l="1"/>
  <c r="K26" i="43"/>
  <c r="B20" i="77"/>
  <c r="K27" i="43"/>
  <c r="B50" i="77" l="1"/>
  <c r="AN13" i="25" l="1"/>
  <c r="AQ13" i="25"/>
  <c r="AL15" i="25"/>
  <c r="AL19" i="25"/>
  <c r="AL22" i="25"/>
  <c r="AL24" i="25"/>
  <c r="AL25" i="25"/>
  <c r="AQ14" i="25"/>
  <c r="AN17" i="25"/>
  <c r="AQ20" i="25"/>
  <c r="AL23" i="25"/>
  <c r="AQ19" i="25"/>
  <c r="AN20" i="25"/>
  <c r="AL27" i="25"/>
  <c r="AQ27" i="25"/>
  <c r="AQ28" i="25"/>
  <c r="AL29" i="25"/>
  <c r="AL30" i="25"/>
  <c r="AL26" i="25"/>
  <c r="CI13" i="25" l="1"/>
  <c r="CI14" i="25"/>
  <c r="CF13" i="25"/>
  <c r="AN24" i="25"/>
  <c r="AQ25" i="25"/>
  <c r="AN15" i="25"/>
  <c r="AN22" i="25"/>
  <c r="AQ15" i="25"/>
  <c r="AN27" i="25"/>
  <c r="AN23" i="25"/>
  <c r="AQ17" i="25"/>
  <c r="AN25" i="25"/>
  <c r="AN19" i="25"/>
  <c r="AN29" i="25"/>
  <c r="AQ24" i="25"/>
  <c r="AN30" i="25"/>
  <c r="AQ23" i="25"/>
  <c r="AQ26" i="25"/>
  <c r="AQ29" i="25"/>
  <c r="AN26" i="25"/>
  <c r="AQ18" i="25"/>
  <c r="AQ16" i="25"/>
  <c r="AL17" i="25"/>
  <c r="AL14" i="25"/>
  <c r="AL28" i="25"/>
  <c r="AN28" i="25"/>
  <c r="AQ30" i="25"/>
  <c r="AL21" i="25"/>
  <c r="AN21" i="25"/>
  <c r="AQ21" i="25"/>
  <c r="AL18" i="25"/>
  <c r="AN18" i="25"/>
  <c r="AN16" i="25"/>
  <c r="AL16" i="25"/>
  <c r="CI21" i="25" l="1"/>
  <c r="CI20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Q22" i="25"/>
  <c r="CI22" i="25" s="1"/>
  <c r="CI17" i="25"/>
  <c r="CI35" i="25"/>
  <c r="CI16" i="25"/>
  <c r="CI19" i="25"/>
  <c r="AL13" i="25"/>
  <c r="AN14" i="25"/>
  <c r="AL20" i="25"/>
  <c r="CI26" i="25"/>
  <c r="CI28" i="25"/>
  <c r="CI33" i="25"/>
  <c r="CI29" i="25"/>
  <c r="CI18" i="25"/>
  <c r="CI15" i="25"/>
  <c r="CI23" i="25" l="1"/>
  <c r="CI30" i="25"/>
  <c r="CI27" i="25"/>
  <c r="CI25" i="25"/>
  <c r="CI38" i="25"/>
  <c r="CI34" i="25"/>
  <c r="CG23" i="25"/>
  <c r="CH37" i="25"/>
  <c r="CH36" i="25"/>
  <c r="CH26" i="25"/>
  <c r="CH21" i="25"/>
  <c r="CH27" i="25"/>
  <c r="CH29" i="25"/>
  <c r="CH14" i="25"/>
  <c r="CH15" i="25"/>
  <c r="CH33" i="25"/>
  <c r="CH23" i="25"/>
  <c r="CH30" i="25"/>
  <c r="CH38" i="25"/>
  <c r="CH25" i="25"/>
  <c r="CH16" i="25"/>
  <c r="CH35" i="25"/>
  <c r="CH34" i="25"/>
  <c r="CH28" i="25"/>
  <c r="CH19" i="25"/>
  <c r="CH20" i="25"/>
  <c r="CH22" i="25"/>
  <c r="CH32" i="25"/>
  <c r="CH13" i="25"/>
  <c r="CH18" i="25"/>
  <c r="CH31" i="25"/>
  <c r="CH24" i="25"/>
  <c r="CH17" i="25"/>
  <c r="CF14" i="25"/>
  <c r="CF15" i="25"/>
  <c r="CF20" i="25"/>
  <c r="CF24" i="25"/>
  <c r="CF35" i="25"/>
  <c r="CF37" i="25"/>
  <c r="CF30" i="25"/>
  <c r="CF16" i="25"/>
  <c r="CF17" i="25"/>
  <c r="CF23" i="25"/>
  <c r="CF31" i="25"/>
  <c r="CF29" i="25"/>
  <c r="CF32" i="25"/>
  <c r="CF19" i="25"/>
  <c r="CF22" i="25"/>
  <c r="CF25" i="25"/>
  <c r="CF27" i="25"/>
  <c r="CF38" i="25"/>
  <c r="CF28" i="25"/>
  <c r="CF18" i="25"/>
  <c r="CF21" i="25"/>
  <c r="CF26" i="25"/>
  <c r="CF36" i="25"/>
  <c r="CF33" i="25"/>
  <c r="CF34" i="25"/>
  <c r="CI31" i="25"/>
  <c r="CI24" i="25"/>
  <c r="CI32" i="25"/>
  <c r="CD13" i="25"/>
  <c r="CD14" i="25"/>
  <c r="CD16" i="25"/>
  <c r="CD15" i="25"/>
  <c r="CD17" i="25"/>
  <c r="CD18" i="25"/>
  <c r="CD19" i="25"/>
  <c r="CD21" i="25"/>
  <c r="CD20" i="25"/>
  <c r="CD27" i="25"/>
  <c r="CD31" i="25"/>
  <c r="CD32" i="25"/>
  <c r="CD30" i="25"/>
  <c r="CD36" i="25"/>
  <c r="CD38" i="25"/>
  <c r="CD34" i="25"/>
  <c r="CD35" i="25"/>
  <c r="CD37" i="25"/>
  <c r="CD33" i="25"/>
  <c r="CD26" i="25"/>
  <c r="CD29" i="25"/>
  <c r="CD22" i="25"/>
  <c r="CD25" i="25"/>
  <c r="CD23" i="25"/>
  <c r="CD24" i="25"/>
  <c r="CI36" i="25"/>
  <c r="CD28" i="25"/>
  <c r="CI37" i="25"/>
  <c r="CG13" i="25"/>
  <c r="CG15" i="25"/>
  <c r="CG14" i="25"/>
  <c r="CG16" i="25"/>
  <c r="CG19" i="25"/>
  <c r="CG17" i="25"/>
  <c r="CG18" i="25"/>
  <c r="CG20" i="25"/>
  <c r="CG21" i="25"/>
  <c r="CG22" i="25"/>
  <c r="CG24" i="25"/>
  <c r="CG26" i="25"/>
  <c r="CG25" i="25"/>
  <c r="CG35" i="25"/>
  <c r="CG32" i="25"/>
  <c r="CG28" i="25"/>
  <c r="CG30" i="25"/>
  <c r="CG37" i="25"/>
  <c r="CG34" i="25"/>
  <c r="CG31" i="25"/>
  <c r="CG33" i="25"/>
  <c r="CG38" i="25"/>
  <c r="CG29" i="25"/>
  <c r="CG27" i="25"/>
  <c r="CG36" i="25"/>
  <c r="DB5" i="25" l="1"/>
  <c r="DC31" i="25" l="1"/>
  <c r="DC35" i="25"/>
  <c r="DC18" i="25"/>
  <c r="DC26" i="25"/>
  <c r="DC20" i="25"/>
  <c r="DC25" i="25"/>
  <c r="DC32" i="25"/>
  <c r="DC36" i="25"/>
  <c r="DC27" i="25"/>
  <c r="DC24" i="25"/>
  <c r="DC22" i="25"/>
  <c r="DC23" i="25"/>
  <c r="DC28" i="25"/>
  <c r="DC33" i="25"/>
  <c r="DC37" i="25"/>
  <c r="DC13" i="25"/>
  <c r="DC21" i="25"/>
  <c r="DC17" i="25"/>
  <c r="DC16" i="25"/>
  <c r="DC14" i="25"/>
  <c r="DC34" i="25"/>
  <c r="DC38" i="25"/>
  <c r="DC29" i="25"/>
  <c r="DC19" i="25"/>
  <c r="DC15" i="25"/>
  <c r="DC30" i="25"/>
  <c r="AM13" i="25" l="1"/>
  <c r="CE13" i="25" l="1"/>
  <c r="AM27" i="25" l="1"/>
  <c r="AM28" i="25" l="1"/>
  <c r="AM29" i="25" l="1"/>
  <c r="AM30" i="25" l="1"/>
  <c r="AM15" i="25" l="1"/>
  <c r="AM14" i="25"/>
  <c r="CE14" i="25" l="1"/>
  <c r="CE15" i="25"/>
  <c r="AM16" i="25" l="1"/>
  <c r="CE16" i="25" l="1"/>
  <c r="AM18" i="25"/>
  <c r="AM17" i="25"/>
  <c r="CE17" i="25" s="1"/>
  <c r="CE18" i="25" l="1"/>
  <c r="AM19" i="25" l="1"/>
  <c r="CE19" i="25" l="1"/>
  <c r="AM20" i="25"/>
  <c r="CE20" i="25" l="1"/>
  <c r="AM21" i="25"/>
  <c r="CE21" i="25" s="1"/>
  <c r="AM22" i="25" l="1"/>
  <c r="CE22" i="25" s="1"/>
  <c r="AM25" i="25" l="1"/>
  <c r="AM23" i="25"/>
  <c r="CE23" i="25" s="1"/>
  <c r="AM24" i="25"/>
  <c r="CE24" i="25" l="1"/>
  <c r="CE25" i="25"/>
  <c r="AM26" i="25" l="1"/>
  <c r="CE35" i="25" l="1"/>
  <c r="CE36" i="25"/>
  <c r="CE32" i="25"/>
  <c r="CE33" i="25"/>
  <c r="CE37" i="25"/>
  <c r="CE34" i="25"/>
  <c r="CE38" i="25"/>
  <c r="CE28" i="25"/>
  <c r="CE27" i="25"/>
  <c r="CE31" i="25"/>
  <c r="CE26" i="25"/>
  <c r="CE29" i="25"/>
  <c r="CE30" i="25"/>
  <c r="AV13" i="25" l="1"/>
  <c r="AV14" i="25"/>
  <c r="AV29" i="25"/>
  <c r="AV30" i="25"/>
  <c r="AV31" i="25"/>
  <c r="AW13" i="25" l="1"/>
  <c r="AW14" i="25"/>
  <c r="AW29" i="25"/>
  <c r="AW30" i="25"/>
  <c r="AW31" i="25"/>
  <c r="AZ13" i="25"/>
  <c r="AZ14" i="25"/>
  <c r="AZ29" i="25"/>
  <c r="AZ30" i="25"/>
  <c r="AZ31" i="25"/>
  <c r="CN14" i="25"/>
  <c r="CN13" i="25"/>
  <c r="CR14" i="25" l="1"/>
  <c r="CR13" i="25"/>
  <c r="CO14" i="25"/>
  <c r="CO13" i="25"/>
  <c r="AT13" i="25" l="1"/>
  <c r="AT14" i="25"/>
  <c r="AT29" i="25"/>
  <c r="AT30" i="25"/>
  <c r="AT31" i="25"/>
  <c r="AR14" i="25"/>
  <c r="AR29" i="25"/>
  <c r="AR30" i="25"/>
  <c r="AR31" i="25"/>
  <c r="AR13" i="25" l="1"/>
  <c r="CL14" i="25"/>
  <c r="CL13" i="25"/>
  <c r="AR15" i="25"/>
  <c r="CJ13" i="25" l="1"/>
  <c r="CJ15" i="25"/>
  <c r="CJ14" i="25"/>
  <c r="AV15" i="25"/>
  <c r="AR16" i="25"/>
  <c r="CJ16" i="25" s="1"/>
  <c r="AT15" i="25"/>
  <c r="CN15" i="25" l="1"/>
  <c r="CL15" i="25"/>
  <c r="AV16" i="25"/>
  <c r="AV17" i="25"/>
  <c r="AZ15" i="25"/>
  <c r="AR18" i="25"/>
  <c r="AR17" i="25"/>
  <c r="AT16" i="25"/>
  <c r="AW15" i="25"/>
  <c r="CO15" i="25" l="1"/>
  <c r="CR15" i="25"/>
  <c r="CJ17" i="25"/>
  <c r="CN16" i="25"/>
  <c r="CL16" i="25"/>
  <c r="CJ18" i="25"/>
  <c r="CN17" i="25"/>
  <c r="AV18" i="25"/>
  <c r="AT18" i="25"/>
  <c r="AW18" i="25"/>
  <c r="AR19" i="25"/>
  <c r="AT17" i="25"/>
  <c r="CL17" i="25" s="1"/>
  <c r="CL18" i="25" l="1"/>
  <c r="CN18" i="25"/>
  <c r="CJ19" i="25"/>
  <c r="AW16" i="25"/>
  <c r="AW17" i="25"/>
  <c r="AZ17" i="25"/>
  <c r="AR21" i="25"/>
  <c r="AT19" i="25"/>
  <c r="AR20" i="25"/>
  <c r="CO17" i="25" l="1"/>
  <c r="CO18" i="25"/>
  <c r="CO16" i="25"/>
  <c r="CJ21" i="25"/>
  <c r="CJ20" i="25"/>
  <c r="CL19" i="25"/>
  <c r="AZ16" i="25"/>
  <c r="CR17" i="25" s="1"/>
  <c r="AR22" i="25"/>
  <c r="CJ22" i="25" s="1"/>
  <c r="AT20" i="25"/>
  <c r="CL20" i="25" s="1"/>
  <c r="AV19" i="25"/>
  <c r="AZ18" i="25"/>
  <c r="CN19" i="25" l="1"/>
  <c r="CR18" i="25"/>
  <c r="CR16" i="25"/>
  <c r="AW20" i="25"/>
  <c r="AT21" i="25"/>
  <c r="CL21" i="25" s="1"/>
  <c r="AV20" i="25"/>
  <c r="CN20" i="25" s="1"/>
  <c r="AW19" i="25" l="1"/>
  <c r="AT23" i="25"/>
  <c r="AZ20" i="25"/>
  <c r="AT22" i="25"/>
  <c r="CL22" i="25" s="1"/>
  <c r="AV23" i="25"/>
  <c r="AR23" i="25"/>
  <c r="CJ23" i="25" s="1"/>
  <c r="AV21" i="25"/>
  <c r="CN21" i="25" s="1"/>
  <c r="AZ19" i="25"/>
  <c r="AV22" i="25"/>
  <c r="CN22" i="25" l="1"/>
  <c r="CL23" i="25"/>
  <c r="AU13" i="25"/>
  <c r="AU14" i="25"/>
  <c r="AU15" i="25"/>
  <c r="AU16" i="25"/>
  <c r="AU17" i="25"/>
  <c r="AU18" i="25"/>
  <c r="AU19" i="25"/>
  <c r="AU20" i="25"/>
  <c r="AU21" i="25"/>
  <c r="AU22" i="25"/>
  <c r="AU23" i="25"/>
  <c r="AU29" i="25"/>
  <c r="AU30" i="25"/>
  <c r="AU31" i="25"/>
  <c r="CO19" i="25"/>
  <c r="CO20" i="25"/>
  <c r="CR20" i="25"/>
  <c r="CR19" i="25"/>
  <c r="CN23" i="25"/>
  <c r="BA13" i="25"/>
  <c r="BA14" i="25"/>
  <c r="BA15" i="25"/>
  <c r="BA16" i="25"/>
  <c r="BA17" i="25"/>
  <c r="BA18" i="25"/>
  <c r="BA19" i="25"/>
  <c r="BA20" i="25"/>
  <c r="BA29" i="25"/>
  <c r="BA30" i="25"/>
  <c r="BA31" i="25"/>
  <c r="AX13" i="25"/>
  <c r="AX14" i="25"/>
  <c r="AX15" i="25"/>
  <c r="AX16" i="25"/>
  <c r="AX17" i="25"/>
  <c r="AX18" i="25"/>
  <c r="AX19" i="25"/>
  <c r="AX20" i="25"/>
  <c r="AX29" i="25"/>
  <c r="AX30" i="25"/>
  <c r="AX31" i="25"/>
  <c r="AW23" i="25"/>
  <c r="AW21" i="25"/>
  <c r="AW22" i="25"/>
  <c r="CO23" i="25" l="1"/>
  <c r="AX23" i="25"/>
  <c r="CO21" i="25"/>
  <c r="CM14" i="25"/>
  <c r="CM15" i="25"/>
  <c r="CM17" i="25"/>
  <c r="CM23" i="25"/>
  <c r="CM18" i="25"/>
  <c r="CM21" i="25"/>
  <c r="CM13" i="25"/>
  <c r="CM22" i="25"/>
  <c r="CM16" i="25"/>
  <c r="CM20" i="25"/>
  <c r="CM19" i="25"/>
  <c r="AX22" i="25"/>
  <c r="CS15" i="25"/>
  <c r="CS16" i="25"/>
  <c r="CS14" i="25"/>
  <c r="CS20" i="25"/>
  <c r="CS18" i="25"/>
  <c r="CS13" i="25"/>
  <c r="CS19" i="25"/>
  <c r="CS17" i="25"/>
  <c r="AX21" i="25"/>
  <c r="CP20" i="25"/>
  <c r="CP15" i="25"/>
  <c r="CP16" i="25"/>
  <c r="CP13" i="25"/>
  <c r="CP19" i="25"/>
  <c r="CP17" i="25"/>
  <c r="CP18" i="25"/>
  <c r="CP14" i="25"/>
  <c r="CO22" i="25"/>
  <c r="AR24" i="25"/>
  <c r="CJ24" i="25" s="1"/>
  <c r="AR25" i="25"/>
  <c r="CJ25" i="25" l="1"/>
  <c r="CP23" i="25"/>
  <c r="CP22" i="25"/>
  <c r="AZ23" i="25"/>
  <c r="BA23" i="25"/>
  <c r="AZ22" i="25"/>
  <c r="BA22" i="25"/>
  <c r="CP21" i="25"/>
  <c r="AZ21" i="25"/>
  <c r="BA21" i="25"/>
  <c r="AV24" i="25"/>
  <c r="CN24" i="25" s="1"/>
  <c r="AV25" i="25"/>
  <c r="CN25" i="25" l="1"/>
  <c r="AR26" i="25"/>
  <c r="CJ26" i="25" s="1"/>
  <c r="AT27" i="25"/>
  <c r="AU27" i="25"/>
  <c r="AT25" i="25"/>
  <c r="AU25" i="25"/>
  <c r="AT24" i="25"/>
  <c r="CL24" i="25" s="1"/>
  <c r="AU24" i="25"/>
  <c r="CS21" i="25"/>
  <c r="CS22" i="25"/>
  <c r="CS23" i="25"/>
  <c r="CR21" i="25"/>
  <c r="CR22" i="25"/>
  <c r="CR23" i="25"/>
  <c r="AR27" i="25"/>
  <c r="CJ27" i="25" s="1"/>
  <c r="CM25" i="25" l="1"/>
  <c r="CM24" i="25"/>
  <c r="AT26" i="25"/>
  <c r="CL26" i="25" s="1"/>
  <c r="AU26" i="25"/>
  <c r="CM26" i="25" s="1"/>
  <c r="AW24" i="25"/>
  <c r="CO24" i="25" s="1"/>
  <c r="AX24" i="25"/>
  <c r="AW25" i="25"/>
  <c r="AX25" i="25"/>
  <c r="CL25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9" i="25"/>
  <c r="AS30" i="25"/>
  <c r="AS31" i="25"/>
  <c r="AV26" i="25"/>
  <c r="CN26" i="25" s="1"/>
  <c r="AS28" i="25"/>
  <c r="AV27" i="25"/>
  <c r="CN27" i="25" l="1"/>
  <c r="AS13" i="25"/>
  <c r="CK30" i="25" s="1"/>
  <c r="CP24" i="25"/>
  <c r="CP25" i="25"/>
  <c r="AZ24" i="25"/>
  <c r="CR24" i="25" s="1"/>
  <c r="BA24" i="25"/>
  <c r="AZ25" i="25"/>
  <c r="BA25" i="25"/>
  <c r="AW26" i="25"/>
  <c r="CO26" i="25" s="1"/>
  <c r="AX26" i="25"/>
  <c r="CP26" i="25" s="1"/>
  <c r="CL27" i="25"/>
  <c r="CM27" i="25"/>
  <c r="CO25" i="25"/>
  <c r="AV28" i="25" l="1"/>
  <c r="AR28" i="25"/>
  <c r="CS24" i="25"/>
  <c r="CS25" i="25"/>
  <c r="AW27" i="25"/>
  <c r="CO27" i="25" s="1"/>
  <c r="AX27" i="25"/>
  <c r="CK21" i="25"/>
  <c r="CK15" i="25"/>
  <c r="CK22" i="25"/>
  <c r="CK19" i="25"/>
  <c r="CK18" i="25"/>
  <c r="CK14" i="25"/>
  <c r="CK16" i="25"/>
  <c r="CK24" i="25"/>
  <c r="CK27" i="25"/>
  <c r="CK25" i="25"/>
  <c r="CK29" i="25"/>
  <c r="CK26" i="25"/>
  <c r="CK23" i="25"/>
  <c r="CK13" i="25"/>
  <c r="CK20" i="25"/>
  <c r="CK17" i="25"/>
  <c r="CK28" i="25"/>
  <c r="CK32" i="25"/>
  <c r="CK35" i="25"/>
  <c r="CK36" i="25"/>
  <c r="CK31" i="25"/>
  <c r="CK33" i="25"/>
  <c r="CK37" i="25"/>
  <c r="CK38" i="25"/>
  <c r="CK34" i="25"/>
  <c r="AT28" i="25"/>
  <c r="AU28" i="25"/>
  <c r="AZ27" i="25"/>
  <c r="BA27" i="25"/>
  <c r="CR25" i="25"/>
  <c r="AW28" i="25" l="1"/>
  <c r="AX28" i="25"/>
  <c r="CP30" i="25" s="1"/>
  <c r="AZ26" i="25"/>
  <c r="CR26" i="25" s="1"/>
  <c r="BA26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9" i="25"/>
  <c r="BB30" i="25"/>
  <c r="BB31" i="25"/>
  <c r="CJ33" i="25"/>
  <c r="CJ37" i="25"/>
  <c r="CJ34" i="25"/>
  <c r="CJ31" i="25"/>
  <c r="CJ32" i="25"/>
  <c r="CJ29" i="25"/>
  <c r="CJ30" i="25"/>
  <c r="CJ36" i="25"/>
  <c r="CJ28" i="25"/>
  <c r="CJ38" i="25"/>
  <c r="CJ35" i="25"/>
  <c r="CM33" i="25"/>
  <c r="CM28" i="25"/>
  <c r="CM30" i="25"/>
  <c r="CM38" i="25"/>
  <c r="CM35" i="25"/>
  <c r="CM37" i="25"/>
  <c r="CM29" i="25"/>
  <c r="CM36" i="25"/>
  <c r="CM31" i="25"/>
  <c r="CM32" i="25"/>
  <c r="CM34" i="25"/>
  <c r="CP35" i="25"/>
  <c r="CN30" i="25"/>
  <c r="CN34" i="25"/>
  <c r="CN31" i="25"/>
  <c r="CN32" i="25"/>
  <c r="CN33" i="25"/>
  <c r="CN28" i="25"/>
  <c r="CN38" i="25"/>
  <c r="CN37" i="25"/>
  <c r="CN29" i="25"/>
  <c r="CN36" i="25"/>
  <c r="CN35" i="25"/>
  <c r="CL32" i="25"/>
  <c r="CL33" i="25"/>
  <c r="CL31" i="25"/>
  <c r="CL37" i="25"/>
  <c r="CL29" i="25"/>
  <c r="CL36" i="25"/>
  <c r="CL30" i="25"/>
  <c r="CL28" i="25"/>
  <c r="CL34" i="25"/>
  <c r="CL35" i="25"/>
  <c r="CL38" i="25"/>
  <c r="CP27" i="25"/>
  <c r="BB28" i="25"/>
  <c r="CP36" i="25" l="1"/>
  <c r="CP28" i="25"/>
  <c r="CP32" i="25"/>
  <c r="CS26" i="25"/>
  <c r="CS27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P31" i="25"/>
  <c r="AZ28" i="25"/>
  <c r="BA28" i="25"/>
  <c r="CS33" i="25" s="1"/>
  <c r="CP33" i="25"/>
  <c r="CP34" i="25"/>
  <c r="CP37" i="25"/>
  <c r="A73" i="25"/>
  <c r="CR27" i="25"/>
  <c r="CT38" i="25"/>
  <c r="CT35" i="25"/>
  <c r="CT18" i="25"/>
  <c r="CT30" i="25"/>
  <c r="CT21" i="25"/>
  <c r="CT14" i="25"/>
  <c r="CT22" i="25"/>
  <c r="CT29" i="25"/>
  <c r="CT33" i="25"/>
  <c r="CT25" i="25"/>
  <c r="CT28" i="25"/>
  <c r="CT31" i="25"/>
  <c r="CT19" i="25"/>
  <c r="CT36" i="25"/>
  <c r="CT34" i="25"/>
  <c r="CT24" i="25"/>
  <c r="CT16" i="25"/>
  <c r="CT20" i="25"/>
  <c r="CT13" i="25"/>
  <c r="CT32" i="25"/>
  <c r="CT17" i="25"/>
  <c r="CT23" i="25"/>
  <c r="CT26" i="25"/>
  <c r="CT27" i="25"/>
  <c r="CT15" i="25"/>
  <c r="CT37" i="25"/>
  <c r="CO38" i="25"/>
  <c r="CO28" i="25"/>
  <c r="CO31" i="25"/>
  <c r="CO37" i="25"/>
  <c r="CO34" i="25"/>
  <c r="CO36" i="25"/>
  <c r="CO30" i="25"/>
  <c r="CO35" i="25"/>
  <c r="CO33" i="25"/>
  <c r="CO32" i="25"/>
  <c r="CO29" i="25"/>
  <c r="CP29" i="25"/>
  <c r="CP38" i="25"/>
  <c r="CS34" i="25" l="1"/>
  <c r="CS28" i="25"/>
  <c r="CS37" i="25"/>
  <c r="CR38" i="25"/>
  <c r="CR28" i="25"/>
  <c r="CR33" i="25"/>
  <c r="CR34" i="25"/>
  <c r="CR36" i="25"/>
  <c r="CR31" i="25"/>
  <c r="CR32" i="25"/>
  <c r="CR35" i="25"/>
  <c r="CR29" i="25"/>
  <c r="CR37" i="25"/>
  <c r="CR30" i="25"/>
  <c r="CS30" i="25"/>
  <c r="CS35" i="25"/>
  <c r="AY13" i="25"/>
  <c r="CS36" i="25"/>
  <c r="CS38" i="25"/>
  <c r="CS32" i="25"/>
  <c r="CS31" i="25"/>
  <c r="CS29" i="25"/>
  <c r="CQ33" i="25" l="1"/>
  <c r="CQ32" i="25"/>
  <c r="CQ20" i="25"/>
  <c r="CQ23" i="25"/>
  <c r="CQ14" i="25"/>
  <c r="CQ16" i="25"/>
  <c r="CQ28" i="25"/>
  <c r="CQ13" i="25"/>
  <c r="CQ22" i="25"/>
  <c r="CQ17" i="25"/>
  <c r="CQ24" i="25"/>
  <c r="CQ27" i="25"/>
  <c r="CQ30" i="25"/>
  <c r="CQ37" i="25"/>
  <c r="CQ31" i="25"/>
  <c r="CQ25" i="25"/>
  <c r="CQ29" i="25"/>
  <c r="CQ34" i="25"/>
  <c r="CQ19" i="25"/>
  <c r="CQ21" i="25"/>
  <c r="CQ35" i="25"/>
  <c r="CQ15" i="25"/>
  <c r="CQ18" i="25"/>
  <c r="CQ36" i="25"/>
  <c r="CQ38" i="25"/>
  <c r="CQ26" i="25"/>
  <c r="BC13" i="25" l="1"/>
  <c r="BC14" i="25"/>
  <c r="BC15" i="25"/>
  <c r="BC16" i="25"/>
  <c r="BC17" i="25"/>
  <c r="BC18" i="25"/>
  <c r="BC19" i="25"/>
  <c r="BC20" i="25"/>
  <c r="BC21" i="25"/>
  <c r="BC22" i="25"/>
  <c r="BC23" i="25"/>
  <c r="BC24" i="25"/>
  <c r="BC25" i="25"/>
  <c r="BC26" i="25"/>
  <c r="BC27" i="25"/>
  <c r="BC29" i="25"/>
  <c r="BC30" i="25"/>
  <c r="BC31" i="25"/>
  <c r="BC28" i="25" l="1"/>
  <c r="CU29" i="25" s="1"/>
  <c r="CY29" i="25" s="1"/>
  <c r="C29" i="25" s="1"/>
  <c r="A72" i="25"/>
  <c r="A74" i="25"/>
  <c r="CU13" i="25"/>
  <c r="CY13" i="25" s="1"/>
  <c r="C13" i="25" s="1"/>
  <c r="CU19" i="25"/>
  <c r="CY19" i="25" s="1"/>
  <c r="C19" i="25" s="1"/>
  <c r="CU22" i="25"/>
  <c r="CY22" i="25" s="1"/>
  <c r="C22" i="25" s="1"/>
  <c r="CU25" i="25"/>
  <c r="CY25" i="25" s="1"/>
  <c r="C25" i="25" s="1"/>
  <c r="CU21" i="25"/>
  <c r="CY21" i="25" s="1"/>
  <c r="C21" i="25" s="1"/>
  <c r="CU24" i="25"/>
  <c r="CY24" i="25" s="1"/>
  <c r="C24" i="25" s="1"/>
  <c r="CU16" i="25"/>
  <c r="CY16" i="25" s="1"/>
  <c r="C16" i="25" s="1"/>
  <c r="CU26" i="25"/>
  <c r="CY26" i="25" s="1"/>
  <c r="C26" i="25" s="1"/>
  <c r="CU23" i="25"/>
  <c r="CY23" i="25" s="1"/>
  <c r="C23" i="25" s="1"/>
  <c r="CU27" i="25"/>
  <c r="CY27" i="25" s="1"/>
  <c r="C27" i="25" s="1"/>
  <c r="CU14" i="25"/>
  <c r="CY14" i="25" s="1"/>
  <c r="C14" i="25" s="1"/>
  <c r="CU15" i="25"/>
  <c r="CY15" i="25" s="1"/>
  <c r="C15" i="25" s="1"/>
  <c r="CU20" i="25"/>
  <c r="CY20" i="25" s="1"/>
  <c r="C20" i="25" s="1"/>
  <c r="CU17" i="25"/>
  <c r="CY17" i="25" s="1"/>
  <c r="C17" i="25" s="1"/>
  <c r="CU18" i="25"/>
  <c r="CY18" i="25" s="1"/>
  <c r="C18" i="25" s="1"/>
  <c r="CU30" i="25"/>
  <c r="CY30" i="25" s="1"/>
  <c r="C30" i="25" s="1"/>
  <c r="CU37" i="25"/>
  <c r="CY37" i="25" s="1"/>
  <c r="C37" i="25" s="1"/>
  <c r="CU35" i="25"/>
  <c r="CY35" i="25" s="1"/>
  <c r="C35" i="25" s="1"/>
  <c r="CU31" i="25"/>
  <c r="CY31" i="25" s="1"/>
  <c r="C31" i="25" s="1"/>
  <c r="CU33" i="25"/>
  <c r="CY33" i="25" s="1"/>
  <c r="C33" i="25" s="1"/>
  <c r="CU32" i="25"/>
  <c r="CY32" i="25" s="1"/>
  <c r="C32" i="25" s="1"/>
  <c r="CU28" i="25"/>
  <c r="CY28" i="25" s="1"/>
  <c r="C28" i="25" s="1"/>
  <c r="CU36" i="25"/>
  <c r="CY36" i="25" s="1"/>
  <c r="C36" i="25" s="1"/>
  <c r="CU38" i="25"/>
  <c r="CY38" i="25" s="1"/>
  <c r="C38" i="25" s="1"/>
  <c r="CU34" i="25"/>
  <c r="CY34" i="25" s="1"/>
  <c r="C34" i="25" s="1"/>
  <c r="O16" i="28" l="1"/>
  <c r="C9" i="28" l="1"/>
  <c r="C17" i="28" l="1"/>
  <c r="C26" i="28"/>
  <c r="C27" i="28"/>
  <c r="C25" i="28"/>
  <c r="C30" i="28"/>
  <c r="C21" i="28"/>
  <c r="C38" i="28"/>
  <c r="C37" i="28"/>
  <c r="C19" i="28"/>
  <c r="C22" i="28"/>
  <c r="C32" i="28"/>
  <c r="C31" i="28"/>
  <c r="C18" i="28"/>
  <c r="C29" i="28"/>
  <c r="C23" i="28"/>
  <c r="C36" i="28"/>
  <c r="C33" i="28"/>
  <c r="C35" i="28"/>
  <c r="C24" i="28"/>
  <c r="C34" i="28"/>
  <c r="C20" i="28"/>
  <c r="C28" i="28"/>
  <c r="D21" i="31" l="1"/>
  <c r="K21" i="31"/>
  <c r="D31" i="31"/>
  <c r="K31" i="31"/>
  <c r="D84" i="31"/>
  <c r="K84" i="31"/>
  <c r="D18" i="31"/>
  <c r="K18" i="31"/>
  <c r="K107" i="31"/>
  <c r="D107" i="31"/>
  <c r="K24" i="31"/>
  <c r="D24" i="31"/>
  <c r="K19" i="31"/>
  <c r="D19" i="31"/>
  <c r="D14" i="31"/>
  <c r="K14" i="31"/>
  <c r="K27" i="31"/>
  <c r="D27" i="31"/>
  <c r="K47" i="31"/>
  <c r="D47" i="31"/>
  <c r="K126" i="31"/>
  <c r="D126" i="31"/>
  <c r="D118" i="31"/>
  <c r="K118" i="31"/>
  <c r="K121" i="31"/>
  <c r="D121" i="31"/>
  <c r="O25" i="31"/>
  <c r="D130" i="31"/>
  <c r="K130" i="31"/>
  <c r="K58" i="31"/>
  <c r="D58" i="31"/>
  <c r="D50" i="31"/>
  <c r="K50" i="31"/>
  <c r="D89" i="31"/>
  <c r="K89" i="31"/>
  <c r="D79" i="31"/>
  <c r="K79" i="31"/>
  <c r="K75" i="31"/>
  <c r="D75" i="31"/>
  <c r="K85" i="31"/>
  <c r="O22" i="31"/>
  <c r="D85" i="31"/>
  <c r="D42" i="31"/>
  <c r="K42" i="31"/>
  <c r="K99" i="31"/>
  <c r="D99" i="31"/>
  <c r="D15" i="31"/>
  <c r="K15" i="31"/>
  <c r="D68" i="31"/>
  <c r="K68" i="31"/>
  <c r="K92" i="31"/>
  <c r="D92" i="31"/>
  <c r="K62" i="31"/>
  <c r="D62" i="31"/>
  <c r="K17" i="31"/>
  <c r="D17" i="31"/>
  <c r="K55" i="31"/>
  <c r="D55" i="31"/>
  <c r="K127" i="31"/>
  <c r="D127" i="31"/>
  <c r="D39" i="31"/>
  <c r="K39" i="31"/>
  <c r="K32" i="31"/>
  <c r="D32" i="31"/>
  <c r="K22" i="31"/>
  <c r="D22" i="31"/>
  <c r="K80" i="31"/>
  <c r="D80" i="31"/>
  <c r="K90" i="31"/>
  <c r="D90" i="31"/>
  <c r="K33" i="31"/>
  <c r="D33" i="31"/>
  <c r="K93" i="31"/>
  <c r="D93" i="31"/>
  <c r="D104" i="31"/>
  <c r="K104" i="31"/>
  <c r="K112" i="31"/>
  <c r="D112" i="31"/>
  <c r="D20" i="31"/>
  <c r="K20" i="31"/>
  <c r="D53" i="31"/>
  <c r="K53" i="31"/>
  <c r="K49" i="31"/>
  <c r="O19" i="31"/>
  <c r="D49" i="31"/>
  <c r="D109" i="31"/>
  <c r="O24" i="31"/>
  <c r="K109" i="31"/>
  <c r="D105" i="31"/>
  <c r="K105" i="31"/>
  <c r="D98" i="31"/>
  <c r="K98" i="31"/>
  <c r="D86" i="31"/>
  <c r="K86" i="31"/>
  <c r="D26" i="31"/>
  <c r="K26" i="31"/>
  <c r="K91" i="31"/>
  <c r="D91" i="31"/>
  <c r="D34" i="31"/>
  <c r="K34" i="31"/>
  <c r="K63" i="31"/>
  <c r="D63" i="31"/>
  <c r="K73" i="31"/>
  <c r="D73" i="31"/>
  <c r="O21" i="31"/>
  <c r="K67" i="31"/>
  <c r="D67" i="31"/>
  <c r="K108" i="31"/>
  <c r="D108" i="31"/>
  <c r="K81" i="31"/>
  <c r="D81" i="31"/>
  <c r="K115" i="31"/>
  <c r="D115" i="31"/>
  <c r="D83" i="31"/>
  <c r="K83" i="31"/>
  <c r="D113" i="31"/>
  <c r="K113" i="31"/>
  <c r="K101" i="31"/>
  <c r="D101" i="31"/>
  <c r="K117" i="31"/>
  <c r="D117" i="31"/>
  <c r="K64" i="31"/>
  <c r="D64" i="31"/>
  <c r="K114" i="31"/>
  <c r="D114" i="31"/>
  <c r="K43" i="31"/>
  <c r="D43" i="31"/>
  <c r="D23" i="31"/>
  <c r="K23" i="31"/>
  <c r="K76" i="31"/>
  <c r="D76" i="31"/>
  <c r="D100" i="31"/>
  <c r="K100" i="31"/>
  <c r="K97" i="31"/>
  <c r="O23" i="31"/>
  <c r="D97" i="31"/>
  <c r="K77" i="31"/>
  <c r="D77" i="31"/>
  <c r="K102" i="31"/>
  <c r="D102" i="31"/>
  <c r="K52" i="31"/>
  <c r="D52" i="31"/>
  <c r="D128" i="31"/>
  <c r="K128" i="31"/>
  <c r="D129" i="31"/>
  <c r="K129" i="31"/>
  <c r="D94" i="31"/>
  <c r="K94" i="31"/>
  <c r="D82" i="31"/>
  <c r="K82" i="31"/>
  <c r="D95" i="31"/>
  <c r="K95" i="31"/>
  <c r="D57" i="31"/>
  <c r="K57" i="31"/>
  <c r="K72" i="31"/>
  <c r="D72" i="31"/>
  <c r="D12" i="31"/>
  <c r="G12" i="31" s="1"/>
  <c r="K25" i="31"/>
  <c r="D25" i="31"/>
  <c r="O17" i="31"/>
  <c r="D28" i="31"/>
  <c r="K28" i="31"/>
  <c r="K87" i="31"/>
  <c r="D87" i="31"/>
  <c r="K132" i="31"/>
  <c r="D132" i="31"/>
  <c r="D30" i="31"/>
  <c r="K30" i="31"/>
  <c r="K65" i="31"/>
  <c r="D65" i="31"/>
  <c r="D119" i="31"/>
  <c r="K119" i="31"/>
  <c r="K59" i="31"/>
  <c r="D59" i="31"/>
  <c r="D125" i="31"/>
  <c r="K125" i="31"/>
  <c r="D116" i="31"/>
  <c r="K116" i="31"/>
  <c r="D46" i="31"/>
  <c r="K46" i="31"/>
  <c r="K29" i="31"/>
  <c r="D29" i="31"/>
  <c r="K120" i="31"/>
  <c r="D120" i="31"/>
  <c r="D16" i="31"/>
  <c r="K16" i="31"/>
  <c r="D96" i="31"/>
  <c r="K96" i="31"/>
  <c r="D88" i="31"/>
  <c r="K88" i="31"/>
  <c r="K56" i="31"/>
  <c r="D56" i="31"/>
  <c r="K44" i="31"/>
  <c r="D44" i="31"/>
  <c r="K106" i="31"/>
  <c r="D106" i="31"/>
  <c r="K70" i="31"/>
  <c r="D70" i="31"/>
  <c r="D41" i="31"/>
  <c r="K41" i="31"/>
  <c r="K103" i="31"/>
  <c r="D103" i="31"/>
  <c r="D122" i="31"/>
  <c r="K122" i="31"/>
  <c r="K71" i="31"/>
  <c r="D71" i="31"/>
  <c r="D111" i="31"/>
  <c r="K111" i="31"/>
  <c r="K54" i="31"/>
  <c r="D54" i="31"/>
  <c r="K38" i="31"/>
  <c r="D38" i="31"/>
  <c r="D48" i="31"/>
  <c r="K48" i="31"/>
  <c r="D124" i="31"/>
  <c r="K124" i="31"/>
  <c r="K45" i="31"/>
  <c r="D45" i="31"/>
  <c r="D13" i="31"/>
  <c r="O16" i="31"/>
  <c r="K13" i="31"/>
  <c r="D35" i="31"/>
  <c r="K35" i="31"/>
  <c r="K110" i="31"/>
  <c r="D110" i="31"/>
  <c r="D131" i="31"/>
  <c r="K131" i="31"/>
  <c r="K61" i="31"/>
  <c r="O20" i="31"/>
  <c r="D61" i="31"/>
  <c r="K74" i="31"/>
  <c r="D74" i="31"/>
  <c r="O18" i="31"/>
  <c r="K37" i="31"/>
  <c r="D37" i="31"/>
  <c r="K36" i="31"/>
  <c r="D36" i="31"/>
  <c r="D78" i="31"/>
  <c r="K78" i="31"/>
  <c r="K40" i="31"/>
  <c r="D40" i="31"/>
  <c r="D69" i="31"/>
  <c r="K69" i="31"/>
  <c r="D60" i="31"/>
  <c r="K60" i="31"/>
  <c r="K51" i="31"/>
  <c r="D51" i="31"/>
  <c r="D66" i="31"/>
  <c r="K66" i="31"/>
  <c r="K123" i="31"/>
  <c r="D123" i="31"/>
  <c r="N17" i="31" l="1"/>
  <c r="R17" i="31" s="1"/>
  <c r="N18" i="31"/>
  <c r="R18" i="31" s="1"/>
  <c r="N20" i="31"/>
  <c r="R20" i="31" s="1"/>
  <c r="N16" i="31"/>
  <c r="R16" i="31" s="1"/>
  <c r="N19" i="31"/>
  <c r="R19" i="31" s="1"/>
  <c r="N24" i="31"/>
  <c r="R24" i="31" s="1"/>
  <c r="N22" i="31"/>
  <c r="R22" i="31" s="1"/>
  <c r="N25" i="31"/>
  <c r="R25" i="31" s="1"/>
  <c r="K4" i="31"/>
  <c r="K5" i="31"/>
  <c r="N23" i="31"/>
  <c r="R23" i="31" s="1"/>
  <c r="N21" i="31"/>
  <c r="R21" i="31" s="1"/>
  <c r="K6" i="31" l="1"/>
  <c r="B5" i="31" s="1"/>
  <c r="M7" i="31"/>
  <c r="K3" i="25"/>
  <c r="B5" i="25" l="1"/>
  <c r="G9" i="25"/>
  <c r="E38" i="25"/>
  <c r="G37" i="25"/>
  <c r="G38" i="25"/>
  <c r="E37" i="25"/>
  <c r="E36" i="25"/>
  <c r="G36" i="25"/>
  <c r="B4" i="31" l="1"/>
  <c r="B5" i="66"/>
  <c r="B5" i="28"/>
  <c r="E41" i="31" l="1"/>
  <c r="G41" i="31" s="1"/>
  <c r="E32" i="31"/>
  <c r="G32" i="31" s="1"/>
  <c r="E112" i="31"/>
  <c r="G112" i="31" s="1"/>
  <c r="E86" i="31"/>
  <c r="G86" i="31" s="1"/>
  <c r="E99" i="31"/>
  <c r="G99" i="31" s="1"/>
  <c r="E93" i="31"/>
  <c r="G93" i="31" s="1"/>
  <c r="E101" i="31"/>
  <c r="G101" i="31" s="1"/>
  <c r="E98" i="31"/>
  <c r="G98" i="31" s="1"/>
  <c r="E51" i="31"/>
  <c r="G51" i="31" s="1"/>
  <c r="E27" i="31"/>
  <c r="G27" i="31" s="1"/>
  <c r="E77" i="31"/>
  <c r="G77" i="31" s="1"/>
  <c r="E63" i="31"/>
  <c r="G63" i="31" s="1"/>
  <c r="E74" i="31"/>
  <c r="G74" i="31" s="1"/>
  <c r="E50" i="31"/>
  <c r="G50" i="31" s="1"/>
  <c r="E107" i="31"/>
  <c r="G107" i="31" s="1"/>
  <c r="E103" i="31"/>
  <c r="G103" i="31" s="1"/>
  <c r="E67" i="31"/>
  <c r="G67" i="31" s="1"/>
  <c r="E104" i="31"/>
  <c r="G104" i="31" s="1"/>
  <c r="E68" i="31"/>
  <c r="G68" i="31" s="1"/>
  <c r="E82" i="31"/>
  <c r="G82" i="31" s="1"/>
  <c r="E75" i="31"/>
  <c r="G75" i="31" s="1"/>
  <c r="E30" i="31"/>
  <c r="G30" i="31" s="1"/>
  <c r="E111" i="31"/>
  <c r="G111" i="31" s="1"/>
  <c r="E58" i="31"/>
  <c r="G58" i="31" s="1"/>
  <c r="E118" i="31"/>
  <c r="G118" i="31" s="1"/>
  <c r="E91" i="31"/>
  <c r="G91" i="31" s="1"/>
  <c r="E108" i="31"/>
  <c r="G108" i="31" s="1"/>
  <c r="E52" i="31"/>
  <c r="G52" i="31" s="1"/>
  <c r="E102" i="31"/>
  <c r="G102" i="31" s="1"/>
  <c r="E71" i="31"/>
  <c r="G71" i="31" s="1"/>
  <c r="E38" i="31"/>
  <c r="G38" i="31" s="1"/>
  <c r="E24" i="31"/>
  <c r="G24" i="31" s="1"/>
  <c r="E87" i="31"/>
  <c r="G87" i="31" s="1"/>
  <c r="E66" i="31"/>
  <c r="G66" i="31" s="1"/>
  <c r="E42" i="31"/>
  <c r="G42" i="31" s="1"/>
  <c r="E78" i="31"/>
  <c r="G78" i="31" s="1"/>
  <c r="E115" i="31"/>
  <c r="G115" i="31" s="1"/>
  <c r="E64" i="31"/>
  <c r="G64" i="31" s="1"/>
  <c r="E36" i="31"/>
  <c r="G36" i="31" s="1"/>
  <c r="E79" i="31"/>
  <c r="G79" i="31" s="1"/>
  <c r="E57" i="31"/>
  <c r="G57" i="31" s="1"/>
  <c r="E114" i="31"/>
  <c r="G114" i="31" s="1"/>
  <c r="E117" i="31"/>
  <c r="G117" i="31" s="1"/>
  <c r="E29" i="31"/>
  <c r="G29" i="31" s="1"/>
  <c r="E105" i="31"/>
  <c r="G105" i="31" s="1"/>
  <c r="E53" i="31"/>
  <c r="G53" i="31" s="1"/>
  <c r="E15" i="31"/>
  <c r="G15" i="31" s="1"/>
  <c r="E43" i="31"/>
  <c r="G43" i="31" s="1"/>
  <c r="E44" i="31"/>
  <c r="G44" i="31" s="1"/>
  <c r="E46" i="31"/>
  <c r="G46" i="31" s="1"/>
  <c r="E26" i="31"/>
  <c r="G26" i="31" s="1"/>
  <c r="E19" i="31"/>
  <c r="G19" i="31" s="1"/>
  <c r="E17" i="31"/>
  <c r="G17" i="31" s="1"/>
  <c r="E81" i="31"/>
  <c r="G81" i="31" s="1"/>
  <c r="E20" i="31"/>
  <c r="G20" i="31" s="1"/>
  <c r="E47" i="31"/>
  <c r="G47" i="31" s="1"/>
  <c r="E94" i="31"/>
  <c r="G94" i="31" s="1"/>
  <c r="E39" i="31"/>
  <c r="G39" i="31" s="1"/>
  <c r="E116" i="31"/>
  <c r="G116" i="31" s="1"/>
  <c r="E31" i="31"/>
  <c r="G31" i="31" s="1"/>
  <c r="E45" i="31"/>
  <c r="G45" i="31" s="1"/>
  <c r="E89" i="31"/>
  <c r="G89" i="31" s="1"/>
  <c r="E80" i="31"/>
  <c r="G80" i="31" s="1"/>
  <c r="E56" i="31"/>
  <c r="G56" i="31" s="1"/>
  <c r="E40" i="31"/>
  <c r="G40" i="31" s="1"/>
  <c r="E106" i="31"/>
  <c r="G106" i="31" s="1"/>
  <c r="E95" i="31"/>
  <c r="G95" i="31" s="1"/>
  <c r="E69" i="31"/>
  <c r="G69" i="31" s="1"/>
  <c r="E62" i="31"/>
  <c r="G62" i="31" s="1"/>
  <c r="E76" i="31"/>
  <c r="G76" i="31" s="1"/>
  <c r="E119" i="31"/>
  <c r="G119" i="31" s="1"/>
  <c r="E28" i="31"/>
  <c r="G28" i="31" s="1"/>
  <c r="E70" i="31"/>
  <c r="G70" i="31" s="1"/>
  <c r="E59" i="31"/>
  <c r="G59" i="31" s="1"/>
  <c r="E88" i="31"/>
  <c r="G88" i="31" s="1"/>
  <c r="E113" i="31"/>
  <c r="G113" i="31" s="1"/>
  <c r="E55" i="31"/>
  <c r="G55" i="31" s="1"/>
  <c r="E33" i="31"/>
  <c r="G33" i="31" s="1"/>
  <c r="E16" i="31"/>
  <c r="G16" i="31" s="1"/>
  <c r="E100" i="31"/>
  <c r="G100" i="31" s="1"/>
  <c r="E120" i="31"/>
  <c r="G120" i="31" s="1"/>
  <c r="E54" i="31"/>
  <c r="G54" i="31" s="1"/>
  <c r="E110" i="31"/>
  <c r="G110" i="31" s="1"/>
  <c r="E34" i="31"/>
  <c r="G34" i="31" s="1"/>
  <c r="E92" i="31"/>
  <c r="G92" i="31" s="1"/>
  <c r="E14" i="31"/>
  <c r="G14" i="31" s="1"/>
  <c r="E35" i="31"/>
  <c r="G35" i="31" s="1"/>
  <c r="E83" i="31"/>
  <c r="G83" i="31" s="1"/>
  <c r="E90" i="31"/>
  <c r="G90" i="31" s="1"/>
  <c r="E65" i="31"/>
  <c r="G65" i="31" s="1"/>
  <c r="E60" i="31" l="1"/>
  <c r="G60" i="31" s="1"/>
  <c r="E48" i="31"/>
  <c r="G48" i="31" s="1"/>
  <c r="E96" i="31"/>
  <c r="G96" i="31" s="1"/>
  <c r="E84" i="31"/>
  <c r="G84" i="31" s="1"/>
  <c r="E72" i="31"/>
  <c r="G72" i="31" s="1"/>
  <c r="E21" i="31"/>
  <c r="G21" i="31" s="1"/>
  <c r="E23" i="31"/>
  <c r="G23" i="31" s="1"/>
  <c r="E22" i="31"/>
  <c r="G22" i="31" s="1"/>
  <c r="E18" i="31"/>
  <c r="G18" i="31" s="1"/>
  <c r="E132" i="31"/>
  <c r="G132" i="31" s="1"/>
  <c r="E123" i="31"/>
  <c r="G123" i="31" s="1"/>
  <c r="E129" i="31"/>
  <c r="G129" i="31" s="1"/>
  <c r="E128" i="31"/>
  <c r="G128" i="31" s="1"/>
  <c r="E122" i="31"/>
  <c r="G122" i="31" s="1"/>
  <c r="E131" i="31"/>
  <c r="G131" i="31" s="1"/>
  <c r="E125" i="31"/>
  <c r="G125" i="31" s="1"/>
  <c r="E130" i="31"/>
  <c r="G130" i="31" s="1"/>
  <c r="E126" i="31"/>
  <c r="G126" i="31" s="1"/>
  <c r="E127" i="31"/>
  <c r="G127" i="31" s="1"/>
  <c r="E124" i="31"/>
  <c r="G124" i="31" s="1"/>
  <c r="E17" i="25"/>
  <c r="E19" i="25"/>
  <c r="E13" i="25"/>
  <c r="E13" i="31" l="1"/>
  <c r="M16" i="31"/>
  <c r="E61" i="31"/>
  <c r="M20" i="31"/>
  <c r="E85" i="31"/>
  <c r="M22" i="31"/>
  <c r="G13" i="25"/>
  <c r="G17" i="25"/>
  <c r="E15" i="25"/>
  <c r="E14" i="25"/>
  <c r="E18" i="25"/>
  <c r="E22" i="25"/>
  <c r="E21" i="25"/>
  <c r="E20" i="25"/>
  <c r="G19" i="25"/>
  <c r="E16" i="25"/>
  <c r="C15" i="82" l="1"/>
  <c r="C13" i="82"/>
  <c r="C9" i="82"/>
  <c r="G61" i="31"/>
  <c r="M18" i="31"/>
  <c r="E37" i="31"/>
  <c r="Q20" i="31"/>
  <c r="P20" i="31"/>
  <c r="E109" i="31"/>
  <c r="M24" i="31"/>
  <c r="E25" i="31"/>
  <c r="M17" i="31"/>
  <c r="P22" i="31"/>
  <c r="Q22" i="31"/>
  <c r="Q16" i="31"/>
  <c r="P16" i="31"/>
  <c r="M25" i="31"/>
  <c r="E121" i="31"/>
  <c r="M19" i="31"/>
  <c r="E49" i="31"/>
  <c r="E73" i="31"/>
  <c r="M21" i="31"/>
  <c r="M23" i="31"/>
  <c r="E97" i="31"/>
  <c r="G85" i="31"/>
  <c r="G13" i="31"/>
  <c r="G22" i="25"/>
  <c r="G20" i="25"/>
  <c r="G16" i="25"/>
  <c r="G18" i="25"/>
  <c r="G15" i="25"/>
  <c r="G14" i="25"/>
  <c r="G21" i="25"/>
  <c r="C11" i="82" l="1"/>
  <c r="C10" i="82"/>
  <c r="C18" i="82"/>
  <c r="C16" i="82"/>
  <c r="C12" i="82"/>
  <c r="C17" i="82"/>
  <c r="C14" i="82"/>
  <c r="P21" i="31"/>
  <c r="Q21" i="31"/>
  <c r="G37" i="31"/>
  <c r="G73" i="31"/>
  <c r="P25" i="31"/>
  <c r="Q25" i="31"/>
  <c r="G109" i="31"/>
  <c r="P18" i="31"/>
  <c r="Q18" i="31"/>
  <c r="Q24" i="31"/>
  <c r="P24" i="31"/>
  <c r="G97" i="31"/>
  <c r="G49" i="31"/>
  <c r="Q17" i="31"/>
  <c r="P17" i="31"/>
  <c r="G121" i="31"/>
  <c r="Q23" i="31"/>
  <c r="P23" i="31"/>
  <c r="P19" i="31"/>
  <c r="Q19" i="31"/>
  <c r="G25" i="31"/>
  <c r="F9" i="31"/>
  <c r="K182" i="31" l="1"/>
  <c r="D182" i="31"/>
  <c r="D141" i="31"/>
  <c r="K141" i="31"/>
  <c r="K137" i="31"/>
  <c r="D137" i="31"/>
  <c r="K227" i="31"/>
  <c r="D227" i="31"/>
  <c r="D134" i="31"/>
  <c r="K134" i="31"/>
  <c r="K167" i="31"/>
  <c r="D167" i="31"/>
  <c r="D178" i="31"/>
  <c r="K178" i="31"/>
  <c r="K209" i="31"/>
  <c r="D209" i="31"/>
  <c r="O32" i="31"/>
  <c r="K205" i="31"/>
  <c r="D205" i="31"/>
  <c r="D219" i="31"/>
  <c r="K219" i="31"/>
  <c r="K135" i="31"/>
  <c r="D135" i="31"/>
  <c r="K188" i="31"/>
  <c r="D188" i="31"/>
  <c r="K212" i="31"/>
  <c r="D212" i="31"/>
  <c r="D175" i="31"/>
  <c r="K175" i="31"/>
  <c r="K159" i="31"/>
  <c r="D159" i="31"/>
  <c r="K152" i="31"/>
  <c r="D152" i="31"/>
  <c r="K142" i="31"/>
  <c r="D142" i="31"/>
  <c r="K200" i="31"/>
  <c r="D200" i="31"/>
  <c r="D210" i="31"/>
  <c r="K210" i="31"/>
  <c r="D153" i="31"/>
  <c r="K153" i="31"/>
  <c r="D213" i="31"/>
  <c r="K213" i="31"/>
  <c r="D224" i="31"/>
  <c r="K224" i="31"/>
  <c r="K140" i="31"/>
  <c r="D140" i="31"/>
  <c r="D173" i="31"/>
  <c r="K173" i="31"/>
  <c r="D169" i="31"/>
  <c r="O29" i="31"/>
  <c r="K169" i="31"/>
  <c r="O34" i="31"/>
  <c r="K225" i="31"/>
  <c r="D225" i="31"/>
  <c r="D218" i="31"/>
  <c r="K218" i="31"/>
  <c r="K206" i="31"/>
  <c r="D206" i="31"/>
  <c r="K146" i="31"/>
  <c r="D146" i="31"/>
  <c r="D211" i="31"/>
  <c r="K211" i="31"/>
  <c r="D154" i="31"/>
  <c r="K154" i="31"/>
  <c r="K183" i="31"/>
  <c r="D183" i="31"/>
  <c r="D193" i="31"/>
  <c r="O31" i="31"/>
  <c r="K193" i="31"/>
  <c r="D187" i="31"/>
  <c r="K187" i="31"/>
  <c r="D228" i="31"/>
  <c r="K228" i="31"/>
  <c r="D201" i="31"/>
  <c r="K201" i="31"/>
  <c r="D203" i="31"/>
  <c r="K203" i="31"/>
  <c r="D221" i="31"/>
  <c r="K221" i="31"/>
  <c r="K184" i="31"/>
  <c r="D184" i="31"/>
  <c r="K163" i="31"/>
  <c r="D163" i="31"/>
  <c r="D143" i="31"/>
  <c r="K143" i="31"/>
  <c r="K196" i="31"/>
  <c r="D196" i="31"/>
  <c r="D151" i="31"/>
  <c r="K151" i="31"/>
  <c r="D138" i="31"/>
  <c r="K138" i="31"/>
  <c r="K195" i="31"/>
  <c r="D195" i="31"/>
  <c r="K166" i="31"/>
  <c r="D166" i="31"/>
  <c r="D217" i="31"/>
  <c r="K217" i="31"/>
  <c r="O33" i="31"/>
  <c r="K197" i="31"/>
  <c r="D197" i="31"/>
  <c r="K149" i="31"/>
  <c r="D149" i="31"/>
  <c r="D222" i="31"/>
  <c r="K222" i="31"/>
  <c r="D172" i="31"/>
  <c r="K172" i="31"/>
  <c r="D214" i="31"/>
  <c r="K214" i="31"/>
  <c r="D202" i="31"/>
  <c r="K202" i="31"/>
  <c r="D215" i="31"/>
  <c r="K215" i="31"/>
  <c r="D177" i="31"/>
  <c r="K177" i="31"/>
  <c r="K192" i="31"/>
  <c r="D192" i="31"/>
  <c r="O27" i="31"/>
  <c r="D145" i="31"/>
  <c r="K145" i="31"/>
  <c r="K148" i="31"/>
  <c r="D148" i="31"/>
  <c r="D207" i="31"/>
  <c r="K207" i="31"/>
  <c r="D150" i="31"/>
  <c r="K150" i="31"/>
  <c r="D185" i="31"/>
  <c r="K185" i="31"/>
  <c r="D179" i="31"/>
  <c r="K179" i="31"/>
  <c r="K204" i="31"/>
  <c r="D204" i="31"/>
  <c r="K144" i="31"/>
  <c r="D144" i="31"/>
  <c r="K139" i="31"/>
  <c r="D139" i="31"/>
  <c r="D147" i="31"/>
  <c r="K147" i="31"/>
  <c r="D170" i="31"/>
  <c r="K170" i="31"/>
  <c r="D199" i="31"/>
  <c r="K199" i="31"/>
  <c r="K162" i="31"/>
  <c r="D162" i="31"/>
  <c r="K220" i="31"/>
  <c r="D220" i="31"/>
  <c r="K136" i="31"/>
  <c r="D136" i="31"/>
  <c r="K216" i="31"/>
  <c r="D216" i="31"/>
  <c r="D208" i="31"/>
  <c r="K208" i="31"/>
  <c r="D176" i="31"/>
  <c r="K176" i="31"/>
  <c r="K164" i="31"/>
  <c r="D164" i="31"/>
  <c r="D226" i="31"/>
  <c r="K226" i="31"/>
  <c r="D190" i="31"/>
  <c r="K190" i="31"/>
  <c r="K161" i="31"/>
  <c r="D161" i="31"/>
  <c r="K223" i="31"/>
  <c r="D223" i="31"/>
  <c r="K191" i="31"/>
  <c r="D191" i="31"/>
  <c r="K174" i="31"/>
  <c r="D174" i="31"/>
  <c r="K158" i="31"/>
  <c r="D158" i="31"/>
  <c r="K168" i="31"/>
  <c r="D168" i="31"/>
  <c r="D165" i="31"/>
  <c r="K165" i="31"/>
  <c r="O26" i="31"/>
  <c r="K133" i="31"/>
  <c r="D133" i="31"/>
  <c r="D155" i="31"/>
  <c r="K155" i="31"/>
  <c r="D181" i="31"/>
  <c r="K181" i="31"/>
  <c r="O30" i="31"/>
  <c r="D194" i="31"/>
  <c r="K194" i="31"/>
  <c r="D157" i="31"/>
  <c r="O28" i="31"/>
  <c r="K157" i="31"/>
  <c r="D156" i="31"/>
  <c r="K156" i="31"/>
  <c r="K198" i="31"/>
  <c r="D198" i="31"/>
  <c r="D160" i="31"/>
  <c r="K160" i="31"/>
  <c r="K189" i="31"/>
  <c r="D189" i="31"/>
  <c r="K180" i="31"/>
  <c r="D180" i="31"/>
  <c r="K171" i="31"/>
  <c r="D171" i="31"/>
  <c r="K186" i="31"/>
  <c r="D186" i="31"/>
  <c r="D9" i="31"/>
  <c r="E31" i="25"/>
  <c r="N31" i="31" l="1"/>
  <c r="R31" i="31" s="1"/>
  <c r="N33" i="31"/>
  <c r="R33" i="31" s="1"/>
  <c r="C49" i="25"/>
  <c r="N32" i="31"/>
  <c r="R32" i="31" s="1"/>
  <c r="N30" i="31"/>
  <c r="R30" i="31" s="1"/>
  <c r="N27" i="31"/>
  <c r="R27" i="31" s="1"/>
  <c r="N34" i="31"/>
  <c r="R34" i="31" s="1"/>
  <c r="N28" i="31"/>
  <c r="R28" i="31" s="1"/>
  <c r="N26" i="31"/>
  <c r="R26" i="31" s="1"/>
  <c r="N29" i="31"/>
  <c r="R29" i="31" s="1"/>
  <c r="O35" i="31"/>
  <c r="M34" i="31"/>
  <c r="G31" i="25"/>
  <c r="E32" i="25"/>
  <c r="M35" i="31" l="1"/>
  <c r="P34" i="31"/>
  <c r="Q34" i="31"/>
  <c r="O36" i="31"/>
  <c r="G32" i="25"/>
  <c r="E33" i="25"/>
  <c r="O37" i="31" l="1"/>
  <c r="N35" i="31"/>
  <c r="R35" i="31" s="1"/>
  <c r="M36" i="31"/>
  <c r="Q35" i="31"/>
  <c r="G33" i="25"/>
  <c r="E34" i="25"/>
  <c r="Q36" i="31" l="1"/>
  <c r="N36" i="31"/>
  <c r="R36" i="31" s="1"/>
  <c r="M37" i="31"/>
  <c r="O38" i="31"/>
  <c r="P35" i="31"/>
  <c r="G34" i="25"/>
  <c r="E35" i="25"/>
  <c r="N37" i="31" l="1"/>
  <c r="R37" i="31" s="1"/>
  <c r="M38" i="31"/>
  <c r="P36" i="31"/>
  <c r="N38" i="31"/>
  <c r="R38" i="31" s="1"/>
  <c r="Q37" i="31"/>
  <c r="G35" i="25"/>
  <c r="P37" i="31" l="1"/>
  <c r="P38" i="31"/>
  <c r="Q38" i="31"/>
  <c r="E161" i="31" l="1"/>
  <c r="G161" i="31" s="1"/>
  <c r="E152" i="31"/>
  <c r="G152" i="31" s="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G171" i="31" s="1"/>
  <c r="E147" i="31"/>
  <c r="G147" i="31" s="1"/>
  <c r="E197" i="31"/>
  <c r="G197" i="31" s="1"/>
  <c r="E183" i="31"/>
  <c r="G183" i="31" s="1"/>
  <c r="E194" i="31"/>
  <c r="G194" i="31" s="1"/>
  <c r="E170" i="31"/>
  <c r="G170" i="31" s="1"/>
  <c r="E227" i="31"/>
  <c r="G227" i="31" s="1"/>
  <c r="E223" i="31"/>
  <c r="G223" i="31" s="1"/>
  <c r="E187" i="31"/>
  <c r="G187" i="31" s="1"/>
  <c r="E224" i="31"/>
  <c r="G224" i="31" s="1"/>
  <c r="E188" i="31"/>
  <c r="G188" i="31" s="1"/>
  <c r="E202" i="31"/>
  <c r="G202" i="31" s="1"/>
  <c r="E195" i="31"/>
  <c r="G195" i="31" s="1"/>
  <c r="E150" i="31"/>
  <c r="G150" i="31" s="1"/>
  <c r="E178" i="31"/>
  <c r="G178" i="31" s="1"/>
  <c r="E211" i="31"/>
  <c r="G211" i="31" s="1"/>
  <c r="E228" i="31"/>
  <c r="G228" i="31" s="1"/>
  <c r="E172" i="31"/>
  <c r="G172" i="31" s="1"/>
  <c r="E222" i="31"/>
  <c r="G222" i="31" s="1"/>
  <c r="E191" i="31"/>
  <c r="G191" i="31" s="1"/>
  <c r="E158" i="31"/>
  <c r="G158" i="31" s="1"/>
  <c r="E144" i="31"/>
  <c r="G144" i="31" s="1"/>
  <c r="E207" i="31"/>
  <c r="G207" i="31" s="1"/>
  <c r="E186" i="31"/>
  <c r="G186" i="31" s="1"/>
  <c r="E162" i="31"/>
  <c r="G162" i="31" s="1"/>
  <c r="E198" i="31"/>
  <c r="G198" i="31" s="1"/>
  <c r="E184" i="31"/>
  <c r="G184" i="31" s="1"/>
  <c r="E156" i="31"/>
  <c r="G156" i="31" s="1"/>
  <c r="E199" i="31"/>
  <c r="G199" i="31" s="1"/>
  <c r="E177" i="31"/>
  <c r="G177" i="31" s="1"/>
  <c r="E149" i="31"/>
  <c r="G149" i="31" s="1"/>
  <c r="E225" i="31"/>
  <c r="G225" i="31" s="1"/>
  <c r="E173" i="31"/>
  <c r="G173" i="31" s="1"/>
  <c r="E135" i="31"/>
  <c r="G135" i="31" s="1"/>
  <c r="E163" i="31"/>
  <c r="G163" i="31" s="1"/>
  <c r="E164" i="31"/>
  <c r="G164" i="31" s="1"/>
  <c r="E166" i="31"/>
  <c r="G166" i="31" s="1"/>
  <c r="E146" i="31"/>
  <c r="G146" i="31" s="1"/>
  <c r="E139" i="31"/>
  <c r="G139" i="31" s="1"/>
  <c r="E137" i="31"/>
  <c r="G137" i="31" s="1"/>
  <c r="E201" i="31"/>
  <c r="G201" i="31" s="1"/>
  <c r="E140" i="31"/>
  <c r="G140" i="31" s="1"/>
  <c r="E167" i="31"/>
  <c r="G167" i="31" s="1"/>
  <c r="E214" i="31"/>
  <c r="G214" i="31" s="1"/>
  <c r="E159" i="31"/>
  <c r="G159" i="31" s="1"/>
  <c r="E151" i="31"/>
  <c r="G151" i="31" s="1"/>
  <c r="E165" i="31"/>
  <c r="G165" i="31" s="1"/>
  <c r="E209" i="31"/>
  <c r="G209" i="31" s="1"/>
  <c r="E200" i="31"/>
  <c r="G200" i="31" s="1"/>
  <c r="E176" i="31"/>
  <c r="G176" i="31" s="1"/>
  <c r="E160" i="31"/>
  <c r="G160" i="31" s="1"/>
  <c r="E226" i="31"/>
  <c r="G226" i="31" s="1"/>
  <c r="E215" i="31"/>
  <c r="G215" i="31" s="1"/>
  <c r="E189" i="31"/>
  <c r="G189" i="31" s="1"/>
  <c r="E182" i="31"/>
  <c r="G182" i="31" s="1"/>
  <c r="E196" i="31"/>
  <c r="G196" i="31" s="1"/>
  <c r="E148" i="31"/>
  <c r="G148" i="31" s="1"/>
  <c r="E190" i="31"/>
  <c r="G190" i="31" s="1"/>
  <c r="E179" i="31"/>
  <c r="G179" i="31" s="1"/>
  <c r="E208" i="31"/>
  <c r="G208" i="31" s="1"/>
  <c r="E175" i="31"/>
  <c r="G175" i="31" s="1"/>
  <c r="E153" i="31"/>
  <c r="G153" i="31" s="1"/>
  <c r="E136" i="31"/>
  <c r="G136" i="31" s="1"/>
  <c r="E220" i="31"/>
  <c r="G220" i="31" s="1"/>
  <c r="E174" i="31"/>
  <c r="G174" i="31" s="1"/>
  <c r="E154" i="31"/>
  <c r="G154" i="31" s="1"/>
  <c r="E212" i="31"/>
  <c r="G212" i="31" s="1"/>
  <c r="E134" i="31"/>
  <c r="G134" i="31" s="1"/>
  <c r="E155" i="31"/>
  <c r="G155" i="31" s="1"/>
  <c r="E203" i="31"/>
  <c r="G203" i="31" s="1"/>
  <c r="E210" i="31"/>
  <c r="G210" i="31" s="1"/>
  <c r="E185" i="31"/>
  <c r="G185" i="31" s="1"/>
  <c r="E180" i="31" l="1"/>
  <c r="G180" i="31" s="1"/>
  <c r="E168" i="31"/>
  <c r="G168" i="31" s="1"/>
  <c r="E216" i="31"/>
  <c r="G216" i="31" s="1"/>
  <c r="E204" i="31"/>
  <c r="G204" i="31" s="1"/>
  <c r="E192" i="31"/>
  <c r="G192" i="31" s="1"/>
  <c r="E141" i="31"/>
  <c r="G141" i="31" s="1"/>
  <c r="E143" i="31"/>
  <c r="G143" i="31" s="1"/>
  <c r="E142" i="31"/>
  <c r="G142" i="31" s="1"/>
  <c r="E138" i="31"/>
  <c r="G138" i="31" s="1"/>
  <c r="E23" i="25"/>
  <c r="E29" i="25"/>
  <c r="E27" i="25"/>
  <c r="E133" i="31" l="1"/>
  <c r="M26" i="31"/>
  <c r="M30" i="31"/>
  <c r="E181" i="31"/>
  <c r="M32" i="31"/>
  <c r="E205" i="31"/>
  <c r="E25" i="25"/>
  <c r="E26" i="25"/>
  <c r="E24" i="25"/>
  <c r="E28" i="25"/>
  <c r="G27" i="25"/>
  <c r="E30" i="25"/>
  <c r="G23" i="25"/>
  <c r="G29" i="25"/>
  <c r="C9" i="31"/>
  <c r="C23" i="82" l="1"/>
  <c r="C19" i="82"/>
  <c r="G9" i="31"/>
  <c r="G50" i="25" s="1"/>
  <c r="E50" i="25"/>
  <c r="G205" i="31"/>
  <c r="G181" i="31"/>
  <c r="M28" i="31"/>
  <c r="E157" i="31"/>
  <c r="M27" i="31"/>
  <c r="E145" i="31"/>
  <c r="Q32" i="31"/>
  <c r="P32" i="31"/>
  <c r="Q30" i="31"/>
  <c r="P30" i="31"/>
  <c r="E169" i="31"/>
  <c r="M29" i="31"/>
  <c r="Q26" i="31"/>
  <c r="P26" i="31"/>
  <c r="M31" i="31"/>
  <c r="E193" i="31"/>
  <c r="E217" i="31"/>
  <c r="M33" i="31"/>
  <c r="G133" i="31"/>
  <c r="G26" i="25"/>
  <c r="E9" i="31"/>
  <c r="G30" i="25"/>
  <c r="G24" i="25"/>
  <c r="G28" i="25"/>
  <c r="G25" i="25"/>
  <c r="C26" i="82" l="1"/>
  <c r="C20" i="82"/>
  <c r="C21" i="82"/>
  <c r="C22" i="82"/>
  <c r="I75" i="25"/>
  <c r="Q27" i="31"/>
  <c r="P27" i="31"/>
  <c r="G193" i="31"/>
  <c r="Q28" i="31"/>
  <c r="P28" i="31"/>
  <c r="Q31" i="31"/>
  <c r="P31" i="31"/>
  <c r="G217" i="31"/>
  <c r="G169" i="31"/>
  <c r="Q33" i="31"/>
  <c r="P33" i="31"/>
  <c r="Q29" i="31"/>
  <c r="P29" i="31"/>
  <c r="G145" i="31"/>
  <c r="G157" i="31"/>
  <c r="I9" i="82" l="1"/>
  <c r="I15" i="82"/>
  <c r="I13" i="82"/>
  <c r="I10" i="82" l="1"/>
  <c r="I16" i="82"/>
  <c r="I14" i="82"/>
  <c r="I17" i="82"/>
  <c r="I12" i="82"/>
  <c r="I18" i="82"/>
  <c r="I11" i="82"/>
  <c r="I19" i="82" l="1"/>
  <c r="I23" i="82"/>
  <c r="I26" i="82"/>
  <c r="I27" i="82" s="1"/>
  <c r="I20" i="82" l="1"/>
  <c r="I22" i="82"/>
  <c r="I21" i="82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<sst xmlns="http://schemas.openxmlformats.org/spreadsheetml/2006/main" count="1212" uniqueCount="267">
  <si>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</si>
  <si>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</si>
  <si>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</si>
  <si>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</si>
  <si>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</si>
  <si>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</si>
  <si>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</si>
  <si>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</si>
  <si>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</si>
  <si>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</si>
  <si>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</si>
  <si>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</si>
  <si>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</si>
  <si>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</si>
  <si>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</si>
  <si>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</si>
  <si>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</si>
  <si>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</si>
  <si>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</si>
  <si>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</si>
  <si>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</si>
  <si>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</si>
  <si>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</si>
  <si>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</si>
  <si>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</si>
  <si>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</si>
  <si>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</si>
  <si>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</si>
  <si>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</si>
  <si>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</si>
  <si>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</si>
  <si>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</si>
  <si>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</si>
  <si>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</si>
  <si>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</si>
  <si>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</si>
  <si>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</si>
  <si>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</si>
  <si>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</si>
  <si>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</si>
  <si>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</si>
  <si>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</si>
  <si>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</si>
  <si>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</si>
  <si>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</si>
  <si>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</si>
  <si>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</si>
  <si>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</si>
  <si>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</si>
  <si>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</si>
  <si>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</si>
  <si>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</si>
  <si>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</si>
  <si>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</si>
  <si>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</si>
  <si>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</si>
  <si>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</si>
  <si>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</si>
  <si>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</si>
  <si>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</si>
  <si>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</si>
  <si>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</si>
  <si>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</si>
  <si>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</si>
  <si>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</si>
  <si>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</si>
  <si>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</si>
  <si>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</si>
  <si>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</si>
  <si>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</si>
  <si>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</si>
  <si>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</si>
  <si>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</si>
  <si>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</si>
  <si>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</si>
  <si>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</si>
  <si>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</si>
  <si>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</si>
  <si>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</si>
  <si>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</si>
  <si>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</si>
  <si>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</si>
  <si>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</si>
  <si>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</si>
  <si>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</si>
  <si>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</si>
  <si>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</si>
  <si>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</si>
  <si>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</si>
  <si>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</si>
  <si>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</si>
  <si>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</si>
  <si>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</si>
  <si>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</si>
  <si>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</si>
  <si>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</si>
  <si>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</si>
  <si>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</si>
  <si>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</si>
  <si>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</si>
  <si>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</si>
  <si>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</si>
  <si>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</si>
  <si>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</si>
  <si>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</si>
  <si>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</si>
  <si>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</si>
  <si>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</si>
  <si>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</si>
  <si>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</si>
  <si>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</si>
  <si>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</si>
  <si>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</si>
  <si>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</si>
  <si>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</si>
  <si>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</si>
  <si>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</si>
  <si>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</si>
  <si>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</si>
  <si>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</si>
  <si>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</si>
  <si>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</si>
  <si>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</si>
  <si>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</si>
  <si>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</si>
  <si>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</si>
  <si>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</si>
  <si>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</si>
  <si>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</si>
  <si>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</si>
  <si>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</si>
  <si>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</si>
  <si>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</si>
  <si>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</si>
  <si>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</si>
  <si>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</si>
  <si>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</si>
  <si>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</si>
  <si>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</si>
  <si>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</si>
  <si>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</si>
  <si>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</si>
  <si>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</si>
  <si>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</si>
  <si>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</si>
  <si>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</si>
  <si>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</si>
  <si>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</si>
  <si>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</si>
  <si>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</si>
  <si>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</si>
  <si>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</si>
  <si>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</si>
  <si>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</si>
  <si>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</si>
  <si>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</si>
  <si>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</si>
  <si>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</si>
  <si>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</si>
  <si>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</si>
  <si>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</si>
  <si>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</si>
  <si>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</si>
  <si>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</si>
  <si>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</si>
  <si>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</si>
  <si>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</si>
  <si>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</si>
  <si>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</si>
  <si>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</si>
  <si>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</si>
  <si>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</si>
  <si>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</si>
  <si>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</si>
  <si>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</si>
  <si>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</si>
  <si>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</si>
  <si>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</si>
  <si>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</si>
  <si>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</si>
  <si>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</si>
  <si>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</si>
  <si>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</si>
  <si>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</si>
  <si>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</si>
  <si>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</si>
  <si>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</si>
  <si>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</si>
  <si>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</si>
  <si>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</si>
  <si>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</si>
  <si>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</si>
  <si>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</si>
  <si>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</si>
  <si>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</si>
  <si>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</si>
  <si>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</si>
  <si>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</si>
  <si>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</si>
  <si>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</si>
  <si>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</si>
  <si>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</si>
  <si>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</si>
  <si>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</si>
  <si>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</si>
  <si>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</si>
  <si>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</si>
  <si>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</si>
  <si>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</si>
  <si>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</si>
  <si>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</si>
  <si>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</si>
  <si>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</si>
  <si>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</si>
  <si>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</si>
  <si>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</si>
  <si>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</si>
  <si>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</si>
  <si>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</si>
  <si>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</si>
  <si>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</si>
  <si>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</si>
  <si>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</si>
  <si>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</si>
  <si>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</si>
  <si>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</si>
  <si>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</si>
  <si>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</si>
  <si>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</si>
  <si>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</si>
  <si>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</si>
  <si>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</t>
  </si>
  <si>
    <t>15 Year Starting 2025</t>
  </si>
  <si>
    <t>Appendix B.1</t>
  </si>
  <si>
    <t>Avoided Cost Prices $/MWh</t>
  </si>
  <si>
    <t>Thermal</t>
  </si>
  <si>
    <t>Solar Tracking</t>
  </si>
  <si>
    <t>Wind (Defers UT W)</t>
  </si>
  <si>
    <t>UT 2020.Q3</t>
  </si>
  <si>
    <t>100% CF (2)</t>
  </si>
  <si>
    <t>31.1% CF (2)</t>
  </si>
  <si>
    <t>31.0% CF (2)</t>
  </si>
  <si>
    <t>Difference</t>
  </si>
  <si>
    <t>15-Year Levelized Prices (Nominal) @ 6.920% Discount Rate (1) (3)</t>
  </si>
  <si>
    <t>Footnotes:</t>
  </si>
  <si>
    <t>(1)   Discount Rate - 2019 IRP</t>
  </si>
  <si>
    <t>2021-2035</t>
  </si>
  <si>
    <t>UT 2020.Q4</t>
  </si>
  <si>
    <t>Utah 2020.Q4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</si>
  <si>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</si>
  <si>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</si>
  <si>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</si>
  <si>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</si>
  <si>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</si>
  <si>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</si>
  <si>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</si>
  <si>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</si>
  <si>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</si>
  <si>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</si>
  <si>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</si>
  <si>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</si>
  <si>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</si>
  <si>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</si>
  <si>
    <t>Photovoltaic (Utility) 30% ITC</t>
  </si>
  <si>
    <t>Utah 2020.Q4</t>
  </si>
  <si>
    <t>2023$</t>
  </si>
  <si>
    <t>Company Official Inflation Forecast Dated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</si>
</sst>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2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38" fillId="0" borderId="0" xfId="11" applyNumberFormat="1" applyFont="1" applyAlignment="1">
      <alignment horizontal="centerContinuous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71" fontId="0" fillId="0" borderId="0" xfId="0" applyFont="1"/>
    <xf numFmtId="17" fontId="0" fillId="0" borderId="0" xfId="11" applyNumberFormat="1" applyFont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83%20-%20UT2020Q3%20-%20UT%20-%202020%20Dec\Sch%2038%20Filing\4_Appendix%20B.1%20-%20UT%202020.Q3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Q4%202020%2003-30-21\Working%20Docs\4_Appendix%20B.2%20-%20UT%202020.Q4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Q4%202020%2003-30-21\Working%20Docs\4_Appendix%20B.3%20-%20UT%202020.Q4%20-%20AC%20Study%20NON-CONF%20Win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83%20-%20UT2020Q3%20-%20UT%20-%202020%20Dec\Sch%2038%20Filing\4_Appendix%20B.2%20-%20UT%202020.Q3%20-%20AC%20Study%20NON-CONF%20Solar%20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83%20-%20UT2020Q3%20-%20UT%20-%202020%20Dec\Sch%2038%20Filing\4_Appendix%20B.3%20-%20UT%202020.Q3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20.688577543059612</v>
          </cell>
          <cell r="G13">
            <v>20.688577543059612</v>
          </cell>
        </row>
        <row r="14">
          <cell r="B14">
            <v>2022</v>
          </cell>
          <cell r="C14">
            <v>0</v>
          </cell>
          <cell r="E14">
            <v>20.404122613211115</v>
          </cell>
          <cell r="G14">
            <v>20.404122613211115</v>
          </cell>
        </row>
        <row r="15">
          <cell r="B15">
            <v>2023</v>
          </cell>
          <cell r="C15">
            <v>0</v>
          </cell>
          <cell r="E15">
            <v>19.585938357845407</v>
          </cell>
          <cell r="G15">
            <v>19.585938357845407</v>
          </cell>
        </row>
        <row r="16">
          <cell r="B16">
            <v>2024</v>
          </cell>
          <cell r="C16">
            <v>0</v>
          </cell>
          <cell r="E16">
            <v>15.824972804120923</v>
          </cell>
          <cell r="G16">
            <v>15.824972804120923</v>
          </cell>
        </row>
        <row r="17">
          <cell r="B17">
            <v>2025</v>
          </cell>
          <cell r="C17">
            <v>0</v>
          </cell>
          <cell r="E17">
            <v>17.924587980231976</v>
          </cell>
          <cell r="G17">
            <v>17.924587980231976</v>
          </cell>
        </row>
        <row r="18">
          <cell r="B18">
            <v>2026</v>
          </cell>
          <cell r="C18">
            <v>114.66715795722061</v>
          </cell>
          <cell r="E18">
            <v>19.917337379368746</v>
          </cell>
          <cell r="G18">
            <v>33.007195593663326</v>
          </cell>
        </row>
        <row r="19">
          <cell r="B19">
            <v>2027</v>
          </cell>
          <cell r="C19">
            <v>117.43853206149892</v>
          </cell>
          <cell r="E19">
            <v>20.827101624851817</v>
          </cell>
          <cell r="G19">
            <v>34.233326746027501</v>
          </cell>
        </row>
        <row r="20">
          <cell r="B20">
            <v>2028</v>
          </cell>
          <cell r="C20">
            <v>120.36804836413094</v>
          </cell>
          <cell r="E20">
            <v>24.441799514301305</v>
          </cell>
          <cell r="G20">
            <v>38.144901559398171</v>
          </cell>
        </row>
        <row r="21">
          <cell r="B21">
            <v>2029</v>
          </cell>
          <cell r="C21">
            <v>123.26661907201685</v>
          </cell>
          <cell r="E21">
            <v>26.323417509069181</v>
          </cell>
          <cell r="G21">
            <v>40.394949366605353</v>
          </cell>
        </row>
        <row r="22">
          <cell r="B22">
            <v>2030</v>
          </cell>
          <cell r="C22">
            <v>126.21676577114631</v>
          </cell>
          <cell r="E22">
            <v>26.012003693439596</v>
          </cell>
          <cell r="G22">
            <v>40.420310288319314</v>
          </cell>
        </row>
        <row r="23">
          <cell r="B23">
            <v>2031</v>
          </cell>
          <cell r="C23">
            <v>128.99155410004775</v>
          </cell>
          <cell r="E23">
            <v>28.276980064248317</v>
          </cell>
          <cell r="G23">
            <v>43.002043317678421</v>
          </cell>
        </row>
        <row r="24">
          <cell r="B24">
            <v>2032</v>
          </cell>
          <cell r="C24">
            <v>131.81791842019274</v>
          </cell>
          <cell r="E24">
            <v>29.70347414670551</v>
          </cell>
          <cell r="G24">
            <v>44.710067773776643</v>
          </cell>
        </row>
        <row r="25">
          <cell r="B25">
            <v>2033</v>
          </cell>
          <cell r="C25">
            <v>134.59270674909422</v>
          </cell>
          <cell r="E25">
            <v>30.513501434750122</v>
          </cell>
          <cell r="G25">
            <v>45.877965675514311</v>
          </cell>
        </row>
        <row r="26">
          <cell r="B26">
            <v>2034</v>
          </cell>
          <cell r="C26">
            <v>137.41907106923921</v>
          </cell>
          <cell r="E26">
            <v>31.855284328679957</v>
          </cell>
          <cell r="G26">
            <v>47.54239289822781</v>
          </cell>
        </row>
        <row r="27">
          <cell r="B27">
            <v>2035</v>
          </cell>
          <cell r="C27">
            <v>140.32795697537387</v>
          </cell>
          <cell r="E27">
            <v>33.049011175420205</v>
          </cell>
          <cell r="G27">
            <v>49.068184346124973</v>
          </cell>
        </row>
        <row r="28">
          <cell r="B28">
            <v>2036</v>
          </cell>
          <cell r="C28">
            <v>143.26778847625457</v>
          </cell>
          <cell r="E28">
            <v>35.096940110322997</v>
          </cell>
          <cell r="G28">
            <v>51.40702531936838</v>
          </cell>
        </row>
        <row r="29">
          <cell r="B29">
            <v>2037</v>
          </cell>
          <cell r="C29">
            <v>146.29014156312493</v>
          </cell>
          <cell r="E29">
            <v>36.047460233050394</v>
          </cell>
          <cell r="G29">
            <v>52.747248082722194</v>
          </cell>
        </row>
        <row r="30">
          <cell r="B30">
            <v>2038</v>
          </cell>
          <cell r="C30">
            <v>149.36407064123884</v>
          </cell>
          <cell r="E30">
            <v>38.322339012033623</v>
          </cell>
          <cell r="G30">
            <v>55.373032007608828</v>
          </cell>
        </row>
        <row r="31">
          <cell r="B31">
            <v>2039</v>
          </cell>
          <cell r="C31">
            <v>152.51020610709369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155.69760236594328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158.97783540903129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162.30964444336277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30.918623658458653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16.87226312752971</v>
          </cell>
          <cell r="G13">
            <v>16.87226312752971</v>
          </cell>
        </row>
        <row r="14">
          <cell r="B14">
            <v>2022</v>
          </cell>
          <cell r="C14">
            <v>0</v>
          </cell>
          <cell r="E14">
            <v>17.447416560191382</v>
          </cell>
          <cell r="G14">
            <v>17.447416560191382</v>
          </cell>
        </row>
        <row r="15">
          <cell r="B15">
            <v>2023</v>
          </cell>
          <cell r="C15">
            <v>0</v>
          </cell>
          <cell r="E15">
            <v>16.676787043388639</v>
          </cell>
          <cell r="G15">
            <v>16.676787043388639</v>
          </cell>
        </row>
        <row r="16">
          <cell r="B16">
            <v>2024</v>
          </cell>
          <cell r="C16">
            <v>32.796143201742971</v>
          </cell>
          <cell r="E16">
            <v>3.9952811938053765</v>
          </cell>
          <cell r="G16">
            <v>15.770914205393098</v>
          </cell>
        </row>
        <row r="17">
          <cell r="B17">
            <v>2025</v>
          </cell>
          <cell r="C17">
            <v>33.486675771540753</v>
          </cell>
          <cell r="E17">
            <v>5.3100593961997165</v>
          </cell>
          <cell r="G17">
            <v>17.426597323375361</v>
          </cell>
        </row>
        <row r="18">
          <cell r="B18">
            <v>2026</v>
          </cell>
          <cell r="C18">
            <v>34.221661695862579</v>
          </cell>
          <cell r="E18">
            <v>5.2006147217215188</v>
          </cell>
          <cell r="G18">
            <v>17.645317306504033</v>
          </cell>
        </row>
        <row r="19">
          <cell r="B19">
            <v>2027</v>
          </cell>
          <cell r="C19">
            <v>35.01042707806161</v>
          </cell>
          <cell r="E19">
            <v>6.0736825865910955</v>
          </cell>
          <cell r="G19">
            <v>18.869197203604671</v>
          </cell>
        </row>
        <row r="20">
          <cell r="B20">
            <v>2028</v>
          </cell>
          <cell r="C20">
            <v>35.817118946219708</v>
          </cell>
          <cell r="E20">
            <v>8.8074422373974919</v>
          </cell>
          <cell r="G20">
            <v>21.928227155563935</v>
          </cell>
        </row>
        <row r="21">
          <cell r="B21">
            <v>2029</v>
          </cell>
          <cell r="C21">
            <v>36.641737300336885</v>
          </cell>
          <cell r="E21">
            <v>10.156055367822333</v>
          </cell>
          <cell r="G21">
            <v>23.682705025756423</v>
          </cell>
        </row>
        <row r="22">
          <cell r="B22">
            <v>2030</v>
          </cell>
          <cell r="C22">
            <v>37.484282140413129</v>
          </cell>
          <cell r="E22">
            <v>7.7003332299915757</v>
          </cell>
          <cell r="G22">
            <v>21.607552493418538</v>
          </cell>
        </row>
        <row r="23">
          <cell r="B23">
            <v>2031</v>
          </cell>
          <cell r="C23">
            <v>38.344753466448431</v>
          </cell>
          <cell r="E23">
            <v>8.5348903048244988</v>
          </cell>
          <cell r="G23">
            <v>22.832846983599275</v>
          </cell>
        </row>
        <row r="24">
          <cell r="B24">
            <v>2032</v>
          </cell>
          <cell r="C24">
            <v>39.226736575634618</v>
          </cell>
          <cell r="E24">
            <v>9.3157111543807627</v>
          </cell>
          <cell r="G24">
            <v>23.976556799533775</v>
          </cell>
        </row>
        <row r="25">
          <cell r="B25">
            <v>2033</v>
          </cell>
          <cell r="C25">
            <v>40.126646170779885</v>
          </cell>
          <cell r="E25">
            <v>9.0319159412181858</v>
          </cell>
          <cell r="G25">
            <v>24.14505656784096</v>
          </cell>
        </row>
        <row r="26">
          <cell r="B26">
            <v>2034</v>
          </cell>
          <cell r="C26">
            <v>41.048067549076023</v>
          </cell>
          <cell r="E26">
            <v>10.147824254220943</v>
          </cell>
          <cell r="G26">
            <v>25.685694724407579</v>
          </cell>
        </row>
        <row r="27">
          <cell r="B27">
            <v>2035</v>
          </cell>
          <cell r="C27">
            <v>41.991000710523046</v>
          </cell>
          <cell r="E27">
            <v>10.600785110618183</v>
          </cell>
          <cell r="G27">
            <v>26.575456267388091</v>
          </cell>
        </row>
        <row r="28">
          <cell r="B28">
            <v>2036</v>
          </cell>
          <cell r="C28">
            <v>42.955445655120954</v>
          </cell>
          <cell r="E28">
            <v>12.284920139600489</v>
          </cell>
          <cell r="G28">
            <v>28.664499591232282</v>
          </cell>
        </row>
        <row r="29">
          <cell r="B29">
            <v>2037</v>
          </cell>
          <cell r="C29">
            <v>43.944987680061566</v>
          </cell>
          <cell r="E29">
            <v>12.846824690032562</v>
          </cell>
          <cell r="G29">
            <v>29.733295316991299</v>
          </cell>
        </row>
        <row r="30">
          <cell r="B30">
            <v>2038</v>
          </cell>
          <cell r="C30">
            <v>44.959626785344867</v>
          </cell>
          <cell r="E30">
            <v>14.186350957503087</v>
          </cell>
          <cell r="G30">
            <v>31.549526559899594</v>
          </cell>
        </row>
        <row r="31">
          <cell r="B31">
            <v>2039</v>
          </cell>
          <cell r="C31">
            <v>45.995777673779052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47.057025642555928</v>
          </cell>
          <cell r="E32" t="e">
            <v>#VALUE!</v>
          </cell>
          <cell r="G32" t="e">
            <v>#VALUE!</v>
          </cell>
        </row>
        <row r="33">
          <cell r="B33">
            <v>2041</v>
          </cell>
          <cell r="C33">
            <v>48.139785394483695</v>
          </cell>
          <cell r="E33" t="e">
            <v>#VALUE!</v>
          </cell>
          <cell r="G33" t="e">
            <v>#VALUE!</v>
          </cell>
        </row>
        <row r="34">
          <cell r="B34">
            <v>2042</v>
          </cell>
          <cell r="C34">
            <v>49.247642226754145</v>
          </cell>
          <cell r="E34" t="e">
            <v>#VALUE!</v>
          </cell>
          <cell r="G34" t="e">
            <v>#VALUE!</v>
          </cell>
        </row>
        <row r="35">
          <cell r="B35">
            <v>2043</v>
          </cell>
          <cell r="C35">
            <v>50.427205002860887</v>
          </cell>
          <cell r="E35" t="e">
            <v>#VALUE!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19.723186023862628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18.597845248115053</v>
          </cell>
          <cell r="G13">
            <v>18.597845248115053</v>
          </cell>
        </row>
        <row r="14">
          <cell r="B14">
            <v>2022</v>
          </cell>
          <cell r="C14">
            <v>0</v>
          </cell>
          <cell r="E14">
            <v>19.632077482883851</v>
          </cell>
          <cell r="G14">
            <v>19.632077482883851</v>
          </cell>
        </row>
        <row r="15">
          <cell r="B15">
            <v>2023</v>
          </cell>
          <cell r="C15">
            <v>122.85098350109672</v>
          </cell>
          <cell r="E15">
            <v>-21.561141405992014</v>
          </cell>
          <cell r="G15">
            <v>26.048785659495863</v>
          </cell>
        </row>
        <row r="16">
          <cell r="B16">
            <v>2024</v>
          </cell>
          <cell r="C16">
            <v>125.40751097256046</v>
          </cell>
          <cell r="E16">
            <v>-21.559758494403905</v>
          </cell>
          <cell r="G16">
            <v>27.002620181003124</v>
          </cell>
        </row>
        <row r="17">
          <cell r="B17">
            <v>2025</v>
          </cell>
          <cell r="C17">
            <v>128.09923342938384</v>
          </cell>
          <cell r="E17">
            <v>-22.257583129072014</v>
          </cell>
          <cell r="G17">
            <v>27.386261689341055</v>
          </cell>
        </row>
        <row r="18">
          <cell r="B18">
            <v>2026</v>
          </cell>
          <cell r="C18">
            <v>130.93752318765195</v>
          </cell>
          <cell r="E18">
            <v>-22.123406377307507</v>
          </cell>
          <cell r="G18">
            <v>28.620395189768146</v>
          </cell>
        </row>
        <row r="19">
          <cell r="B19">
            <v>2027</v>
          </cell>
          <cell r="C19">
            <v>133.94266739641128</v>
          </cell>
          <cell r="E19">
            <v>-22.5269914052327</v>
          </cell>
          <cell r="G19">
            <v>29.381430033193233</v>
          </cell>
        </row>
        <row r="20">
          <cell r="B20">
            <v>2028</v>
          </cell>
          <cell r="C20">
            <v>137.0279311430717</v>
          </cell>
          <cell r="E20">
            <v>-22.288785478182124</v>
          </cell>
          <cell r="G20">
            <v>30.773445242061193</v>
          </cell>
        </row>
        <row r="21">
          <cell r="B21">
            <v>2029</v>
          </cell>
          <cell r="C21">
            <v>140.17861359499082</v>
          </cell>
          <cell r="E21">
            <v>-22.823228042554327</v>
          </cell>
          <cell r="G21">
            <v>31.501885026964892</v>
          </cell>
        </row>
        <row r="22">
          <cell r="B22">
            <v>2030</v>
          </cell>
          <cell r="C22">
            <v>143.39471475216857</v>
          </cell>
          <cell r="E22">
            <v>-23.265837412348656</v>
          </cell>
          <cell r="G22">
            <v>32.305650225487263</v>
          </cell>
        </row>
        <row r="23">
          <cell r="B23">
            <v>2031</v>
          </cell>
          <cell r="C23">
            <v>146.69093544724745</v>
          </cell>
          <cell r="E23">
            <v>-23.344222484772068</v>
          </cell>
          <cell r="G23">
            <v>33.504689414653562</v>
          </cell>
        </row>
        <row r="24">
          <cell r="B24">
            <v>2032</v>
          </cell>
          <cell r="C24">
            <v>150.05257484758499</v>
          </cell>
          <cell r="E24">
            <v>-23.596888097231808</v>
          </cell>
          <cell r="G24">
            <v>34.508961420526958</v>
          </cell>
        </row>
        <row r="25">
          <cell r="B25">
            <v>2033</v>
          </cell>
          <cell r="C25">
            <v>153.48977652770446</v>
          </cell>
          <cell r="E25">
            <v>2.6109162436988314</v>
          </cell>
          <cell r="G25">
            <v>62.094665233928161</v>
          </cell>
        </row>
        <row r="26">
          <cell r="B26">
            <v>2034</v>
          </cell>
          <cell r="C26">
            <v>157.01724132024825</v>
          </cell>
          <cell r="E26">
            <v>2.7860789429781123</v>
          </cell>
          <cell r="G26">
            <v>63.636869015931765</v>
          </cell>
        </row>
        <row r="27">
          <cell r="B27">
            <v>2035</v>
          </cell>
          <cell r="C27">
            <v>160.61012481805071</v>
          </cell>
          <cell r="E27">
            <v>3.5543746451170963</v>
          </cell>
          <cell r="G27">
            <v>65.797558302641804</v>
          </cell>
        </row>
        <row r="28">
          <cell r="B28">
            <v>2036</v>
          </cell>
          <cell r="C28">
            <v>164.29327142827756</v>
          </cell>
          <cell r="E28">
            <v>3.475312014812221</v>
          </cell>
          <cell r="G28">
            <v>67.095680516242425</v>
          </cell>
        </row>
        <row r="29">
          <cell r="B29">
            <v>2037</v>
          </cell>
          <cell r="C29">
            <v>168.06212389280955</v>
          </cell>
          <cell r="E29">
            <v>2.5020724204633931</v>
          </cell>
          <cell r="G29">
            <v>67.633219383859227</v>
          </cell>
        </row>
        <row r="30">
          <cell r="B30">
            <v>2038</v>
          </cell>
          <cell r="C30">
            <v>171.92123946976591</v>
          </cell>
          <cell r="E30">
            <v>2.4072340101258631</v>
          </cell>
          <cell r="G30">
            <v>69.033950694821797</v>
          </cell>
        </row>
        <row r="31">
          <cell r="B31">
            <v>2039</v>
          </cell>
          <cell r="C31">
            <v>175.87943865873203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179.92672489351108</v>
          </cell>
          <cell r="E32" t="e">
            <v>#VALUE!</v>
          </cell>
          <cell r="G32" t="e">
            <v>#VALUE!</v>
          </cell>
        </row>
        <row r="33">
          <cell r="B33">
            <v>2041</v>
          </cell>
          <cell r="C33">
            <v>184.06530329899945</v>
          </cell>
          <cell r="E33" t="e">
            <v>#VALUE!</v>
          </cell>
          <cell r="G33" t="e">
            <v>#VALUE!</v>
          </cell>
        </row>
        <row r="34">
          <cell r="B34">
            <v>2042</v>
          </cell>
          <cell r="C34">
            <v>188.30531744972035</v>
          </cell>
          <cell r="E34" t="e">
            <v>#VALUE!</v>
          </cell>
          <cell r="G34" t="e">
            <v>#VALUE!</v>
          </cell>
        </row>
        <row r="35">
          <cell r="B35">
            <v>2043</v>
          </cell>
          <cell r="C35">
            <v>192.81920811256913</v>
          </cell>
          <cell r="E35" t="e">
            <v>#VALUE!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31.758917085340887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17.205838340269519</v>
          </cell>
          <cell r="F13">
            <v>0</v>
          </cell>
          <cell r="G13">
            <v>17.205838340269519</v>
          </cell>
          <cell r="H13">
            <v>0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17.07632097828553</v>
          </cell>
          <cell r="F14">
            <v>0</v>
          </cell>
          <cell r="G14">
            <v>17.07632097828553</v>
          </cell>
          <cell r="H14">
            <v>0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16.060396255294638</v>
          </cell>
          <cell r="F15">
            <v>0</v>
          </cell>
          <cell r="G15">
            <v>16.060396255294638</v>
          </cell>
          <cell r="H15">
            <v>0</v>
          </cell>
        </row>
        <row r="16">
          <cell r="B16">
            <v>2024</v>
          </cell>
          <cell r="C16">
            <v>32.76029022982484</v>
          </cell>
          <cell r="D16">
            <v>0</v>
          </cell>
          <cell r="E16">
            <v>2.9232206932109697</v>
          </cell>
          <cell r="F16">
            <v>0</v>
          </cell>
          <cell r="G16">
            <v>14.685980500864757</v>
          </cell>
          <cell r="H16">
            <v>0</v>
          </cell>
        </row>
        <row r="17">
          <cell r="B17">
            <v>2025</v>
          </cell>
          <cell r="C17">
            <v>33.447237502430795</v>
          </cell>
          <cell r="D17">
            <v>0</v>
          </cell>
          <cell r="E17">
            <v>3.7086587448453736</v>
          </cell>
          <cell r="F17">
            <v>0</v>
          </cell>
          <cell r="G17">
            <v>15.810926659472941</v>
          </cell>
          <cell r="H17">
            <v>0</v>
          </cell>
        </row>
        <row r="18">
          <cell r="B18">
            <v>2026</v>
          </cell>
          <cell r="C18">
            <v>34.21807639867076</v>
          </cell>
          <cell r="D18">
            <v>0</v>
          </cell>
          <cell r="E18">
            <v>3.9837273271414948</v>
          </cell>
          <cell r="F18">
            <v>0</v>
          </cell>
          <cell r="G18">
            <v>16.427126119091657</v>
          </cell>
          <cell r="H18">
            <v>0</v>
          </cell>
        </row>
        <row r="19">
          <cell r="B19">
            <v>2027</v>
          </cell>
          <cell r="C19">
            <v>35.039109455596119</v>
          </cell>
          <cell r="D19">
            <v>0</v>
          </cell>
          <cell r="E19">
            <v>4.6094694024568144</v>
          </cell>
          <cell r="F19">
            <v>0</v>
          </cell>
          <cell r="G19">
            <v>17.415466775941056</v>
          </cell>
          <cell r="H19">
            <v>0</v>
          </cell>
        </row>
        <row r="20">
          <cell r="B20">
            <v>2028</v>
          </cell>
          <cell r="C20">
            <v>35.913921970398683</v>
          </cell>
          <cell r="D20">
            <v>0</v>
          </cell>
          <cell r="E20">
            <v>7.4607650559747221</v>
          </cell>
          <cell r="F20">
            <v>0</v>
          </cell>
          <cell r="G20">
            <v>20.617011555001081</v>
          </cell>
          <cell r="H20">
            <v>0</v>
          </cell>
        </row>
        <row r="21">
          <cell r="B21">
            <v>2029</v>
          </cell>
          <cell r="C21">
            <v>36.777978593625804</v>
          </cell>
          <cell r="D21">
            <v>0</v>
          </cell>
          <cell r="E21">
            <v>8.6126207428143342</v>
          </cell>
          <cell r="F21">
            <v>0</v>
          </cell>
          <cell r="G21">
            <v>22.189565184212363</v>
          </cell>
          <cell r="H21">
            <v>0</v>
          </cell>
        </row>
        <row r="22">
          <cell r="B22">
            <v>2030</v>
          </cell>
          <cell r="C22">
            <v>37.66354700000381</v>
          </cell>
          <cell r="D22">
            <v>0</v>
          </cell>
          <cell r="E22">
            <v>6.746149729214717</v>
          </cell>
          <cell r="F22">
            <v>0</v>
          </cell>
          <cell r="G22">
            <v>20.719878888688669</v>
          </cell>
          <cell r="H22">
            <v>0</v>
          </cell>
        </row>
        <row r="23">
          <cell r="B23">
            <v>2031</v>
          </cell>
          <cell r="C23">
            <v>38.491750651312792</v>
          </cell>
          <cell r="D23">
            <v>0</v>
          </cell>
          <cell r="E23">
            <v>7.8992049307760173</v>
          </cell>
          <cell r="F23">
            <v>0</v>
          </cell>
          <cell r="G23">
            <v>22.251973785691952</v>
          </cell>
          <cell r="H23">
            <v>0</v>
          </cell>
        </row>
        <row r="24">
          <cell r="B24">
            <v>2032</v>
          </cell>
          <cell r="C24">
            <v>39.341466085772666</v>
          </cell>
          <cell r="D24">
            <v>0</v>
          </cell>
          <cell r="E24">
            <v>8.0404720688825986</v>
          </cell>
          <cell r="F24">
            <v>0</v>
          </cell>
          <cell r="G24">
            <v>22.744197438068596</v>
          </cell>
          <cell r="H24">
            <v>0</v>
          </cell>
        </row>
        <row r="25">
          <cell r="B25">
            <v>2033</v>
          </cell>
          <cell r="C25">
            <v>40.169669737081641</v>
          </cell>
          <cell r="D25">
            <v>0</v>
          </cell>
          <cell r="E25">
            <v>8.0126143096809646</v>
          </cell>
          <cell r="F25">
            <v>0</v>
          </cell>
          <cell r="G25">
            <v>23.141959161421617</v>
          </cell>
          <cell r="H25">
            <v>0</v>
          </cell>
        </row>
        <row r="26">
          <cell r="B26">
            <v>2034</v>
          </cell>
          <cell r="C26">
            <v>41.012214577157884</v>
          </cell>
          <cell r="D26">
            <v>0</v>
          </cell>
          <cell r="E26">
            <v>8.8011355122560175</v>
          </cell>
          <cell r="F26">
            <v>0</v>
          </cell>
          <cell r="G26">
            <v>24.325434604619097</v>
          </cell>
          <cell r="H26">
            <v>0</v>
          </cell>
        </row>
        <row r="27">
          <cell r="B27">
            <v>2035</v>
          </cell>
          <cell r="C27">
            <v>41.872685903193194</v>
          </cell>
          <cell r="D27">
            <v>0</v>
          </cell>
          <cell r="E27">
            <v>9.1163238010647056</v>
          </cell>
          <cell r="F27">
            <v>0</v>
          </cell>
          <cell r="G27">
            <v>25.045984357751507</v>
          </cell>
          <cell r="H27">
            <v>0</v>
          </cell>
        </row>
        <row r="28">
          <cell r="B28">
            <v>2036</v>
          </cell>
          <cell r="C28">
            <v>42.751083715187576</v>
          </cell>
          <cell r="D28">
            <v>0</v>
          </cell>
          <cell r="E28">
            <v>11.300194954215231</v>
          </cell>
          <cell r="F28">
            <v>0</v>
          </cell>
          <cell r="G28">
            <v>27.601848020007527</v>
          </cell>
          <cell r="H28">
            <v>0</v>
          </cell>
        </row>
        <row r="29">
          <cell r="B29">
            <v>2037</v>
          </cell>
          <cell r="C29">
            <v>43.647408013141018</v>
          </cell>
          <cell r="D29">
            <v>0</v>
          </cell>
          <cell r="E29">
            <v>11.301460134652768</v>
          </cell>
          <cell r="F29">
            <v>0</v>
          </cell>
          <cell r="G29">
            <v>28.073581649917159</v>
          </cell>
          <cell r="H29">
            <v>0</v>
          </cell>
        </row>
        <row r="30">
          <cell r="B30">
            <v>2038</v>
          </cell>
          <cell r="C30">
            <v>44.561658797053532</v>
          </cell>
          <cell r="D30">
            <v>0</v>
          </cell>
          <cell r="E30">
            <v>13.592437911231919</v>
          </cell>
          <cell r="F30">
            <v>0</v>
          </cell>
          <cell r="G30">
            <v>30.801920332458884</v>
          </cell>
          <cell r="H30">
            <v>0</v>
          </cell>
        </row>
        <row r="31">
          <cell r="B31">
            <v>2039</v>
          </cell>
          <cell r="C31">
            <v>45.497421364116931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  <cell r="H31">
            <v>0</v>
          </cell>
        </row>
        <row r="32">
          <cell r="B32">
            <v>2040</v>
          </cell>
          <cell r="C32">
            <v>46.451110417139397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</row>
        <row r="33">
          <cell r="B33">
            <v>2041</v>
          </cell>
          <cell r="C33">
            <v>47.422725956120928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</row>
        <row r="34">
          <cell r="B34">
            <v>2042</v>
          </cell>
          <cell r="C34">
            <v>48.41943857544517</v>
          </cell>
          <cell r="D34">
            <v>0</v>
          </cell>
          <cell r="E34" t="e">
            <v>#VALUE!</v>
          </cell>
          <cell r="F34">
            <v>0</v>
          </cell>
          <cell r="G34" t="e">
            <v>#VALUE!</v>
          </cell>
          <cell r="H34">
            <v>0</v>
          </cell>
        </row>
        <row r="35">
          <cell r="B35">
            <v>2043</v>
          </cell>
          <cell r="C35">
            <v>49.437662977920283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  <cell r="H36">
            <v>0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  <cell r="H37">
            <v>0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  <cell r="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50">
          <cell r="G50">
            <v>18.790676521690713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17.532661278055567</v>
          </cell>
          <cell r="F13">
            <v>0</v>
          </cell>
          <cell r="G13">
            <v>17.532661278055567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17.955458546283424</v>
          </cell>
          <cell r="F14">
            <v>0</v>
          </cell>
          <cell r="G14">
            <v>17.955458546283424</v>
          </cell>
        </row>
        <row r="15">
          <cell r="B15">
            <v>2023</v>
          </cell>
          <cell r="C15">
            <v>122.85098350109672</v>
          </cell>
          <cell r="D15">
            <v>0</v>
          </cell>
          <cell r="E15">
            <v>-22.332021000966456</v>
          </cell>
          <cell r="F15">
            <v>0</v>
          </cell>
          <cell r="G15">
            <v>25.279776592998939</v>
          </cell>
        </row>
        <row r="16">
          <cell r="B16">
            <v>2024</v>
          </cell>
          <cell r="C16">
            <v>125.40751097256046</v>
          </cell>
          <cell r="D16">
            <v>0</v>
          </cell>
          <cell r="E16">
            <v>-22.230186330443722</v>
          </cell>
          <cell r="F16">
            <v>0</v>
          </cell>
          <cell r="G16">
            <v>26.33411054405024</v>
          </cell>
        </row>
        <row r="17">
          <cell r="B17">
            <v>2025</v>
          </cell>
          <cell r="C17">
            <v>128.09923342938384</v>
          </cell>
          <cell r="D17">
            <v>0</v>
          </cell>
          <cell r="E17">
            <v>-23.094877680104066</v>
          </cell>
          <cell r="F17">
            <v>0</v>
          </cell>
          <cell r="G17">
            <v>26.550917576614413</v>
          </cell>
        </row>
        <row r="18">
          <cell r="B18">
            <v>2026</v>
          </cell>
          <cell r="C18">
            <v>131.0389589328845</v>
          </cell>
          <cell r="D18">
            <v>0</v>
          </cell>
          <cell r="E18">
            <v>-23.084255296971769</v>
          </cell>
          <cell r="F18">
            <v>0</v>
          </cell>
          <cell r="G18">
            <v>27.700852089496511</v>
          </cell>
        </row>
        <row r="19">
          <cell r="B19">
            <v>2027</v>
          </cell>
          <cell r="C19">
            <v>134.13539531235318</v>
          </cell>
          <cell r="D19">
            <v>0</v>
          </cell>
          <cell r="E19">
            <v>-23.782717047080308</v>
          </cell>
          <cell r="F19">
            <v>0</v>
          </cell>
          <cell r="G19">
            <v>28.202436915820446</v>
          </cell>
        </row>
        <row r="20">
          <cell r="B20">
            <v>2028</v>
          </cell>
          <cell r="C20">
            <v>137.41338697495542</v>
          </cell>
          <cell r="D20">
            <v>0</v>
          </cell>
          <cell r="E20">
            <v>-24.122640330174693</v>
          </cell>
          <cell r="F20">
            <v>0</v>
          </cell>
          <cell r="G20">
            <v>29.090954835122965</v>
          </cell>
        </row>
        <row r="21">
          <cell r="B21">
            <v>2029</v>
          </cell>
          <cell r="C21">
            <v>140.66550517210709</v>
          </cell>
          <cell r="D21">
            <v>0</v>
          </cell>
          <cell r="E21">
            <v>-24.751560933481795</v>
          </cell>
          <cell r="F21">
            <v>0</v>
          </cell>
          <cell r="G21">
            <v>29.764384888372096</v>
          </cell>
        </row>
        <row r="22">
          <cell r="B22">
            <v>2030</v>
          </cell>
          <cell r="C22">
            <v>143.99318564904067</v>
          </cell>
          <cell r="D22">
            <v>0</v>
          </cell>
          <cell r="E22">
            <v>-25.611913174539222</v>
          </cell>
          <cell r="F22">
            <v>0</v>
          </cell>
          <cell r="G22">
            <v>30.19369956580325</v>
          </cell>
        </row>
        <row r="23">
          <cell r="B23">
            <v>2031</v>
          </cell>
          <cell r="C23">
            <v>147.19811417341026</v>
          </cell>
          <cell r="D23">
            <v>0</v>
          </cell>
          <cell r="E23">
            <v>-25.315228196467856</v>
          </cell>
          <cell r="F23">
            <v>0</v>
          </cell>
          <cell r="G23">
            <v>31.732478044933544</v>
          </cell>
        </row>
        <row r="24">
          <cell r="B24">
            <v>2032</v>
          </cell>
          <cell r="C24">
            <v>150.46846140303848</v>
          </cell>
          <cell r="D24">
            <v>0</v>
          </cell>
          <cell r="E24">
            <v>-25.790872682117502</v>
          </cell>
          <cell r="F24">
            <v>0</v>
          </cell>
          <cell r="G24">
            <v>32.478324857608634</v>
          </cell>
        </row>
        <row r="25">
          <cell r="B25">
            <v>2033</v>
          </cell>
          <cell r="C25">
            <v>153.70279159269279</v>
          </cell>
          <cell r="D25">
            <v>0</v>
          </cell>
          <cell r="E25">
            <v>-0.24743079332818232</v>
          </cell>
          <cell r="F25">
            <v>0</v>
          </cell>
          <cell r="G25">
            <v>59.321210778624753</v>
          </cell>
        </row>
        <row r="26">
          <cell r="B26">
            <v>2034</v>
          </cell>
          <cell r="C26">
            <v>157.00709774572496</v>
          </cell>
          <cell r="D26">
            <v>0</v>
          </cell>
          <cell r="E26">
            <v>-0.31998557365017943</v>
          </cell>
          <cell r="F26">
            <v>0</v>
          </cell>
          <cell r="G26">
            <v>60.529264026526292</v>
          </cell>
        </row>
        <row r="27">
          <cell r="B27">
            <v>2035</v>
          </cell>
          <cell r="C27">
            <v>160.37682260401584</v>
          </cell>
          <cell r="D27">
            <v>0</v>
          </cell>
          <cell r="E27">
            <v>-0.34148063259320949</v>
          </cell>
          <cell r="F27">
            <v>0</v>
          </cell>
          <cell r="G27">
            <v>61.813730493718424</v>
          </cell>
        </row>
        <row r="28">
          <cell r="B28">
            <v>2036</v>
          </cell>
          <cell r="C28">
            <v>163.82666700020781</v>
          </cell>
          <cell r="D28">
            <v>0</v>
          </cell>
          <cell r="E28">
            <v>-0.39558205824148907</v>
          </cell>
          <cell r="F28">
            <v>0</v>
          </cell>
          <cell r="G28">
            <v>63.046605977033202</v>
          </cell>
        </row>
        <row r="29">
          <cell r="B29">
            <v>2037</v>
          </cell>
          <cell r="C29">
            <v>167.34193010165839</v>
          </cell>
          <cell r="D29">
            <v>0</v>
          </cell>
          <cell r="E29">
            <v>-0.452832449877413</v>
          </cell>
          <cell r="F29">
            <v>0</v>
          </cell>
          <cell r="G29">
            <v>64.401757052961472</v>
          </cell>
        </row>
        <row r="30">
          <cell r="B30">
            <v>2038</v>
          </cell>
          <cell r="C30">
            <v>170.93731274101012</v>
          </cell>
          <cell r="D30">
            <v>0</v>
          </cell>
          <cell r="E30">
            <v>-0.42606329051614084</v>
          </cell>
          <cell r="F30">
            <v>0</v>
          </cell>
          <cell r="G30">
            <v>65.821943062714894</v>
          </cell>
        </row>
        <row r="31">
          <cell r="B31">
            <v>2039</v>
          </cell>
          <cell r="C31">
            <v>174.52019967261572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178.18203007551108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</row>
        <row r="33">
          <cell r="B33">
            <v>2041</v>
          </cell>
          <cell r="C33">
            <v>181.9148655000692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</row>
        <row r="34">
          <cell r="B34">
            <v>2042</v>
          </cell>
          <cell r="C34">
            <v>185.73899309533664</v>
          </cell>
          <cell r="D34">
            <v>0</v>
          </cell>
          <cell r="E34" t="e">
            <v>#VALUE!</v>
          </cell>
          <cell r="F34">
            <v>0</v>
          </cell>
          <cell r="G34" t="e">
            <v>#VALUE!</v>
          </cell>
        </row>
        <row r="35">
          <cell r="B35">
            <v>2043</v>
          </cell>
          <cell r="C35">
            <v>189.63412571226689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50">
          <cell r="G50">
            <v>30.22190841165451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D16" sqref="D16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78" t="s">
        <v>233</v>
      </c>
      <c r="C1" s="379"/>
      <c r="D1" s="379"/>
      <c r="E1" s="379"/>
      <c r="F1" s="379"/>
      <c r="G1" s="379"/>
      <c r="H1" s="379"/>
      <c r="I1" s="380"/>
      <c r="J1" s="380"/>
      <c r="K1" s="380"/>
    </row>
    <row r="2" spans="2:12" ht="5.25" customHeight="1">
      <c r="B2" s="378"/>
      <c r="C2" s="379"/>
      <c r="D2" s="379"/>
      <c r="E2" s="379"/>
      <c r="F2" s="379"/>
      <c r="G2" s="379"/>
      <c r="H2" s="379"/>
      <c r="I2" s="380"/>
      <c r="J2" s="380"/>
      <c r="K2" s="380"/>
    </row>
    <row r="3" spans="2:12" ht="15.75">
      <c r="B3" s="381" t="s">
        <v>234</v>
      </c>
      <c r="C3" s="381"/>
      <c r="D3" s="381"/>
      <c r="E3" s="381"/>
      <c r="F3" s="381"/>
      <c r="G3" s="381"/>
      <c r="H3" s="381"/>
      <c r="I3" s="378"/>
      <c r="J3" s="378"/>
      <c r="K3" s="378"/>
    </row>
    <row r="4" spans="2:12" ht="15.75">
      <c r="B4" s="382" t="s">
        <v>248</v>
      </c>
      <c r="C4" s="381"/>
      <c r="D4" s="381"/>
      <c r="E4" s="381"/>
      <c r="F4" s="381"/>
      <c r="G4" s="381"/>
      <c r="H4" s="381"/>
      <c r="I4" s="378"/>
      <c r="J4" s="378"/>
      <c r="K4" s="378"/>
    </row>
    <row r="5" spans="2:12" ht="25.5" customHeight="1">
      <c r="C5" s="383" t="s">
        <v>235</v>
      </c>
      <c r="D5" s="383" t="s">
        <v>236</v>
      </c>
      <c r="E5" s="384" t="s">
        <v>237</v>
      </c>
      <c r="F5" s="383" t="s">
        <v>235</v>
      </c>
      <c r="G5" s="383" t="s">
        <v>236</v>
      </c>
      <c r="H5" s="384" t="s">
        <v>237</v>
      </c>
      <c r="I5" s="383" t="str">
        <f>C5</f>
        <v>Thermal</v>
      </c>
      <c r="J5" s="383" t="str">
        <f>D5</f>
        <v>Solar Tracking</v>
      </c>
      <c r="K5" s="384" t="str">
        <f>E5</f>
        <v>Wind (Defers UT W)</v>
      </c>
    </row>
    <row r="6" spans="2:12">
      <c r="B6" s="383" t="s">
        <v>0</v>
      </c>
      <c r="C6" s="410" t="s">
        <v>247</v>
      </c>
      <c r="D6" s="410" t="s">
        <v>247</v>
      </c>
      <c r="E6" s="410" t="s">
        <v>247</v>
      </c>
      <c r="F6" s="410" t="s">
        <v>238</v>
      </c>
      <c r="G6" s="410" t="s">
        <v>238</v>
      </c>
      <c r="H6" s="410" t="s">
        <v>238</v>
      </c>
      <c r="I6" s="385"/>
      <c r="J6" s="385"/>
      <c r="K6" s="385"/>
      <c r="L6" s="386"/>
    </row>
    <row r="7" spans="2:12">
      <c r="B7" s="383"/>
      <c r="C7" s="387" t="s">
        <v>239</v>
      </c>
      <c r="D7" s="387" t="s">
        <v>240</v>
      </c>
      <c r="E7" s="387" t="s">
        <v>241</v>
      </c>
      <c r="F7" s="387" t="s">
        <v>239</v>
      </c>
      <c r="G7" s="387" t="s">
        <v>240</v>
      </c>
      <c r="H7" s="387" t="s">
        <v>241</v>
      </c>
      <c r="I7" s="383" t="s">
        <v>242</v>
      </c>
      <c r="J7" s="383" t="s">
        <v>242</v>
      </c>
      <c r="K7" s="383" t="s">
        <v>242</v>
      </c>
    </row>
    <row r="8" spans="2:12" hidden="1">
      <c r="B8" s="388"/>
      <c r="C8" s="389"/>
      <c r="D8" s="389"/>
      <c r="E8" s="389"/>
      <c r="F8" s="389"/>
      <c r="G8" s="389"/>
      <c r="H8" s="389"/>
      <c r="I8" s="389"/>
      <c r="J8" s="389"/>
      <c r="K8" s="390"/>
      <c r="L8" s="391"/>
    </row>
    <row r="9" spans="2:12">
      <c r="B9" s="388">
        <f>'[13]Table 1'!B13</f>
        <v>2021</v>
      </c>
      <c r="C9" s="389">
        <f ca="1">VLOOKUP($B9,'Table 1'!$B$13:$G$40,6,FALSE)</f>
        <v>20.32567169349986</v>
      </c>
      <c r="D9" s="389">
        <f>VLOOKUP($B9,'[14]Table 1'!$B$13:$G$39,6,FALSE)</f>
        <v>16.87226312752971</v>
      </c>
      <c r="E9" s="389">
        <f>VLOOKUP($B9,'[15]Table 1'!$B$13:$G$39,6,FALSE)</f>
        <v>18.597845248115053</v>
      </c>
      <c r="F9" s="389">
        <f>VLOOKUP($B9,'[13]Table 1'!$B$13:$G$38,6,FALSE)</f>
        <v>20.688577543059612</v>
      </c>
      <c r="G9" s="389">
        <f>VLOOKUP($B9,'[16]Table 1'!$B$13:$H$39,6,FALSE)</f>
        <v>17.205838340269519</v>
      </c>
      <c r="H9" s="389">
        <f>VLOOKUP($B9,'[17]Table 1'!$B$13:$G$39,6,FALSE)</f>
        <v>17.532661278055567</v>
      </c>
      <c r="I9" s="389">
        <f t="shared" ref="I9:K23" ca="1" si="0">C9-F9</f>
        <v>-0.36290584955975191</v>
      </c>
      <c r="J9" s="389">
        <f t="shared" si="0"/>
        <v>-0.3335752127398095</v>
      </c>
      <c r="K9" s="390">
        <f t="shared" si="0"/>
        <v>1.0651839700594863</v>
      </c>
      <c r="L9" s="391"/>
    </row>
    <row r="10" spans="2:12">
      <c r="B10" s="392">
        <f>B9+1</f>
        <v>2022</v>
      </c>
      <c r="C10" s="393">
        <f ca="1">VLOOKUP($B10,'Table 1'!$B$13:$G$40,6,FALSE)</f>
        <v>21.18341598743697</v>
      </c>
      <c r="D10" s="393">
        <f>VLOOKUP($B10,'[14]Table 1'!$B$13:$G$39,6,FALSE)</f>
        <v>17.447416560191382</v>
      </c>
      <c r="E10" s="393">
        <f>VLOOKUP($B10,'[15]Table 1'!$B$13:$G$39,6,FALSE)</f>
        <v>19.632077482883851</v>
      </c>
      <c r="F10" s="393">
        <f>VLOOKUP($B10,'[13]Table 1'!$B$13:$G$38,6,FALSE)</f>
        <v>20.404122613211115</v>
      </c>
      <c r="G10" s="393">
        <f>VLOOKUP($B10,'[16]Table 1'!$B$13:$H$39,6,FALSE)</f>
        <v>17.07632097828553</v>
      </c>
      <c r="H10" s="393">
        <f>VLOOKUP($B10,'[17]Table 1'!$B$13:$G$39,6,FALSE)</f>
        <v>17.955458546283424</v>
      </c>
      <c r="I10" s="393">
        <f t="shared" ca="1" si="0"/>
        <v>0.77929337422585476</v>
      </c>
      <c r="J10" s="393">
        <f t="shared" si="0"/>
        <v>0.3710955819058519</v>
      </c>
      <c r="K10" s="394">
        <f t="shared" si="0"/>
        <v>1.6766189366004269</v>
      </c>
      <c r="L10" s="391"/>
    </row>
    <row r="11" spans="2:12">
      <c r="B11" s="392">
        <f t="shared" ref="B11:B23" si="1">B10+1</f>
        <v>2023</v>
      </c>
      <c r="C11" s="393">
        <f ca="1">VLOOKUP($B11,'Table 1'!$B$13:$G$40,6,FALSE)</f>
        <v>20.145294409367029</v>
      </c>
      <c r="D11" s="393">
        <f>VLOOKUP($B11,'[14]Table 1'!$B$13:$G$39,6,FALSE)</f>
        <v>16.676787043388639</v>
      </c>
      <c r="E11" s="393">
        <f>VLOOKUP($B11,'[15]Table 1'!$B$13:$G$39,6,FALSE)</f>
        <v>26.048785659495863</v>
      </c>
      <c r="F11" s="393">
        <f>VLOOKUP($B11,'[13]Table 1'!$B$13:$G$38,6,FALSE)</f>
        <v>19.585938357845407</v>
      </c>
      <c r="G11" s="393">
        <f>VLOOKUP($B11,'[16]Table 1'!$B$13:$H$39,6,FALSE)</f>
        <v>16.060396255294638</v>
      </c>
      <c r="H11" s="393">
        <f>VLOOKUP($B11,'[17]Table 1'!$B$13:$G$39,6,FALSE)</f>
        <v>25.279776592998939</v>
      </c>
      <c r="I11" s="393">
        <f t="shared" ca="1" si="0"/>
        <v>0.55935605152162182</v>
      </c>
      <c r="J11" s="393">
        <f t="shared" si="0"/>
        <v>0.61639078809400161</v>
      </c>
      <c r="K11" s="394">
        <f t="shared" si="0"/>
        <v>0.76900906649692402</v>
      </c>
      <c r="L11" s="391"/>
    </row>
    <row r="12" spans="2:12">
      <c r="B12" s="392">
        <f t="shared" si="1"/>
        <v>2024</v>
      </c>
      <c r="C12" s="393">
        <f ca="1">VLOOKUP($B12,'Table 1'!$B$13:$G$40,6,FALSE)</f>
        <v>17.273119242281751</v>
      </c>
      <c r="D12" s="393">
        <f>VLOOKUP($B12,'[14]Table 1'!$B$13:$G$39,6,FALSE)</f>
        <v>15.770914205393098</v>
      </c>
      <c r="E12" s="393">
        <f>VLOOKUP($B12,'[15]Table 1'!$B$13:$G$39,6,FALSE)</f>
        <v>27.002620181003124</v>
      </c>
      <c r="F12" s="393">
        <f>VLOOKUP($B12,'[13]Table 1'!$B$13:$G$38,6,FALSE)</f>
        <v>15.824972804120923</v>
      </c>
      <c r="G12" s="393">
        <f>VLOOKUP($B12,'[16]Table 1'!$B$13:$H$39,6,FALSE)</f>
        <v>14.685980500864757</v>
      </c>
      <c r="H12" s="393">
        <f>VLOOKUP($B12,'[17]Table 1'!$B$13:$G$39,6,FALSE)</f>
        <v>26.33411054405024</v>
      </c>
      <c r="I12" s="393">
        <f t="shared" ca="1" si="0"/>
        <v>1.448146438160828</v>
      </c>
      <c r="J12" s="393">
        <f t="shared" si="0"/>
        <v>1.0849337045283409</v>
      </c>
      <c r="K12" s="394">
        <f t="shared" si="0"/>
        <v>0.66850963695288357</v>
      </c>
      <c r="L12" s="391"/>
    </row>
    <row r="13" spans="2:12">
      <c r="B13" s="392">
        <f t="shared" si="1"/>
        <v>2025</v>
      </c>
      <c r="C13" s="393">
        <f ca="1">VLOOKUP($B13,'Table 1'!$B$13:$G$40,6,FALSE)</f>
        <v>20.44254098918459</v>
      </c>
      <c r="D13" s="393">
        <f>VLOOKUP($B13,'[14]Table 1'!$B$13:$G$39,6,FALSE)</f>
        <v>17.426597323375361</v>
      </c>
      <c r="E13" s="393">
        <f>VLOOKUP($B13,'[15]Table 1'!$B$13:$G$39,6,FALSE)</f>
        <v>27.386261689341055</v>
      </c>
      <c r="F13" s="393">
        <f>VLOOKUP($B13,'[13]Table 1'!$B$13:$G$38,6,FALSE)</f>
        <v>17.924587980231976</v>
      </c>
      <c r="G13" s="393">
        <f>VLOOKUP($B13,'[16]Table 1'!$B$13:$H$39,6,FALSE)</f>
        <v>15.810926659472941</v>
      </c>
      <c r="H13" s="393">
        <f>VLOOKUP($B13,'[17]Table 1'!$B$13:$G$39,6,FALSE)</f>
        <v>26.550917576614413</v>
      </c>
      <c r="I13" s="393">
        <f t="shared" ca="1" si="0"/>
        <v>2.5179530089526132</v>
      </c>
      <c r="J13" s="393">
        <f t="shared" si="0"/>
        <v>1.6156706639024208</v>
      </c>
      <c r="K13" s="394">
        <f t="shared" si="0"/>
        <v>0.83534411272664144</v>
      </c>
      <c r="L13" s="391"/>
    </row>
    <row r="14" spans="2:12">
      <c r="B14" s="392">
        <f t="shared" si="1"/>
        <v>2026</v>
      </c>
      <c r="C14" s="393">
        <f ca="1">VLOOKUP($B14,'Table 1'!$B$13:$G$40,6,FALSE)</f>
        <v>34.188959470153158</v>
      </c>
      <c r="D14" s="393">
        <f>VLOOKUP($B14,'[14]Table 1'!$B$13:$G$39,6,FALSE)</f>
        <v>17.645317306504033</v>
      </c>
      <c r="E14" s="393">
        <f>VLOOKUP($B14,'[15]Table 1'!$B$13:$G$39,6,FALSE)</f>
        <v>28.620395189768146</v>
      </c>
      <c r="F14" s="393">
        <f>VLOOKUP($B14,'[13]Table 1'!$B$13:$G$38,6,FALSE)</f>
        <v>33.007195593663326</v>
      </c>
      <c r="G14" s="393">
        <f>VLOOKUP($B14,'[16]Table 1'!$B$13:$H$39,6,FALSE)</f>
        <v>16.427126119091657</v>
      </c>
      <c r="H14" s="393">
        <f>VLOOKUP($B14,'[17]Table 1'!$B$13:$G$39,6,FALSE)</f>
        <v>27.700852089496511</v>
      </c>
      <c r="I14" s="393">
        <f t="shared" ca="1" si="0"/>
        <v>1.1817638764898319</v>
      </c>
      <c r="J14" s="393">
        <f t="shared" si="0"/>
        <v>1.2181911874123763</v>
      </c>
      <c r="K14" s="394">
        <f t="shared" si="0"/>
        <v>0.91954310027163544</v>
      </c>
      <c r="L14" s="391"/>
    </row>
    <row r="15" spans="2:12">
      <c r="B15" s="392">
        <f t="shared" si="1"/>
        <v>2027</v>
      </c>
      <c r="C15" s="393">
        <f ca="1">VLOOKUP($B15,'Table 1'!$B$13:$G$40,6,FALSE)</f>
        <v>35.832633817873926</v>
      </c>
      <c r="D15" s="393">
        <f>VLOOKUP($B15,'[14]Table 1'!$B$13:$G$39,6,FALSE)</f>
        <v>18.869197203604671</v>
      </c>
      <c r="E15" s="393">
        <f>VLOOKUP($B15,'[15]Table 1'!$B$13:$G$39,6,FALSE)</f>
        <v>29.381430033193233</v>
      </c>
      <c r="F15" s="393">
        <f>VLOOKUP($B15,'[13]Table 1'!$B$13:$G$38,6,FALSE)</f>
        <v>34.233326746027501</v>
      </c>
      <c r="G15" s="393">
        <f>VLOOKUP($B15,'[16]Table 1'!$B$13:$H$39,6,FALSE)</f>
        <v>17.415466775941056</v>
      </c>
      <c r="H15" s="393">
        <f>VLOOKUP($B15,'[17]Table 1'!$B$13:$G$39,6,FALSE)</f>
        <v>28.202436915820446</v>
      </c>
      <c r="I15" s="393">
        <f t="shared" ca="1" si="0"/>
        <v>1.5993070718464253</v>
      </c>
      <c r="J15" s="393">
        <f t="shared" si="0"/>
        <v>1.4537304276636149</v>
      </c>
      <c r="K15" s="394">
        <f t="shared" si="0"/>
        <v>1.1789931173727872</v>
      </c>
      <c r="L15" s="391"/>
    </row>
    <row r="16" spans="2:12">
      <c r="B16" s="392">
        <f t="shared" si="1"/>
        <v>2028</v>
      </c>
      <c r="C16" s="393">
        <f ca="1">VLOOKUP($B16,'Table 1'!$B$13:$G$40,6,FALSE)</f>
        <v>39.222586209081534</v>
      </c>
      <c r="D16" s="393">
        <f>VLOOKUP($B16,'[14]Table 1'!$B$13:$G$39,6,FALSE)</f>
        <v>21.928227155563935</v>
      </c>
      <c r="E16" s="393">
        <f>VLOOKUP($B16,'[15]Table 1'!$B$13:$G$39,6,FALSE)</f>
        <v>30.773445242061193</v>
      </c>
      <c r="F16" s="393">
        <f>VLOOKUP($B16,'[13]Table 1'!$B$13:$G$38,6,FALSE)</f>
        <v>38.144901559398171</v>
      </c>
      <c r="G16" s="393">
        <f>VLOOKUP($B16,'[16]Table 1'!$B$13:$H$39,6,FALSE)</f>
        <v>20.617011555001081</v>
      </c>
      <c r="H16" s="393">
        <f>VLOOKUP($B16,'[17]Table 1'!$B$13:$G$39,6,FALSE)</f>
        <v>29.090954835122965</v>
      </c>
      <c r="I16" s="393">
        <f t="shared" ca="1" si="0"/>
        <v>1.0776846496833627</v>
      </c>
      <c r="J16" s="393">
        <f t="shared" si="0"/>
        <v>1.3112156005628535</v>
      </c>
      <c r="K16" s="394">
        <f t="shared" si="0"/>
        <v>1.6824904069382285</v>
      </c>
      <c r="L16" s="391"/>
    </row>
    <row r="17" spans="1:12">
      <c r="B17" s="392">
        <f t="shared" si="1"/>
        <v>2029</v>
      </c>
      <c r="C17" s="393">
        <f ca="1">VLOOKUP($B17,'Table 1'!$B$13:$G$40,6,FALSE)</f>
        <v>41.625181212688965</v>
      </c>
      <c r="D17" s="393">
        <f>VLOOKUP($B17,'[14]Table 1'!$B$13:$G$39,6,FALSE)</f>
        <v>23.682705025756423</v>
      </c>
      <c r="E17" s="393">
        <f>VLOOKUP($B17,'[15]Table 1'!$B$13:$G$39,6,FALSE)</f>
        <v>31.501885026964892</v>
      </c>
      <c r="F17" s="393">
        <f>VLOOKUP($B17,'[13]Table 1'!$B$13:$G$38,6,FALSE)</f>
        <v>40.394949366605353</v>
      </c>
      <c r="G17" s="393">
        <f>VLOOKUP($B17,'[16]Table 1'!$B$13:$H$39,6,FALSE)</f>
        <v>22.189565184212363</v>
      </c>
      <c r="H17" s="393">
        <f>VLOOKUP($B17,'[17]Table 1'!$B$13:$G$39,6,FALSE)</f>
        <v>29.764384888372096</v>
      </c>
      <c r="I17" s="393">
        <f t="shared" ca="1" si="0"/>
        <v>1.2302318460836119</v>
      </c>
      <c r="J17" s="393">
        <f t="shared" si="0"/>
        <v>1.4931398415440604</v>
      </c>
      <c r="K17" s="394">
        <f t="shared" si="0"/>
        <v>1.7375001385927966</v>
      </c>
      <c r="L17" s="391"/>
    </row>
    <row r="18" spans="1:12">
      <c r="B18" s="392">
        <f t="shared" si="1"/>
        <v>2030</v>
      </c>
      <c r="C18" s="393">
        <f ca="1">VLOOKUP($B18,'Table 1'!$B$13:$G$40,6,FALSE)</f>
        <v>40.633015341039993</v>
      </c>
      <c r="D18" s="393">
        <f>VLOOKUP($B18,'[14]Table 1'!$B$13:$G$39,6,FALSE)</f>
        <v>21.607552493418538</v>
      </c>
      <c r="E18" s="393">
        <f>VLOOKUP($B18,'[15]Table 1'!$B$13:$G$39,6,FALSE)</f>
        <v>32.305650225487263</v>
      </c>
      <c r="F18" s="393">
        <f>VLOOKUP($B18,'[13]Table 1'!$B$13:$G$38,6,FALSE)</f>
        <v>40.420310288319314</v>
      </c>
      <c r="G18" s="393">
        <f>VLOOKUP($B18,'[16]Table 1'!$B$13:$H$39,6,FALSE)</f>
        <v>20.719878888688669</v>
      </c>
      <c r="H18" s="393">
        <f>VLOOKUP($B18,'[17]Table 1'!$B$13:$G$39,6,FALSE)</f>
        <v>30.19369956580325</v>
      </c>
      <c r="I18" s="393">
        <f t="shared" ca="1" si="0"/>
        <v>0.21270505272067908</v>
      </c>
      <c r="J18" s="393">
        <f t="shared" si="0"/>
        <v>0.88767360472986923</v>
      </c>
      <c r="K18" s="394">
        <f t="shared" si="0"/>
        <v>2.1119506596840125</v>
      </c>
      <c r="L18" s="391"/>
    </row>
    <row r="19" spans="1:12">
      <c r="B19" s="392">
        <f t="shared" si="1"/>
        <v>2031</v>
      </c>
      <c r="C19" s="393">
        <f ca="1">VLOOKUP($B19,'Table 1'!$B$13:$G$40,6,FALSE)</f>
        <v>42.475622941691746</v>
      </c>
      <c r="D19" s="393">
        <f>VLOOKUP($B19,'[14]Table 1'!$B$13:$G$39,6,FALSE)</f>
        <v>22.832846983599275</v>
      </c>
      <c r="E19" s="393">
        <f>VLOOKUP($B19,'[15]Table 1'!$B$13:$G$39,6,FALSE)</f>
        <v>33.504689414653562</v>
      </c>
      <c r="F19" s="393">
        <f>VLOOKUP($B19,'[13]Table 1'!$B$13:$G$38,6,FALSE)</f>
        <v>43.002043317678421</v>
      </c>
      <c r="G19" s="393">
        <f>VLOOKUP($B19,'[16]Table 1'!$B$13:$H$39,6,FALSE)</f>
        <v>22.251973785691952</v>
      </c>
      <c r="H19" s="393">
        <f>VLOOKUP($B19,'[17]Table 1'!$B$13:$G$39,6,FALSE)</f>
        <v>31.732478044933544</v>
      </c>
      <c r="I19" s="393">
        <f t="shared" ca="1" si="0"/>
        <v>-0.52642037598667457</v>
      </c>
      <c r="J19" s="393">
        <f t="shared" si="0"/>
        <v>0.58087319790732295</v>
      </c>
      <c r="K19" s="394">
        <f t="shared" si="0"/>
        <v>1.7722113697200186</v>
      </c>
      <c r="L19" s="391"/>
    </row>
    <row r="20" spans="1:12">
      <c r="B20" s="392">
        <f t="shared" si="1"/>
        <v>2032</v>
      </c>
      <c r="C20" s="393">
        <f ca="1">VLOOKUP($B20,'Table 1'!$B$13:$G$40,6,FALSE)</f>
        <v>44.703086693891883</v>
      </c>
      <c r="D20" s="393">
        <f>VLOOKUP($B20,'[14]Table 1'!$B$13:$G$39,6,FALSE)</f>
        <v>23.976556799533775</v>
      </c>
      <c r="E20" s="393">
        <f>VLOOKUP($B20,'[15]Table 1'!$B$13:$G$39,6,FALSE)</f>
        <v>34.508961420526958</v>
      </c>
      <c r="F20" s="393">
        <f>VLOOKUP($B20,'[13]Table 1'!$B$13:$G$38,6,FALSE)</f>
        <v>44.710067773776643</v>
      </c>
      <c r="G20" s="393">
        <f>VLOOKUP($B20,'[16]Table 1'!$B$13:$H$39,6,FALSE)</f>
        <v>22.744197438068596</v>
      </c>
      <c r="H20" s="393">
        <f>VLOOKUP($B20,'[17]Table 1'!$B$13:$G$39,6,FALSE)</f>
        <v>32.478324857608634</v>
      </c>
      <c r="I20" s="393">
        <f t="shared" ca="1" si="0"/>
        <v>-6.9810798847598221E-3</v>
      </c>
      <c r="J20" s="393">
        <f t="shared" si="0"/>
        <v>1.2323593614651784</v>
      </c>
      <c r="K20" s="394">
        <f t="shared" si="0"/>
        <v>2.0306365629183247</v>
      </c>
      <c r="L20" s="391"/>
    </row>
    <row r="21" spans="1:12">
      <c r="B21" s="392">
        <f t="shared" si="1"/>
        <v>2033</v>
      </c>
      <c r="C21" s="393">
        <f ca="1">VLOOKUP($B21,'Table 1'!$B$13:$G$40,6,FALSE)</f>
        <v>45.657814068937519</v>
      </c>
      <c r="D21" s="393">
        <f>VLOOKUP($B21,'[14]Table 1'!$B$13:$G$39,6,FALSE)</f>
        <v>24.14505656784096</v>
      </c>
      <c r="E21" s="393">
        <f>VLOOKUP($B21,'[15]Table 1'!$B$13:$G$39,6,FALSE)</f>
        <v>62.094665233928161</v>
      </c>
      <c r="F21" s="393">
        <f>VLOOKUP($B21,'[13]Table 1'!$B$13:$G$38,6,FALSE)</f>
        <v>45.877965675514311</v>
      </c>
      <c r="G21" s="393">
        <f>VLOOKUP($B21,'[16]Table 1'!$B$13:$H$39,6,FALSE)</f>
        <v>23.141959161421617</v>
      </c>
      <c r="H21" s="393">
        <f>VLOOKUP($B21,'[17]Table 1'!$B$13:$G$39,6,FALSE)</f>
        <v>59.321210778624753</v>
      </c>
      <c r="I21" s="393">
        <f t="shared" ca="1" si="0"/>
        <v>-0.22015160657679189</v>
      </c>
      <c r="J21" s="393">
        <f t="shared" si="0"/>
        <v>1.003097406419343</v>
      </c>
      <c r="K21" s="394">
        <f t="shared" si="0"/>
        <v>2.7734544553034084</v>
      </c>
      <c r="L21" s="391"/>
    </row>
    <row r="22" spans="1:12">
      <c r="B22" s="392">
        <f t="shared" si="1"/>
        <v>2034</v>
      </c>
      <c r="C22" s="393">
        <f ca="1">VLOOKUP($B22,'Table 1'!$B$13:$G$40,6,FALSE)</f>
        <v>47.363921191747281</v>
      </c>
      <c r="D22" s="393">
        <f>VLOOKUP($B22,'[14]Table 1'!$B$13:$G$39,6,FALSE)</f>
        <v>25.685694724407579</v>
      </c>
      <c r="E22" s="393">
        <f>VLOOKUP($B22,'[15]Table 1'!$B$13:$G$39,6,FALSE)</f>
        <v>63.636869015931765</v>
      </c>
      <c r="F22" s="393">
        <f>VLOOKUP($B22,'[13]Table 1'!$B$13:$G$38,6,FALSE)</f>
        <v>47.54239289822781</v>
      </c>
      <c r="G22" s="393">
        <f>VLOOKUP($B22,'[16]Table 1'!$B$13:$H$39,6,FALSE)</f>
        <v>24.325434604619097</v>
      </c>
      <c r="H22" s="393">
        <f>VLOOKUP($B22,'[17]Table 1'!$B$13:$G$39,6,FALSE)</f>
        <v>60.529264026526292</v>
      </c>
      <c r="I22" s="393">
        <f t="shared" ca="1" si="0"/>
        <v>-0.17847170648052924</v>
      </c>
      <c r="J22" s="393">
        <f t="shared" si="0"/>
        <v>1.3602601197884816</v>
      </c>
      <c r="K22" s="394">
        <f t="shared" si="0"/>
        <v>3.1076049894054734</v>
      </c>
      <c r="L22" s="391"/>
    </row>
    <row r="23" spans="1:12">
      <c r="B23" s="395">
        <f t="shared" si="1"/>
        <v>2035</v>
      </c>
      <c r="C23" s="396">
        <f ca="1">VLOOKUP($B23,'Table 1'!$B$13:$G$40,6,FALSE)</f>
        <v>49.26327046862</v>
      </c>
      <c r="D23" s="396">
        <f>VLOOKUP($B23,'[14]Table 1'!$B$13:$G$39,6,FALSE)</f>
        <v>26.575456267388091</v>
      </c>
      <c r="E23" s="396">
        <f>VLOOKUP($B23,'[15]Table 1'!$B$13:$G$39,6,FALSE)</f>
        <v>65.797558302641804</v>
      </c>
      <c r="F23" s="396">
        <f>VLOOKUP($B23,'[13]Table 1'!$B$13:$G$38,6,FALSE)</f>
        <v>49.068184346124973</v>
      </c>
      <c r="G23" s="396">
        <f>VLOOKUP($B23,'[16]Table 1'!$B$13:$H$39,6,FALSE)</f>
        <v>25.045984357751507</v>
      </c>
      <c r="H23" s="396">
        <f>VLOOKUP($B23,'[17]Table 1'!$B$13:$G$39,6,FALSE)</f>
        <v>61.813730493718424</v>
      </c>
      <c r="I23" s="396">
        <f t="shared" ca="1" si="0"/>
        <v>0.19508612249502733</v>
      </c>
      <c r="J23" s="396">
        <f t="shared" si="0"/>
        <v>1.5294719096365839</v>
      </c>
      <c r="K23" s="397">
        <f t="shared" si="0"/>
        <v>3.9838278089233796</v>
      </c>
      <c r="L23" s="391"/>
    </row>
    <row r="25" spans="1:12">
      <c r="B25" s="398" t="s">
        <v>243</v>
      </c>
      <c r="L25" s="399"/>
    </row>
    <row r="26" spans="1:12">
      <c r="A26" s="409" t="s">
        <v>246</v>
      </c>
      <c r="B26" s="400" t="s">
        <v>31</v>
      </c>
      <c r="C26" s="393">
        <f ca="1">ROUND('Table 1'!$G$50,2)</f>
        <v>31.63</v>
      </c>
      <c r="D26" s="393">
        <f>ROUND('[14]Table 1'!$G$50,2)</f>
        <v>19.72</v>
      </c>
      <c r="E26" s="393">
        <f>ROUND('[15]Table 1'!$G$50,2)</f>
        <v>31.76</v>
      </c>
      <c r="F26" s="393">
        <f>ROUND('[13]Table 1'!$G$50,2)</f>
        <v>30.92</v>
      </c>
      <c r="G26" s="393">
        <f>ROUND('[16]Table 1'!$G$50,2)</f>
        <v>18.79</v>
      </c>
      <c r="H26" s="393">
        <f>ROUND('[17]Table 1'!$G$50,2)</f>
        <v>30.22</v>
      </c>
      <c r="I26" s="393">
        <f ca="1">C26-F26</f>
        <v>0.7099999999999973</v>
      </c>
      <c r="J26" s="393">
        <f>D26-G26</f>
        <v>0.92999999999999972</v>
      </c>
      <c r="K26" s="393">
        <f>E26-H26</f>
        <v>1.5400000000000027</v>
      </c>
      <c r="L26" s="401"/>
    </row>
    <row r="27" spans="1:12" ht="17.25" customHeight="1">
      <c r="B27" s="402"/>
      <c r="C27" s="393"/>
      <c r="D27" s="393"/>
      <c r="E27" s="393"/>
      <c r="F27" s="393"/>
      <c r="G27" s="393"/>
      <c r="H27" s="393"/>
      <c r="I27" s="403">
        <f ca="1">I26/F26</f>
        <v>2.296248382923665E-2</v>
      </c>
      <c r="J27" s="403">
        <f>J26/G26</f>
        <v>4.9494411921234688E-2</v>
      </c>
      <c r="K27" s="403">
        <f>K26/H26</f>
        <v>5.0959629384513656E-2</v>
      </c>
    </row>
    <row r="28" spans="1:12" ht="10.5" customHeight="1">
      <c r="B28" s="400"/>
      <c r="C28" s="393"/>
      <c r="D28" s="393"/>
      <c r="E28" s="393"/>
      <c r="F28" s="393"/>
      <c r="G28" s="393"/>
      <c r="H28" s="393"/>
      <c r="I28" s="393"/>
      <c r="J28" s="393"/>
      <c r="K28" s="393"/>
    </row>
    <row r="29" spans="1:12" ht="5.25" customHeight="1">
      <c r="F29" s="404"/>
      <c r="G29" s="404"/>
      <c r="H29" s="404"/>
    </row>
    <row r="30" spans="1:12">
      <c r="B30" s="53" t="s">
        <v>244</v>
      </c>
      <c r="C30" s="405"/>
      <c r="D30" s="405"/>
      <c r="E30" s="405"/>
      <c r="F30" s="406"/>
      <c r="G30" s="406"/>
      <c r="H30" s="406"/>
      <c r="I30" s="406"/>
      <c r="J30" s="406"/>
      <c r="K30" s="406"/>
    </row>
    <row r="31" spans="1:12">
      <c r="B31" s="407" t="s">
        <v>245</v>
      </c>
      <c r="C31" s="405"/>
      <c r="D31" s="405"/>
      <c r="E31" s="405"/>
      <c r="F31" s="406"/>
      <c r="G31" s="406"/>
      <c r="H31" s="406"/>
      <c r="I31" s="406"/>
      <c r="J31" s="406"/>
      <c r="K31" s="406"/>
    </row>
    <row r="32" spans="1:12">
      <c r="B32" s="407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2021 - 2035, levelized monthly</v>
      </c>
    </row>
    <row r="34" spans="2:11">
      <c r="B34" s="408"/>
    </row>
    <row r="35" spans="2:11">
      <c r="B35" s="408"/>
    </row>
    <row r="36" spans="2:11">
      <c r="B36" s="408"/>
    </row>
    <row r="37" spans="2:11" hidden="1"/>
    <row r="38" spans="2:11">
      <c r="C38" s="393"/>
      <c r="D38" s="393"/>
      <c r="E38" s="393"/>
      <c r="F38" s="393"/>
      <c r="G38" s="393"/>
      <c r="H38" s="393"/>
    </row>
    <row r="40" spans="2:11">
      <c r="C40" s="404"/>
      <c r="D40" s="404"/>
      <c r="E40" s="404"/>
      <c r="F40" s="404"/>
      <c r="G40" s="404"/>
      <c r="H40" s="404"/>
      <c r="I40" s="404"/>
      <c r="J40" s="404"/>
      <c r="K40" s="404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35">
        <v>1230.021663778163</v>
      </c>
      <c r="D18" s="128">
        <f>C18*$C$62</f>
        <v>62.546601603119584</v>
      </c>
      <c r="E18" s="128">
        <f t="shared" si="1"/>
        <v>27.43</v>
      </c>
      <c r="F18" s="128">
        <f>C60*(1+INDEX($D$66:$D$74,MATCH(B18,$C$66:$C$74,0),1))</f>
        <v>1.4973863179530464</v>
      </c>
      <c r="G18" s="130">
        <f>(D18+E18+F18)/(8.76*$C$63)</f>
        <v>32.129957120151957</v>
      </c>
      <c r="H18" s="128">
        <f t="shared" si="2"/>
        <v>0</v>
      </c>
      <c r="I18" s="130">
        <f>(G18+H18)</f>
        <v>32.129957120151957</v>
      </c>
      <c r="J18" s="130">
        <f t="shared" ref="J18:J32" si="4">ROUND(I18*$C$63*8.76,2)</f>
        <v>91.47</v>
      </c>
      <c r="K18" s="128">
        <f t="shared" si="3"/>
        <v>91.47398792107262</v>
      </c>
      <c r="L18" s="119"/>
      <c r="N18" s="117"/>
      <c r="P18" s="268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4"/>
      <c r="AB18" s="267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63.86</v>
      </c>
      <c r="E19" s="128">
        <f t="shared" si="1"/>
        <v>28.01</v>
      </c>
      <c r="F19" s="128">
        <f t="shared" si="5"/>
        <v>1.53</v>
      </c>
      <c r="G19" s="130">
        <f t="shared" ref="G19:G37" si="6">(D19+E19+F19)/(8.76*$C$63)</f>
        <v>32.806462943449247</v>
      </c>
      <c r="H19" s="128">
        <f t="shared" si="2"/>
        <v>0</v>
      </c>
      <c r="I19" s="130">
        <f t="shared" ref="I19:I37" si="7">(G19+H19)</f>
        <v>32.806462943449247</v>
      </c>
      <c r="J19" s="130">
        <f t="shared" si="4"/>
        <v>93.4</v>
      </c>
      <c r="K19" s="128">
        <f t="shared" si="3"/>
        <v>93.4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65.260000000000005</v>
      </c>
      <c r="E20" s="128">
        <f t="shared" si="1"/>
        <v>28.63</v>
      </c>
      <c r="F20" s="128">
        <f t="shared" si="5"/>
        <v>1.56</v>
      </c>
      <c r="G20" s="130">
        <f t="shared" si="6"/>
        <v>33.526519142957497</v>
      </c>
      <c r="H20" s="128">
        <f t="shared" si="2"/>
        <v>0</v>
      </c>
      <c r="I20" s="130">
        <f t="shared" si="7"/>
        <v>33.526519142957497</v>
      </c>
      <c r="J20" s="130">
        <f t="shared" si="4"/>
        <v>95.45</v>
      </c>
      <c r="K20" s="128">
        <f t="shared" si="3"/>
        <v>95.45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66.760000000000005</v>
      </c>
      <c r="E21" s="128">
        <f t="shared" si="1"/>
        <v>29.29</v>
      </c>
      <c r="F21" s="128">
        <f t="shared" si="5"/>
        <v>1.6</v>
      </c>
      <c r="G21" s="130">
        <f t="shared" si="6"/>
        <v>34.299262381454163</v>
      </c>
      <c r="H21" s="128">
        <f t="shared" si="2"/>
        <v>0</v>
      </c>
      <c r="I21" s="130">
        <f t="shared" si="7"/>
        <v>34.299262381454163</v>
      </c>
      <c r="J21" s="130">
        <f t="shared" si="4"/>
        <v>97.65</v>
      </c>
      <c r="K21" s="128">
        <f t="shared" si="3"/>
        <v>97.65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68.3</v>
      </c>
      <c r="E22" s="128">
        <f t="shared" si="1"/>
        <v>29.96</v>
      </c>
      <c r="F22" s="128">
        <f t="shared" si="5"/>
        <v>1.64</v>
      </c>
      <c r="G22" s="130">
        <f t="shared" si="6"/>
        <v>35.089567966280292</v>
      </c>
      <c r="H22" s="128">
        <f t="shared" si="2"/>
        <v>0</v>
      </c>
      <c r="I22" s="130">
        <f t="shared" si="7"/>
        <v>35.089567966280292</v>
      </c>
      <c r="J22" s="130">
        <f t="shared" si="4"/>
        <v>99.9</v>
      </c>
      <c r="K22" s="128">
        <f t="shared" si="3"/>
        <v>99.899999999999991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69.87</v>
      </c>
      <c r="E23" s="128">
        <f t="shared" si="1"/>
        <v>30.65</v>
      </c>
      <c r="F23" s="128">
        <f t="shared" si="5"/>
        <v>1.68</v>
      </c>
      <c r="G23" s="130">
        <f t="shared" si="6"/>
        <v>35.897435897435905</v>
      </c>
      <c r="H23" s="128">
        <f t="shared" si="2"/>
        <v>0</v>
      </c>
      <c r="I23" s="130">
        <f t="shared" si="7"/>
        <v>35.897435897435905</v>
      </c>
      <c r="J23" s="130">
        <f t="shared" si="4"/>
        <v>102.2</v>
      </c>
      <c r="K23" s="128">
        <f t="shared" si="3"/>
        <v>102.20000000000002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71.48</v>
      </c>
      <c r="E24" s="128">
        <f t="shared" si="1"/>
        <v>31.35</v>
      </c>
      <c r="F24" s="128">
        <f t="shared" si="5"/>
        <v>1.72</v>
      </c>
      <c r="G24" s="130">
        <f t="shared" si="6"/>
        <v>36.722866174920973</v>
      </c>
      <c r="H24" s="128">
        <f t="shared" si="2"/>
        <v>0</v>
      </c>
      <c r="I24" s="130">
        <f t="shared" si="7"/>
        <v>36.722866174920973</v>
      </c>
      <c r="J24" s="130">
        <f t="shared" si="4"/>
        <v>104.55</v>
      </c>
      <c r="K24" s="128">
        <f t="shared" si="3"/>
        <v>104.55000000000001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73.12</v>
      </c>
      <c r="E25" s="128">
        <f t="shared" si="1"/>
        <v>32.07</v>
      </c>
      <c r="F25" s="128">
        <f t="shared" si="5"/>
        <v>1.76</v>
      </c>
      <c r="G25" s="130">
        <f t="shared" si="6"/>
        <v>37.565858798735512</v>
      </c>
      <c r="H25" s="128">
        <f t="shared" si="2"/>
        <v>0</v>
      </c>
      <c r="I25" s="130">
        <f t="shared" si="7"/>
        <v>37.565858798735512</v>
      </c>
      <c r="J25" s="130">
        <f t="shared" si="4"/>
        <v>106.95</v>
      </c>
      <c r="K25" s="128">
        <f t="shared" si="3"/>
        <v>106.95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74.8</v>
      </c>
      <c r="E26" s="128">
        <f t="shared" si="1"/>
        <v>32.81</v>
      </c>
      <c r="F26" s="128">
        <f t="shared" si="5"/>
        <v>1.8</v>
      </c>
      <c r="G26" s="130">
        <f t="shared" si="6"/>
        <v>38.429926238145413</v>
      </c>
      <c r="H26" s="128">
        <f t="shared" si="2"/>
        <v>0</v>
      </c>
      <c r="I26" s="130">
        <f t="shared" si="7"/>
        <v>38.429926238145413</v>
      </c>
      <c r="J26" s="130">
        <f t="shared" si="4"/>
        <v>109.41</v>
      </c>
      <c r="K26" s="128">
        <f t="shared" si="3"/>
        <v>109.41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76.52</v>
      </c>
      <c r="E27" s="128">
        <f t="shared" si="1"/>
        <v>33.56</v>
      </c>
      <c r="F27" s="128">
        <f t="shared" si="5"/>
        <v>1.84</v>
      </c>
      <c r="G27" s="130">
        <f t="shared" si="6"/>
        <v>39.311556023884791</v>
      </c>
      <c r="H27" s="128">
        <f t="shared" si="2"/>
        <v>0</v>
      </c>
      <c r="I27" s="130">
        <f t="shared" si="7"/>
        <v>39.311556023884791</v>
      </c>
      <c r="J27" s="130">
        <f t="shared" si="4"/>
        <v>111.92</v>
      </c>
      <c r="K27" s="128">
        <f t="shared" si="3"/>
        <v>111.92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78.28</v>
      </c>
      <c r="E28" s="128">
        <f t="shared" si="1"/>
        <v>34.33</v>
      </c>
      <c r="F28" s="128">
        <f t="shared" si="5"/>
        <v>1.88</v>
      </c>
      <c r="G28" s="130">
        <f t="shared" si="6"/>
        <v>40.214260625219531</v>
      </c>
      <c r="H28" s="128">
        <f t="shared" si="2"/>
        <v>0</v>
      </c>
      <c r="I28" s="130">
        <f t="shared" si="7"/>
        <v>40.214260625219531</v>
      </c>
      <c r="J28" s="130">
        <f t="shared" si="4"/>
        <v>114.49</v>
      </c>
      <c r="K28" s="128">
        <f t="shared" si="3"/>
        <v>114.49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80.08</v>
      </c>
      <c r="E29" s="128">
        <f t="shared" si="1"/>
        <v>35.119999999999997</v>
      </c>
      <c r="F29" s="128">
        <f t="shared" si="5"/>
        <v>1.92</v>
      </c>
      <c r="G29" s="130">
        <f t="shared" si="6"/>
        <v>41.138040042149626</v>
      </c>
      <c r="H29" s="128">
        <f t="shared" si="2"/>
        <v>0</v>
      </c>
      <c r="I29" s="130">
        <f t="shared" si="7"/>
        <v>41.138040042149626</v>
      </c>
      <c r="J29" s="130">
        <f t="shared" si="4"/>
        <v>117.12</v>
      </c>
      <c r="K29" s="128">
        <f t="shared" si="3"/>
        <v>117.11999999999999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81.92</v>
      </c>
      <c r="E30" s="128">
        <f t="shared" si="1"/>
        <v>35.93</v>
      </c>
      <c r="F30" s="128">
        <f t="shared" si="5"/>
        <v>1.96</v>
      </c>
      <c r="G30" s="130">
        <f t="shared" si="6"/>
        <v>42.082894274675091</v>
      </c>
      <c r="H30" s="128">
        <f t="shared" si="2"/>
        <v>0</v>
      </c>
      <c r="I30" s="130">
        <f t="shared" si="7"/>
        <v>42.082894274675091</v>
      </c>
      <c r="J30" s="130">
        <f t="shared" si="4"/>
        <v>119.81</v>
      </c>
      <c r="K30" s="128">
        <f t="shared" si="3"/>
        <v>119.80999999999999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83.8</v>
      </c>
      <c r="E31" s="128">
        <f t="shared" si="1"/>
        <v>36.76</v>
      </c>
      <c r="F31" s="128">
        <f t="shared" si="5"/>
        <v>2.0099999999999998</v>
      </c>
      <c r="G31" s="130">
        <f t="shared" si="6"/>
        <v>43.052335792061825</v>
      </c>
      <c r="H31" s="128">
        <f t="shared" si="2"/>
        <v>0</v>
      </c>
      <c r="I31" s="130">
        <f t="shared" si="7"/>
        <v>43.052335792061825</v>
      </c>
      <c r="J31" s="130">
        <f t="shared" si="4"/>
        <v>122.57</v>
      </c>
      <c r="K31" s="128">
        <f t="shared" si="3"/>
        <v>122.57000000000001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85.73</v>
      </c>
      <c r="E32" s="128">
        <f t="shared" si="1"/>
        <v>37.61</v>
      </c>
      <c r="F32" s="128">
        <f t="shared" si="5"/>
        <v>2.06</v>
      </c>
      <c r="G32" s="130">
        <f t="shared" si="6"/>
        <v>44.0463645943098</v>
      </c>
      <c r="H32" s="128">
        <f t="shared" si="2"/>
        <v>0</v>
      </c>
      <c r="I32" s="130">
        <f t="shared" si="7"/>
        <v>44.0463645943098</v>
      </c>
      <c r="J32" s="130">
        <f t="shared" si="4"/>
        <v>125.4</v>
      </c>
      <c r="K32" s="128">
        <f t="shared" si="3"/>
        <v>125.4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87.7</v>
      </c>
      <c r="E33" s="128">
        <f t="shared" si="1"/>
        <v>38.479999999999997</v>
      </c>
      <c r="F33" s="128">
        <f t="shared" si="5"/>
        <v>2.11</v>
      </c>
      <c r="G33" s="130">
        <f t="shared" si="6"/>
        <v>45.061468212153152</v>
      </c>
      <c r="H33" s="128">
        <f t="shared" si="2"/>
        <v>0</v>
      </c>
      <c r="I33" s="130">
        <f t="shared" si="7"/>
        <v>45.061468212153152</v>
      </c>
      <c r="J33" s="130">
        <f t="shared" ref="J33:J37" si="8">ROUND(I33*$C$63*8.76,2)</f>
        <v>128.29</v>
      </c>
      <c r="K33" s="128">
        <f t="shared" si="3"/>
        <v>128.29000000000002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65"/>
    </row>
    <row r="34" spans="2:30">
      <c r="B34" s="135">
        <f t="shared" si="0"/>
        <v>2040</v>
      </c>
      <c r="C34" s="136"/>
      <c r="D34" s="128">
        <f t="shared" si="5"/>
        <v>89.72</v>
      </c>
      <c r="E34" s="128">
        <f t="shared" si="1"/>
        <v>39.369999999999997</v>
      </c>
      <c r="F34" s="128">
        <f t="shared" si="5"/>
        <v>2.16</v>
      </c>
      <c r="G34" s="130">
        <f t="shared" si="6"/>
        <v>46.101159114857744</v>
      </c>
      <c r="H34" s="128">
        <f t="shared" si="2"/>
        <v>0</v>
      </c>
      <c r="I34" s="130">
        <f t="shared" si="7"/>
        <v>46.101159114857744</v>
      </c>
      <c r="J34" s="130">
        <f t="shared" si="8"/>
        <v>131.25</v>
      </c>
      <c r="K34" s="128">
        <f t="shared" si="3"/>
        <v>131.25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65"/>
    </row>
    <row r="35" spans="2:30">
      <c r="B35" s="135">
        <f t="shared" si="0"/>
        <v>2041</v>
      </c>
      <c r="C35" s="136"/>
      <c r="D35" s="128">
        <f t="shared" si="5"/>
        <v>91.78</v>
      </c>
      <c r="E35" s="128">
        <f t="shared" si="1"/>
        <v>40.28</v>
      </c>
      <c r="F35" s="128">
        <f t="shared" si="5"/>
        <v>2.21</v>
      </c>
      <c r="G35" s="130">
        <f t="shared" si="6"/>
        <v>47.161924833157713</v>
      </c>
      <c r="H35" s="128">
        <f t="shared" si="2"/>
        <v>0</v>
      </c>
      <c r="I35" s="130">
        <f t="shared" si="7"/>
        <v>47.161924833157713</v>
      </c>
      <c r="J35" s="130">
        <f t="shared" si="8"/>
        <v>134.27000000000001</v>
      </c>
      <c r="K35" s="128">
        <f t="shared" si="3"/>
        <v>134.27000000000001</v>
      </c>
      <c r="L35" s="119"/>
      <c r="N35" s="117"/>
      <c r="R35" s="119"/>
      <c r="AC35" s="265"/>
    </row>
    <row r="36" spans="2:30">
      <c r="B36" s="135">
        <f t="shared" si="0"/>
        <v>2042</v>
      </c>
      <c r="C36" s="136"/>
      <c r="D36" s="128">
        <f t="shared" si="5"/>
        <v>93.89</v>
      </c>
      <c r="E36" s="128">
        <f t="shared" si="1"/>
        <v>41.21</v>
      </c>
      <c r="F36" s="128">
        <f t="shared" si="5"/>
        <v>2.2599999999999998</v>
      </c>
      <c r="G36" s="130">
        <f t="shared" si="6"/>
        <v>48.247277836318929</v>
      </c>
      <c r="H36" s="128">
        <f t="shared" si="2"/>
        <v>0</v>
      </c>
      <c r="I36" s="130">
        <f t="shared" si="7"/>
        <v>48.247277836318929</v>
      </c>
      <c r="J36" s="130">
        <f t="shared" si="8"/>
        <v>137.36000000000001</v>
      </c>
      <c r="K36" s="128">
        <f t="shared" si="3"/>
        <v>137.35999999999999</v>
      </c>
      <c r="L36" s="119"/>
      <c r="N36" s="117"/>
      <c r="R36" s="119"/>
      <c r="AC36" s="265"/>
    </row>
    <row r="37" spans="2:30">
      <c r="B37" s="135">
        <f t="shared" si="0"/>
        <v>2043</v>
      </c>
      <c r="C37" s="136"/>
      <c r="D37" s="128">
        <f t="shared" si="5"/>
        <v>96.14</v>
      </c>
      <c r="E37" s="128">
        <f t="shared" si="1"/>
        <v>42.2</v>
      </c>
      <c r="F37" s="128">
        <f t="shared" si="5"/>
        <v>2.31</v>
      </c>
      <c r="G37" s="130">
        <f t="shared" si="6"/>
        <v>49.402880224798032</v>
      </c>
      <c r="H37" s="128">
        <f t="shared" si="2"/>
        <v>0</v>
      </c>
      <c r="I37" s="130">
        <f t="shared" si="7"/>
        <v>49.402880224798032</v>
      </c>
      <c r="J37" s="130">
        <f t="shared" si="8"/>
        <v>140.65</v>
      </c>
      <c r="K37" s="128">
        <f t="shared" si="3"/>
        <v>140.65</v>
      </c>
      <c r="R37" s="119"/>
      <c r="AC37" s="265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65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65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65"/>
    </row>
    <row r="41" spans="2:30">
      <c r="N41" s="117"/>
      <c r="O41" s="161"/>
      <c r="S41" s="119"/>
      <c r="AD41" s="265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65"/>
    </row>
    <row r="43" spans="2:30">
      <c r="AC43" s="265"/>
    </row>
    <row r="44" spans="2:30">
      <c r="B44" s="117" t="s">
        <v>63</v>
      </c>
      <c r="C44" s="140" t="s">
        <v>64</v>
      </c>
      <c r="D44" s="141" t="s">
        <v>102</v>
      </c>
      <c r="AC44" s="265"/>
    </row>
    <row r="45" spans="2:30">
      <c r="C45" s="140" t="str">
        <f>C7</f>
        <v>(a)</v>
      </c>
      <c r="D45" s="117" t="s">
        <v>65</v>
      </c>
      <c r="AC45" s="265"/>
    </row>
    <row r="46" spans="2:30">
      <c r="C46" s="140" t="str">
        <f>D7</f>
        <v>(b)</v>
      </c>
      <c r="D46" s="130" t="str">
        <f>"= "&amp;C7&amp;" x "&amp;C62</f>
        <v>= (a) x 0.05085</v>
      </c>
      <c r="AC46" s="265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65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66">
        <v>230.8</v>
      </c>
      <c r="P55" s="117" t="s">
        <v>32</v>
      </c>
      <c r="Q55" s="262" t="s">
        <v>107</v>
      </c>
      <c r="R55" s="262" t="s">
        <v>108</v>
      </c>
      <c r="T55" s="262" t="str">
        <f>$Q$55&amp;"Proposed Station Capital Costs"</f>
        <v>L1.US1_PVSProposed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L1.US1_PVSProposed Station Fixed Costs</v>
      </c>
    </row>
    <row r="57" spans="2:25" ht="24" customHeight="1">
      <c r="B57" s="85"/>
      <c r="C57" s="258"/>
      <c r="D57" s="117" t="s">
        <v>105</v>
      </c>
      <c r="Q57" s="201" t="str">
        <f>Q55&amp;Q54</f>
        <v>L1.US1_PVS2024</v>
      </c>
      <c r="T57" s="262" t="str">
        <f>$Q$55&amp;"Proposed Station Variable O&amp;M Costs"</f>
        <v>L1.US1_PVSProposed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2023$</v>
      </c>
      <c r="C60" s="258">
        <f>INDEX('Table 3 TransCost'!$39:$39,1,MATCH(F60,'Table 3 TransCost'!$4:$4,0)+2)</f>
        <v>1.4680258019147514</v>
      </c>
      <c r="D60" s="117" t="s">
        <v>218</v>
      </c>
      <c r="F60" s="262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27.43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27.43</v>
      </c>
      <c r="L18" s="119"/>
      <c r="N18" s="117"/>
      <c r="P18" s="268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4"/>
      <c r="AB18" s="374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28.01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28.63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28.63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29.29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29.29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29.96</v>
      </c>
      <c r="F22" s="128"/>
      <c r="G22" s="130"/>
      <c r="H22" s="128">
        <f t="shared" si="2"/>
        <v>0</v>
      </c>
      <c r="I22" s="130"/>
      <c r="J22" s="130"/>
      <c r="K22" s="128">
        <f t="shared" si="3"/>
        <v>29.96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30.65</v>
      </c>
      <c r="F23" s="128"/>
      <c r="G23" s="130"/>
      <c r="H23" s="128">
        <f t="shared" si="2"/>
        <v>0</v>
      </c>
      <c r="I23" s="130"/>
      <c r="J23" s="130"/>
      <c r="K23" s="128">
        <f t="shared" si="3"/>
        <v>30.65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35">
        <v>1208.8</v>
      </c>
      <c r="D24" s="128">
        <f>C24*$C$62</f>
        <v>81.594000000000008</v>
      </c>
      <c r="E24" s="128">
        <f t="shared" si="1"/>
        <v>31.35</v>
      </c>
      <c r="F24" s="128">
        <f>C60</f>
        <v>21.577297145999619</v>
      </c>
      <c r="G24" s="130">
        <f>(D24+E24+F24)/(8.76*$C$63)</f>
        <v>47.250192183350762</v>
      </c>
      <c r="H24" s="128">
        <f t="shared" si="2"/>
        <v>0</v>
      </c>
      <c r="I24" s="130">
        <f>(G24+H24)</f>
        <v>47.250192183350762</v>
      </c>
      <c r="J24" s="130">
        <f t="shared" ref="J24:J32" si="4">ROUND(I24*$C$63*8.76,2)</f>
        <v>134.52000000000001</v>
      </c>
      <c r="K24" s="128">
        <f t="shared" si="3"/>
        <v>134.52129714599963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32.07</v>
      </c>
      <c r="F25" s="128">
        <f t="shared" si="5"/>
        <v>22.07</v>
      </c>
      <c r="G25" s="130">
        <f t="shared" ref="G25:G37" si="6">(D25+E25+F25)/(8.76*$C$63)</f>
        <v>48.335089567966278</v>
      </c>
      <c r="H25" s="128">
        <f t="shared" si="2"/>
        <v>0</v>
      </c>
      <c r="I25" s="130">
        <f t="shared" ref="I25:I37" si="7">(G25+H25)</f>
        <v>48.335089567966278</v>
      </c>
      <c r="J25" s="130">
        <f t="shared" si="4"/>
        <v>137.61000000000001</v>
      </c>
      <c r="K25" s="128">
        <f t="shared" si="3"/>
        <v>137.60999999999999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32.81</v>
      </c>
      <c r="F26" s="128">
        <f t="shared" si="5"/>
        <v>22.58</v>
      </c>
      <c r="G26" s="130">
        <f t="shared" si="6"/>
        <v>49.448542325254657</v>
      </c>
      <c r="H26" s="128">
        <f t="shared" si="2"/>
        <v>0</v>
      </c>
      <c r="I26" s="130">
        <f t="shared" si="7"/>
        <v>49.448542325254657</v>
      </c>
      <c r="J26" s="130">
        <f t="shared" si="4"/>
        <v>140.78</v>
      </c>
      <c r="K26" s="128">
        <f t="shared" si="3"/>
        <v>140.78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33.56</v>
      </c>
      <c r="F27" s="128">
        <f t="shared" si="5"/>
        <v>23.1</v>
      </c>
      <c r="G27" s="130">
        <f t="shared" si="6"/>
        <v>50.58306989813839</v>
      </c>
      <c r="H27" s="128">
        <f t="shared" si="2"/>
        <v>0</v>
      </c>
      <c r="I27" s="130">
        <f t="shared" si="7"/>
        <v>50.58306989813839</v>
      </c>
      <c r="J27" s="130">
        <f t="shared" si="4"/>
        <v>144.01</v>
      </c>
      <c r="K27" s="128">
        <f t="shared" si="3"/>
        <v>144.01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34.33</v>
      </c>
      <c r="F28" s="128">
        <f t="shared" si="5"/>
        <v>23.63</v>
      </c>
      <c r="G28" s="130">
        <f t="shared" si="6"/>
        <v>51.745697225149279</v>
      </c>
      <c r="H28" s="128">
        <f t="shared" si="2"/>
        <v>0</v>
      </c>
      <c r="I28" s="130">
        <f t="shared" si="7"/>
        <v>51.745697225149279</v>
      </c>
      <c r="J28" s="130">
        <f t="shared" si="4"/>
        <v>147.32</v>
      </c>
      <c r="K28" s="128">
        <f t="shared" si="3"/>
        <v>147.32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35.119999999999997</v>
      </c>
      <c r="F29" s="128">
        <f t="shared" si="5"/>
        <v>24.17</v>
      </c>
      <c r="G29" s="130">
        <f t="shared" si="6"/>
        <v>52.936424306287314</v>
      </c>
      <c r="H29" s="128">
        <f t="shared" si="2"/>
        <v>0</v>
      </c>
      <c r="I29" s="130">
        <f t="shared" si="7"/>
        <v>52.936424306287314</v>
      </c>
      <c r="J29" s="130">
        <f t="shared" si="4"/>
        <v>150.71</v>
      </c>
      <c r="K29" s="128">
        <f t="shared" si="3"/>
        <v>150.70999999999998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35.93</v>
      </c>
      <c r="F30" s="128">
        <f t="shared" si="5"/>
        <v>24.73</v>
      </c>
      <c r="G30" s="130">
        <f t="shared" si="6"/>
        <v>54.155251141552505</v>
      </c>
      <c r="H30" s="128">
        <f t="shared" si="2"/>
        <v>0</v>
      </c>
      <c r="I30" s="130">
        <f t="shared" si="7"/>
        <v>54.155251141552505</v>
      </c>
      <c r="J30" s="130">
        <f t="shared" si="4"/>
        <v>154.18</v>
      </c>
      <c r="K30" s="128">
        <f t="shared" si="3"/>
        <v>154.17999999999998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36.76</v>
      </c>
      <c r="F31" s="128">
        <f t="shared" si="5"/>
        <v>25.3</v>
      </c>
      <c r="G31" s="130">
        <f t="shared" si="6"/>
        <v>55.402177730944864</v>
      </c>
      <c r="H31" s="128">
        <f t="shared" si="2"/>
        <v>0</v>
      </c>
      <c r="I31" s="130">
        <f t="shared" si="7"/>
        <v>55.402177730944864</v>
      </c>
      <c r="J31" s="130">
        <f t="shared" si="4"/>
        <v>157.72999999999999</v>
      </c>
      <c r="K31" s="128">
        <f t="shared" si="3"/>
        <v>157.73000000000002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37.61</v>
      </c>
      <c r="F32" s="128">
        <f t="shared" si="5"/>
        <v>25.88</v>
      </c>
      <c r="G32" s="130">
        <f t="shared" si="6"/>
        <v>56.677204074464356</v>
      </c>
      <c r="H32" s="128">
        <f t="shared" si="2"/>
        <v>0</v>
      </c>
      <c r="I32" s="130">
        <f t="shared" si="7"/>
        <v>56.677204074464356</v>
      </c>
      <c r="J32" s="130">
        <f t="shared" si="4"/>
        <v>161.36000000000001</v>
      </c>
      <c r="K32" s="128">
        <f t="shared" si="3"/>
        <v>161.36000000000001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38.479999999999997</v>
      </c>
      <c r="F33" s="128">
        <f t="shared" si="5"/>
        <v>26.48</v>
      </c>
      <c r="G33" s="130">
        <f t="shared" si="6"/>
        <v>57.983842641376881</v>
      </c>
      <c r="H33" s="128">
        <f t="shared" si="2"/>
        <v>0</v>
      </c>
      <c r="I33" s="130">
        <f t="shared" si="7"/>
        <v>57.983842641376881</v>
      </c>
      <c r="J33" s="130">
        <f t="shared" ref="J33:J37" si="8">ROUND(I33*$C$63*8.76,2)</f>
        <v>165.08</v>
      </c>
      <c r="K33" s="128">
        <f t="shared" si="3"/>
        <v>165.07999999999998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39.369999999999997</v>
      </c>
      <c r="F34" s="128">
        <f t="shared" si="5"/>
        <v>27.09</v>
      </c>
      <c r="G34" s="130">
        <f t="shared" si="6"/>
        <v>59.318580962416576</v>
      </c>
      <c r="H34" s="128">
        <f t="shared" si="2"/>
        <v>0</v>
      </c>
      <c r="I34" s="130">
        <f t="shared" si="7"/>
        <v>59.318580962416576</v>
      </c>
      <c r="J34" s="130">
        <f t="shared" si="8"/>
        <v>168.88</v>
      </c>
      <c r="K34" s="128">
        <f t="shared" si="3"/>
        <v>168.88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104.78</v>
      </c>
      <c r="E35" s="128">
        <f t="shared" si="1"/>
        <v>40.28</v>
      </c>
      <c r="F35" s="128">
        <f t="shared" si="5"/>
        <v>27.71</v>
      </c>
      <c r="G35" s="130">
        <f t="shared" si="6"/>
        <v>60.684931506849317</v>
      </c>
      <c r="H35" s="128">
        <f t="shared" si="2"/>
        <v>0</v>
      </c>
      <c r="I35" s="130">
        <f t="shared" si="7"/>
        <v>60.684931506849317</v>
      </c>
      <c r="J35" s="130">
        <f t="shared" si="8"/>
        <v>172.77</v>
      </c>
      <c r="K35" s="128">
        <f t="shared" si="3"/>
        <v>172.77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107.19</v>
      </c>
      <c r="E36" s="128">
        <f t="shared" si="1"/>
        <v>41.21</v>
      </c>
      <c r="F36" s="128">
        <f t="shared" si="5"/>
        <v>28.35</v>
      </c>
      <c r="G36" s="130">
        <f t="shared" si="6"/>
        <v>62.082894274675098</v>
      </c>
      <c r="H36" s="128">
        <f t="shared" si="2"/>
        <v>0</v>
      </c>
      <c r="I36" s="130">
        <f t="shared" si="7"/>
        <v>62.082894274675098</v>
      </c>
      <c r="J36" s="130">
        <f t="shared" si="8"/>
        <v>176.75</v>
      </c>
      <c r="K36" s="128">
        <f t="shared" si="3"/>
        <v>176.75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109.76</v>
      </c>
      <c r="E37" s="128">
        <f t="shared" si="1"/>
        <v>42.2</v>
      </c>
      <c r="F37" s="128">
        <f t="shared" si="5"/>
        <v>29.03</v>
      </c>
      <c r="G37" s="130">
        <f t="shared" si="6"/>
        <v>63.572181243414121</v>
      </c>
      <c r="H37" s="128">
        <f t="shared" si="2"/>
        <v>0</v>
      </c>
      <c r="I37" s="130">
        <f t="shared" si="7"/>
        <v>63.572181243414121</v>
      </c>
      <c r="J37" s="130">
        <f t="shared" si="8"/>
        <v>180.99</v>
      </c>
      <c r="K37" s="128">
        <f t="shared" si="3"/>
        <v>180.99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66">
        <v>500</v>
      </c>
      <c r="P55" s="117" t="s">
        <v>32</v>
      </c>
      <c r="Q55" s="262" t="s">
        <v>174</v>
      </c>
      <c r="R55" s="262" t="s">
        <v>175</v>
      </c>
      <c r="T55" s="262" t="str">
        <f>$Q$55&amp;"Proposed Station Capital Costs"</f>
        <v>L_.US4_PVSProposed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L_.US4_PVSProposed Station Fixed Costs</v>
      </c>
    </row>
    <row r="57" spans="2:25" ht="24" customHeight="1">
      <c r="B57" s="85"/>
      <c r="C57" s="258"/>
      <c r="D57" s="117" t="s">
        <v>105</v>
      </c>
      <c r="Q57" s="201" t="str">
        <f>Q55&amp;Q54</f>
        <v>L_.US4_PVS2030</v>
      </c>
      <c r="T57" s="262" t="str">
        <f>$Q$55&amp;"Proposed Station Variable O&amp;M Costs"</f>
        <v>L_.US4_PVSProposed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21.577297145999619</v>
      </c>
      <c r="D60" s="117" t="s">
        <v>218</v>
      </c>
      <c r="F60" s="262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20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66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35">
        <v>1227.9632768361582</v>
      </c>
      <c r="D18" s="128">
        <f>C18*$C$62</f>
        <v>62.441932627118646</v>
      </c>
      <c r="E18" s="128">
        <f t="shared" si="1"/>
        <v>27.43</v>
      </c>
      <c r="F18" s="128">
        <f>C60</f>
        <v>0</v>
      </c>
      <c r="G18" s="130">
        <f>(D18+E18+F18)/(8.76*$C$63)</f>
        <v>34.084229367526298</v>
      </c>
      <c r="H18" s="128">
        <f t="shared" si="2"/>
        <v>0</v>
      </c>
      <c r="I18" s="130">
        <f>(G18+H18)</f>
        <v>34.084229367526298</v>
      </c>
      <c r="J18" s="130">
        <f t="shared" ref="J18:J32" si="4">ROUND(I18*$C$63*8.76,2)</f>
        <v>89.87</v>
      </c>
      <c r="K18" s="128">
        <f t="shared" si="3"/>
        <v>89.871932627118639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63.75</v>
      </c>
      <c r="E19" s="128">
        <f t="shared" si="1"/>
        <v>28.01</v>
      </c>
      <c r="F19" s="128">
        <f t="shared" si="5"/>
        <v>0</v>
      </c>
      <c r="G19" s="130">
        <f t="shared" ref="G19:G37" si="6">(D19+E19+F19)/(8.76*$C$63)</f>
        <v>34.800285198501193</v>
      </c>
      <c r="H19" s="128">
        <f t="shared" si="2"/>
        <v>0</v>
      </c>
      <c r="I19" s="130">
        <f t="shared" ref="I19:I37" si="7">(G19+H19)</f>
        <v>34.800285198501193</v>
      </c>
      <c r="J19" s="130">
        <f t="shared" si="4"/>
        <v>91.76</v>
      </c>
      <c r="K19" s="128">
        <f t="shared" si="3"/>
        <v>91.76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65.150000000000006</v>
      </c>
      <c r="E20" s="128">
        <f t="shared" si="1"/>
        <v>28.63</v>
      </c>
      <c r="F20" s="128">
        <f t="shared" si="5"/>
        <v>0</v>
      </c>
      <c r="G20" s="130">
        <f t="shared" si="6"/>
        <v>35.566376917125567</v>
      </c>
      <c r="H20" s="128">
        <f t="shared" si="2"/>
        <v>0</v>
      </c>
      <c r="I20" s="130">
        <f t="shared" si="7"/>
        <v>35.566376917125567</v>
      </c>
      <c r="J20" s="130">
        <f t="shared" si="4"/>
        <v>93.78</v>
      </c>
      <c r="K20" s="128">
        <f t="shared" si="3"/>
        <v>93.78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66.650000000000006</v>
      </c>
      <c r="E21" s="128">
        <f t="shared" si="1"/>
        <v>29.29</v>
      </c>
      <c r="F21" s="128">
        <f t="shared" si="5"/>
        <v>0</v>
      </c>
      <c r="G21" s="130">
        <f t="shared" si="6"/>
        <v>36.385564101397172</v>
      </c>
      <c r="H21" s="128">
        <f t="shared" si="2"/>
        <v>0</v>
      </c>
      <c r="I21" s="130">
        <f t="shared" si="7"/>
        <v>36.385564101397172</v>
      </c>
      <c r="J21" s="130">
        <f t="shared" si="4"/>
        <v>95.94</v>
      </c>
      <c r="K21" s="128">
        <f t="shared" si="3"/>
        <v>95.94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68.180000000000007</v>
      </c>
      <c r="E22" s="128">
        <f t="shared" si="1"/>
        <v>29.96</v>
      </c>
      <c r="F22" s="128">
        <f t="shared" si="5"/>
        <v>0</v>
      </c>
      <c r="G22" s="130">
        <f t="shared" si="6"/>
        <v>37.219921418710854</v>
      </c>
      <c r="H22" s="128">
        <f t="shared" si="2"/>
        <v>0</v>
      </c>
      <c r="I22" s="130">
        <f t="shared" si="7"/>
        <v>37.219921418710854</v>
      </c>
      <c r="J22" s="130">
        <f t="shared" si="4"/>
        <v>98.14</v>
      </c>
      <c r="K22" s="128">
        <f t="shared" si="3"/>
        <v>98.140000000000015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69.75</v>
      </c>
      <c r="E23" s="128">
        <f t="shared" si="1"/>
        <v>30.65</v>
      </c>
      <c r="F23" s="128">
        <f t="shared" si="5"/>
        <v>0</v>
      </c>
      <c r="G23" s="130">
        <f t="shared" si="6"/>
        <v>38.077033935587622</v>
      </c>
      <c r="H23" s="128">
        <f t="shared" si="2"/>
        <v>0</v>
      </c>
      <c r="I23" s="130">
        <f t="shared" si="7"/>
        <v>38.077033935587622</v>
      </c>
      <c r="J23" s="130">
        <f t="shared" si="4"/>
        <v>100.4</v>
      </c>
      <c r="K23" s="128">
        <f t="shared" si="3"/>
        <v>100.4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71.349999999999994</v>
      </c>
      <c r="E24" s="128">
        <f t="shared" si="1"/>
        <v>31.35</v>
      </c>
      <c r="F24" s="128">
        <f t="shared" si="5"/>
        <v>0</v>
      </c>
      <c r="G24" s="130">
        <f t="shared" si="6"/>
        <v>38.949316585506452</v>
      </c>
      <c r="H24" s="128">
        <f t="shared" si="2"/>
        <v>0</v>
      </c>
      <c r="I24" s="130">
        <f t="shared" si="7"/>
        <v>38.949316585506452</v>
      </c>
      <c r="J24" s="130">
        <f t="shared" si="4"/>
        <v>102.7</v>
      </c>
      <c r="K24" s="128">
        <f t="shared" si="3"/>
        <v>102.69999999999999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72.989999999999995</v>
      </c>
      <c r="E25" s="128">
        <f t="shared" si="1"/>
        <v>32.07</v>
      </c>
      <c r="F25" s="128">
        <f t="shared" si="5"/>
        <v>0</v>
      </c>
      <c r="G25" s="130">
        <f t="shared" si="6"/>
        <v>39.844354434988396</v>
      </c>
      <c r="H25" s="128">
        <f t="shared" si="2"/>
        <v>0</v>
      </c>
      <c r="I25" s="130">
        <f t="shared" si="7"/>
        <v>39.844354434988396</v>
      </c>
      <c r="J25" s="130">
        <f t="shared" si="4"/>
        <v>105.06</v>
      </c>
      <c r="K25" s="128">
        <f t="shared" si="3"/>
        <v>105.06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74.67</v>
      </c>
      <c r="E26" s="128">
        <f t="shared" si="1"/>
        <v>32.81</v>
      </c>
      <c r="F26" s="128">
        <f t="shared" si="5"/>
        <v>0</v>
      </c>
      <c r="G26" s="130">
        <f t="shared" si="6"/>
        <v>40.762147484033441</v>
      </c>
      <c r="H26" s="128">
        <f t="shared" si="2"/>
        <v>0</v>
      </c>
      <c r="I26" s="130">
        <f t="shared" si="7"/>
        <v>40.762147484033441</v>
      </c>
      <c r="J26" s="130">
        <f t="shared" si="4"/>
        <v>107.48</v>
      </c>
      <c r="K26" s="128">
        <f t="shared" si="3"/>
        <v>107.48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76.39</v>
      </c>
      <c r="E27" s="128">
        <f t="shared" si="1"/>
        <v>33.56</v>
      </c>
      <c r="F27" s="128">
        <f t="shared" si="5"/>
        <v>0</v>
      </c>
      <c r="G27" s="130">
        <f t="shared" si="6"/>
        <v>41.698903199381064</v>
      </c>
      <c r="H27" s="128">
        <f t="shared" si="2"/>
        <v>0</v>
      </c>
      <c r="I27" s="130">
        <f t="shared" si="7"/>
        <v>41.698903199381064</v>
      </c>
      <c r="J27" s="130">
        <f t="shared" si="4"/>
        <v>109.95</v>
      </c>
      <c r="K27" s="128">
        <f t="shared" si="3"/>
        <v>109.95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78.150000000000006</v>
      </c>
      <c r="E28" s="128">
        <f t="shared" si="1"/>
        <v>34.33</v>
      </c>
      <c r="F28" s="128">
        <f t="shared" si="5"/>
        <v>0</v>
      </c>
      <c r="G28" s="130">
        <f t="shared" si="6"/>
        <v>42.658414114291787</v>
      </c>
      <c r="H28" s="128">
        <f t="shared" si="2"/>
        <v>0</v>
      </c>
      <c r="I28" s="130">
        <f t="shared" si="7"/>
        <v>42.658414114291787</v>
      </c>
      <c r="J28" s="130">
        <f t="shared" si="4"/>
        <v>112.48</v>
      </c>
      <c r="K28" s="128">
        <f t="shared" si="3"/>
        <v>112.48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79.95</v>
      </c>
      <c r="E29" s="128">
        <f t="shared" si="1"/>
        <v>35.119999999999997</v>
      </c>
      <c r="F29" s="128">
        <f t="shared" si="5"/>
        <v>0</v>
      </c>
      <c r="G29" s="130">
        <f t="shared" si="6"/>
        <v>43.640680228765611</v>
      </c>
      <c r="H29" s="128">
        <f t="shared" si="2"/>
        <v>0</v>
      </c>
      <c r="I29" s="130">
        <f t="shared" si="7"/>
        <v>43.640680228765611</v>
      </c>
      <c r="J29" s="130">
        <f t="shared" si="4"/>
        <v>115.07</v>
      </c>
      <c r="K29" s="128">
        <f t="shared" si="3"/>
        <v>115.07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81.790000000000006</v>
      </c>
      <c r="E30" s="128">
        <f t="shared" si="1"/>
        <v>35.93</v>
      </c>
      <c r="F30" s="128">
        <f t="shared" si="5"/>
        <v>0</v>
      </c>
      <c r="G30" s="130">
        <f t="shared" si="6"/>
        <v>44.645701542802534</v>
      </c>
      <c r="H30" s="128">
        <f t="shared" si="2"/>
        <v>0</v>
      </c>
      <c r="I30" s="130">
        <f t="shared" si="7"/>
        <v>44.645701542802534</v>
      </c>
      <c r="J30" s="130">
        <f t="shared" si="4"/>
        <v>117.72</v>
      </c>
      <c r="K30" s="128">
        <f t="shared" si="3"/>
        <v>117.72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83.67</v>
      </c>
      <c r="E31" s="128">
        <f t="shared" si="1"/>
        <v>36.76</v>
      </c>
      <c r="F31" s="128">
        <f t="shared" si="5"/>
        <v>0</v>
      </c>
      <c r="G31" s="130">
        <f t="shared" si="6"/>
        <v>45.673478056402558</v>
      </c>
      <c r="H31" s="128">
        <f t="shared" si="2"/>
        <v>0</v>
      </c>
      <c r="I31" s="130">
        <f t="shared" si="7"/>
        <v>45.673478056402558</v>
      </c>
      <c r="J31" s="130">
        <f t="shared" si="4"/>
        <v>120.43</v>
      </c>
      <c r="K31" s="128">
        <f t="shared" si="3"/>
        <v>120.43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85.59</v>
      </c>
      <c r="E32" s="128">
        <f t="shared" si="1"/>
        <v>37.61</v>
      </c>
      <c r="F32" s="128">
        <f t="shared" si="5"/>
        <v>0</v>
      </c>
      <c r="G32" s="130">
        <f t="shared" si="6"/>
        <v>46.724009769565683</v>
      </c>
      <c r="H32" s="128">
        <f t="shared" si="2"/>
        <v>0</v>
      </c>
      <c r="I32" s="130">
        <f t="shared" si="7"/>
        <v>46.724009769565683</v>
      </c>
      <c r="J32" s="130">
        <f t="shared" si="4"/>
        <v>123.2</v>
      </c>
      <c r="K32" s="128">
        <f t="shared" si="3"/>
        <v>123.2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87.56</v>
      </c>
      <c r="E33" s="128">
        <f t="shared" si="1"/>
        <v>38.479999999999997</v>
      </c>
      <c r="F33" s="128">
        <f t="shared" si="5"/>
        <v>0</v>
      </c>
      <c r="G33" s="130">
        <f t="shared" si="6"/>
        <v>47.801089215552423</v>
      </c>
      <c r="H33" s="128">
        <f t="shared" si="2"/>
        <v>0</v>
      </c>
      <c r="I33" s="130">
        <f t="shared" si="7"/>
        <v>47.801089215552423</v>
      </c>
      <c r="J33" s="130">
        <f t="shared" ref="J33:J37" si="8">ROUND(I33*$C$63*8.76,2)</f>
        <v>126.04</v>
      </c>
      <c r="K33" s="128">
        <f t="shared" si="3"/>
        <v>126.03999999999999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89.57</v>
      </c>
      <c r="E34" s="128">
        <f t="shared" si="1"/>
        <v>39.369999999999997</v>
      </c>
      <c r="F34" s="128">
        <f t="shared" si="5"/>
        <v>0</v>
      </c>
      <c r="G34" s="130">
        <f t="shared" si="6"/>
        <v>48.900923861102264</v>
      </c>
      <c r="H34" s="128">
        <f t="shared" si="2"/>
        <v>0</v>
      </c>
      <c r="I34" s="130">
        <f t="shared" si="7"/>
        <v>48.900923861102264</v>
      </c>
      <c r="J34" s="130">
        <f t="shared" si="8"/>
        <v>128.94</v>
      </c>
      <c r="K34" s="128">
        <f t="shared" si="3"/>
        <v>128.94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91.63</v>
      </c>
      <c r="E35" s="128">
        <f t="shared" si="1"/>
        <v>40.28</v>
      </c>
      <c r="F35" s="128">
        <f t="shared" si="5"/>
        <v>0</v>
      </c>
      <c r="G35" s="130">
        <f t="shared" si="6"/>
        <v>50.02730623947572</v>
      </c>
      <c r="H35" s="128">
        <f t="shared" si="2"/>
        <v>0</v>
      </c>
      <c r="I35" s="130">
        <f t="shared" si="7"/>
        <v>50.02730623947572</v>
      </c>
      <c r="J35" s="130">
        <f t="shared" si="8"/>
        <v>131.91</v>
      </c>
      <c r="K35" s="128">
        <f t="shared" si="3"/>
        <v>131.91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93.74</v>
      </c>
      <c r="E36" s="128">
        <f t="shared" si="1"/>
        <v>41.21</v>
      </c>
      <c r="F36" s="128">
        <f t="shared" si="5"/>
        <v>0</v>
      </c>
      <c r="G36" s="130">
        <f t="shared" si="6"/>
        <v>51.180236350672793</v>
      </c>
      <c r="H36" s="128">
        <f t="shared" si="2"/>
        <v>0</v>
      </c>
      <c r="I36" s="130">
        <f t="shared" si="7"/>
        <v>51.180236350672793</v>
      </c>
      <c r="J36" s="130">
        <f t="shared" si="8"/>
        <v>134.94999999999999</v>
      </c>
      <c r="K36" s="128">
        <f t="shared" si="3"/>
        <v>134.94999999999999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95.99</v>
      </c>
      <c r="E37" s="128">
        <f t="shared" si="1"/>
        <v>42.2</v>
      </c>
      <c r="F37" s="128">
        <f t="shared" si="5"/>
        <v>0</v>
      </c>
      <c r="G37" s="130">
        <f t="shared" si="6"/>
        <v>52.409017127080212</v>
      </c>
      <c r="H37" s="128">
        <f t="shared" si="2"/>
        <v>0</v>
      </c>
      <c r="I37" s="130">
        <f t="shared" si="7"/>
        <v>52.409017127080212</v>
      </c>
      <c r="J37" s="130">
        <f t="shared" si="8"/>
        <v>138.19</v>
      </c>
      <c r="K37" s="128">
        <f t="shared" si="3"/>
        <v>138.19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70">
        <v>354</v>
      </c>
      <c r="P55" s="117" t="s">
        <v>32</v>
      </c>
      <c r="Q55" s="262" t="s">
        <v>144</v>
      </c>
      <c r="R55" s="262" t="s">
        <v>108</v>
      </c>
      <c r="T55" s="262" t="str">
        <f>$Q$55&amp;"Proposed Station Capital Costs"</f>
        <v>L1.JBB_PVSProposed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L1.JBB_PVSProposed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L1.JBB_PVS2024</v>
      </c>
      <c r="T57" s="262" t="str">
        <f>$Q$55&amp;"Proposed Station Variable O&amp;M Costs"</f>
        <v>L1.JBB_PVSProposed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</v>
      </c>
      <c r="D60" s="117" t="s">
        <v>218</v>
      </c>
      <c r="F60" s="262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Q5" s="119"/>
      <c r="R5" s="263"/>
      <c r="S5" s="119"/>
      <c r="T5" s="119"/>
      <c r="U5" s="119"/>
      <c r="V5" s="119"/>
      <c r="W5" s="119"/>
      <c r="X5" s="119"/>
      <c r="Y5" s="369"/>
      <c r="Z5" s="36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64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27.43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27.43</v>
      </c>
      <c r="L18" s="119"/>
      <c r="N18" s="117"/>
      <c r="O18" s="337"/>
      <c r="Q18" s="153"/>
      <c r="R18" s="119"/>
      <c r="T18" s="161"/>
      <c r="U18" s="153"/>
      <c r="V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28.01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28.01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28.63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28.63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29.29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29.29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29.96</v>
      </c>
      <c r="F22" s="128"/>
      <c r="G22" s="130"/>
      <c r="H22" s="128">
        <f t="shared" si="2"/>
        <v>0</v>
      </c>
      <c r="I22" s="130"/>
      <c r="J22" s="130"/>
      <c r="K22" s="128">
        <f t="shared" si="3"/>
        <v>29.96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35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30.65</v>
      </c>
      <c r="F23" s="128">
        <f>C60</f>
        <v>0</v>
      </c>
      <c r="G23" s="130">
        <f>(D23+E23+F23)/(8.76*$C$63)</f>
        <v>34.959163692345548</v>
      </c>
      <c r="H23" s="128">
        <f t="shared" si="2"/>
        <v>0</v>
      </c>
      <c r="I23" s="130">
        <f>(G23+H23)</f>
        <v>34.959163692345548</v>
      </c>
      <c r="J23" s="130">
        <f t="shared" ref="J23" si="5">ROUND(I23*$C$63*8.76,2)</f>
        <v>92.18</v>
      </c>
      <c r="K23" s="128">
        <f t="shared" si="3"/>
        <v>92.178924457429048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35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31.35</v>
      </c>
      <c r="F24" s="128">
        <f t="shared" si="6"/>
        <v>0</v>
      </c>
      <c r="G24" s="130">
        <f t="shared" ref="G24:G37" si="7">(D24+E24+F24)/(8.76*$C$63)</f>
        <v>35.759796113411916</v>
      </c>
      <c r="H24" s="128">
        <f t="shared" si="2"/>
        <v>0</v>
      </c>
      <c r="I24" s="130">
        <f t="shared" ref="I24:I37" si="8">(G24+H24)</f>
        <v>35.759796113411916</v>
      </c>
      <c r="J24" s="130">
        <f t="shared" ref="J24:J32" si="9">ROUND(I24*$C$63*8.76,2)</f>
        <v>94.29</v>
      </c>
      <c r="K24" s="128">
        <f t="shared" si="3"/>
        <v>94.289999999999992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32.07</v>
      </c>
      <c r="F25" s="128">
        <f t="shared" si="6"/>
        <v>0</v>
      </c>
      <c r="G25" s="130">
        <f t="shared" si="7"/>
        <v>36.582775830944044</v>
      </c>
      <c r="H25" s="128">
        <f t="shared" si="2"/>
        <v>0</v>
      </c>
      <c r="I25" s="130">
        <f t="shared" si="8"/>
        <v>36.582775830944044</v>
      </c>
      <c r="J25" s="130">
        <f t="shared" si="9"/>
        <v>96.46</v>
      </c>
      <c r="K25" s="128">
        <f t="shared" si="3"/>
        <v>96.460000000000008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32.81</v>
      </c>
      <c r="F26" s="128">
        <f t="shared" si="6"/>
        <v>0</v>
      </c>
      <c r="G26" s="130">
        <f t="shared" si="7"/>
        <v>37.42471821477875</v>
      </c>
      <c r="H26" s="128">
        <f t="shared" si="2"/>
        <v>0</v>
      </c>
      <c r="I26" s="130">
        <f t="shared" si="8"/>
        <v>37.42471821477875</v>
      </c>
      <c r="J26" s="130">
        <f t="shared" si="9"/>
        <v>98.68</v>
      </c>
      <c r="K26" s="128">
        <f t="shared" si="3"/>
        <v>98.68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33.56</v>
      </c>
      <c r="F27" s="128">
        <f t="shared" si="6"/>
        <v>0</v>
      </c>
      <c r="G27" s="130">
        <f t="shared" si="7"/>
        <v>38.28562326491604</v>
      </c>
      <c r="H27" s="128">
        <f t="shared" si="2"/>
        <v>0</v>
      </c>
      <c r="I27" s="130">
        <f t="shared" si="8"/>
        <v>38.28562326491604</v>
      </c>
      <c r="J27" s="130">
        <f t="shared" si="9"/>
        <v>100.95</v>
      </c>
      <c r="K27" s="128">
        <f t="shared" si="3"/>
        <v>100.95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34.33</v>
      </c>
      <c r="F28" s="128">
        <f t="shared" si="6"/>
        <v>0</v>
      </c>
      <c r="G28" s="130">
        <f t="shared" si="7"/>
        <v>39.165490981355909</v>
      </c>
      <c r="H28" s="128">
        <f t="shared" si="2"/>
        <v>0</v>
      </c>
      <c r="I28" s="130">
        <f t="shared" si="8"/>
        <v>39.165490981355909</v>
      </c>
      <c r="J28" s="130">
        <f t="shared" si="9"/>
        <v>103.27</v>
      </c>
      <c r="K28" s="128">
        <f t="shared" si="3"/>
        <v>103.27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35.119999999999997</v>
      </c>
      <c r="F29" s="128">
        <f t="shared" si="6"/>
        <v>0</v>
      </c>
      <c r="G29" s="130">
        <f t="shared" si="7"/>
        <v>40.068113897358884</v>
      </c>
      <c r="H29" s="128">
        <f t="shared" si="2"/>
        <v>0</v>
      </c>
      <c r="I29" s="130">
        <f t="shared" si="8"/>
        <v>40.068113897358884</v>
      </c>
      <c r="J29" s="130">
        <f t="shared" si="9"/>
        <v>105.65</v>
      </c>
      <c r="K29" s="128">
        <f t="shared" si="3"/>
        <v>105.65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35.93</v>
      </c>
      <c r="F30" s="128">
        <f t="shared" si="6"/>
        <v>0</v>
      </c>
      <c r="G30" s="130">
        <f t="shared" si="7"/>
        <v>40.989699479664445</v>
      </c>
      <c r="H30" s="128">
        <f t="shared" si="2"/>
        <v>0</v>
      </c>
      <c r="I30" s="130">
        <f t="shared" si="8"/>
        <v>40.989699479664445</v>
      </c>
      <c r="J30" s="130">
        <f t="shared" si="9"/>
        <v>108.08</v>
      </c>
      <c r="K30" s="128">
        <f t="shared" si="3"/>
        <v>108.08000000000001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36.76</v>
      </c>
      <c r="F31" s="128">
        <f t="shared" si="6"/>
        <v>0</v>
      </c>
      <c r="G31" s="130">
        <f t="shared" si="7"/>
        <v>41.934040261533092</v>
      </c>
      <c r="H31" s="128">
        <f t="shared" si="2"/>
        <v>0</v>
      </c>
      <c r="I31" s="130">
        <f t="shared" si="8"/>
        <v>41.934040261533092</v>
      </c>
      <c r="J31" s="130">
        <f t="shared" si="9"/>
        <v>110.57</v>
      </c>
      <c r="K31" s="128">
        <f t="shared" si="3"/>
        <v>110.57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37.61</v>
      </c>
      <c r="F32" s="128">
        <f t="shared" si="6"/>
        <v>0</v>
      </c>
      <c r="G32" s="130">
        <f t="shared" si="7"/>
        <v>42.901136242964853</v>
      </c>
      <c r="H32" s="128">
        <f t="shared" si="2"/>
        <v>0</v>
      </c>
      <c r="I32" s="130">
        <f t="shared" si="8"/>
        <v>42.901136242964853</v>
      </c>
      <c r="J32" s="130">
        <f t="shared" si="9"/>
        <v>113.12</v>
      </c>
      <c r="K32" s="128">
        <f t="shared" si="3"/>
        <v>113.12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38.479999999999997</v>
      </c>
      <c r="F33" s="128">
        <f t="shared" si="6"/>
        <v>0</v>
      </c>
      <c r="G33" s="130">
        <f t="shared" si="7"/>
        <v>43.890987423959707</v>
      </c>
      <c r="H33" s="128">
        <f t="shared" si="2"/>
        <v>0</v>
      </c>
      <c r="I33" s="130">
        <f t="shared" si="8"/>
        <v>43.890987423959707</v>
      </c>
      <c r="J33" s="130">
        <f t="shared" ref="J33:J37" si="10">ROUND(I33*$C$63*8.76,2)</f>
        <v>115.73</v>
      </c>
      <c r="K33" s="128">
        <f t="shared" si="3"/>
        <v>115.72999999999999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39.369999999999997</v>
      </c>
      <c r="F34" s="128">
        <f t="shared" si="6"/>
        <v>0</v>
      </c>
      <c r="G34" s="130">
        <f t="shared" si="7"/>
        <v>44.903593804517669</v>
      </c>
      <c r="H34" s="128">
        <f t="shared" si="2"/>
        <v>0</v>
      </c>
      <c r="I34" s="130">
        <f t="shared" si="8"/>
        <v>44.903593804517669</v>
      </c>
      <c r="J34" s="130">
        <f t="shared" si="10"/>
        <v>118.4</v>
      </c>
      <c r="K34" s="128">
        <f t="shared" si="3"/>
        <v>118.4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80.849999999999994</v>
      </c>
      <c r="E35" s="128">
        <f t="shared" si="4"/>
        <v>40.28</v>
      </c>
      <c r="F35" s="128">
        <f t="shared" si="6"/>
        <v>0</v>
      </c>
      <c r="G35" s="130">
        <f t="shared" si="7"/>
        <v>45.938955384638724</v>
      </c>
      <c r="H35" s="128">
        <f t="shared" si="2"/>
        <v>0</v>
      </c>
      <c r="I35" s="130">
        <f t="shared" si="8"/>
        <v>45.938955384638724</v>
      </c>
      <c r="J35" s="130">
        <f t="shared" si="10"/>
        <v>121.13</v>
      </c>
      <c r="K35" s="128">
        <f t="shared" si="3"/>
        <v>121.13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82.71</v>
      </c>
      <c r="E36" s="128">
        <f t="shared" si="4"/>
        <v>41.21</v>
      </c>
      <c r="F36" s="128">
        <f t="shared" si="6"/>
        <v>0</v>
      </c>
      <c r="G36" s="130">
        <f t="shared" si="7"/>
        <v>46.99707216432288</v>
      </c>
      <c r="H36" s="128">
        <f t="shared" si="2"/>
        <v>0</v>
      </c>
      <c r="I36" s="130">
        <f t="shared" si="8"/>
        <v>46.99707216432288</v>
      </c>
      <c r="J36" s="130">
        <f t="shared" si="10"/>
        <v>123.92</v>
      </c>
      <c r="K36" s="128">
        <f t="shared" si="3"/>
        <v>123.91999999999999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84.7</v>
      </c>
      <c r="E37" s="128">
        <f t="shared" si="4"/>
        <v>42.2</v>
      </c>
      <c r="F37" s="128">
        <f t="shared" si="6"/>
        <v>0</v>
      </c>
      <c r="G37" s="130">
        <f t="shared" si="7"/>
        <v>48.127247075956859</v>
      </c>
      <c r="H37" s="128">
        <f t="shared" si="2"/>
        <v>0</v>
      </c>
      <c r="I37" s="130">
        <f t="shared" si="8"/>
        <v>48.127247075956859</v>
      </c>
      <c r="J37" s="130">
        <f t="shared" si="10"/>
        <v>126.9</v>
      </c>
      <c r="K37" s="128">
        <f t="shared" si="3"/>
        <v>126.9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65"/>
    </row>
    <row r="45" spans="2:32">
      <c r="C45" s="140" t="str">
        <f>C7</f>
        <v>(a)</v>
      </c>
      <c r="D45" s="117" t="s">
        <v>65</v>
      </c>
      <c r="AC45" s="265"/>
    </row>
    <row r="46" spans="2:32">
      <c r="C46" s="140" t="str">
        <f>D7</f>
        <v>(b)</v>
      </c>
      <c r="D46" s="130" t="str">
        <f>"= "&amp;C7&amp;" x "&amp;C62</f>
        <v>= (a) x 0.05085</v>
      </c>
      <c r="AC46" s="265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65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70">
        <v>359.4</v>
      </c>
      <c r="P55" s="117" t="s">
        <v>32</v>
      </c>
      <c r="Q55" s="262" t="s">
        <v>170</v>
      </c>
      <c r="R55" s="262" t="s">
        <v>108</v>
      </c>
      <c r="T55" s="262" t="str">
        <f>$Q$55&amp;"Proposed Station Capital Costs"</f>
        <v>L_.JBB_PVSProposed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R56" s="119"/>
      <c r="T56" s="262" t="str">
        <f>$Q$55&amp;"Proposed Station Fixed Costs"</f>
        <v>L_.JBB_PVSProposed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L_.JBB_PVS2029</v>
      </c>
      <c r="T57" s="262" t="str">
        <f>$Q$55&amp;"Proposed Station Variable O&amp;M Costs"</f>
        <v>L_.JBB_PVSProposed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2029$</v>
      </c>
      <c r="C60" s="258">
        <f>INDEX('Table 3 TransCost'!$39:$39,1,MATCH(F60,'Table 3 TransCost'!$4:$4,0)+2)</f>
        <v>0</v>
      </c>
      <c r="D60" s="117" t="s">
        <v>218</v>
      </c>
      <c r="F60" s="262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1.9E-2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0.02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0.02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2.3E-2</v>
      </c>
      <c r="N73" s="164"/>
    </row>
    <row r="74" spans="3:14" s="119" customFormat="1">
      <c r="C74" s="87">
        <f t="shared" si="11"/>
        <v>2025</v>
      </c>
      <c r="D74" s="41">
        <v>2.1000000000000001E-2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369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5">
        <v>1296.5513342379013</v>
      </c>
      <c r="D18" s="128">
        <f>C18*$C$62</f>
        <v>65.929635345997283</v>
      </c>
      <c r="E18" s="128">
        <f t="shared" si="1"/>
        <v>27.43</v>
      </c>
      <c r="F18" s="186">
        <f>C60</f>
        <v>0</v>
      </c>
      <c r="G18" s="130">
        <f>(D18+E18+F18)/(8.76*$C$63)</f>
        <v>35.883813533353816</v>
      </c>
      <c r="H18" s="128">
        <f t="shared" si="2"/>
        <v>0</v>
      </c>
      <c r="I18" s="130">
        <f>(G18+H18)</f>
        <v>35.883813533353816</v>
      </c>
      <c r="J18" s="130">
        <f t="shared" ref="J18:J32" si="4">ROUND(I18*$C$63*8.76,2)</f>
        <v>93.36</v>
      </c>
      <c r="K18" s="128">
        <f t="shared" si="3"/>
        <v>93.359635345997276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67.31</v>
      </c>
      <c r="E19" s="128">
        <f t="shared" si="1"/>
        <v>28.01</v>
      </c>
      <c r="F19" s="128">
        <f t="shared" si="5"/>
        <v>0</v>
      </c>
      <c r="G19" s="130">
        <f t="shared" ref="G19:G37" si="6">(D19+E19+F19)/(8.76*$C$63)</f>
        <v>36.637301477484129</v>
      </c>
      <c r="H19" s="128">
        <f t="shared" si="2"/>
        <v>0</v>
      </c>
      <c r="I19" s="130">
        <f t="shared" ref="I19:I37" si="7">(G19+H19)</f>
        <v>36.637301477484129</v>
      </c>
      <c r="J19" s="130">
        <f t="shared" si="4"/>
        <v>95.32</v>
      </c>
      <c r="K19" s="128">
        <f t="shared" si="3"/>
        <v>95.320000000000007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68.790000000000006</v>
      </c>
      <c r="E20" s="128">
        <f t="shared" si="1"/>
        <v>28.63</v>
      </c>
      <c r="F20" s="128">
        <f t="shared" si="5"/>
        <v>0</v>
      </c>
      <c r="G20" s="130">
        <f t="shared" si="6"/>
        <v>37.444459818889044</v>
      </c>
      <c r="H20" s="128">
        <f t="shared" si="2"/>
        <v>0</v>
      </c>
      <c r="I20" s="130">
        <f t="shared" si="7"/>
        <v>37.444459818889044</v>
      </c>
      <c r="J20" s="130">
        <f t="shared" si="4"/>
        <v>97.42</v>
      </c>
      <c r="K20" s="128">
        <f t="shared" si="3"/>
        <v>97.42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70.37</v>
      </c>
      <c r="E21" s="128">
        <f t="shared" si="1"/>
        <v>29.29</v>
      </c>
      <c r="F21" s="128">
        <f t="shared" si="5"/>
        <v>0</v>
      </c>
      <c r="G21" s="130">
        <f t="shared" si="6"/>
        <v>38.305428716387624</v>
      </c>
      <c r="H21" s="128">
        <f t="shared" si="2"/>
        <v>0</v>
      </c>
      <c r="I21" s="130">
        <f t="shared" si="7"/>
        <v>38.305428716387624</v>
      </c>
      <c r="J21" s="130">
        <f t="shared" si="4"/>
        <v>99.66</v>
      </c>
      <c r="K21" s="128">
        <f t="shared" si="3"/>
        <v>99.66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71.989999999999995</v>
      </c>
      <c r="E22" s="128">
        <f t="shared" si="1"/>
        <v>29.96</v>
      </c>
      <c r="F22" s="128">
        <f t="shared" si="5"/>
        <v>0</v>
      </c>
      <c r="G22" s="130">
        <f t="shared" si="6"/>
        <v>39.185615669633933</v>
      </c>
      <c r="H22" s="128">
        <f t="shared" si="2"/>
        <v>0</v>
      </c>
      <c r="I22" s="130">
        <f t="shared" si="7"/>
        <v>39.185615669633933</v>
      </c>
      <c r="J22" s="130">
        <f t="shared" si="4"/>
        <v>101.95</v>
      </c>
      <c r="K22" s="128">
        <f t="shared" si="3"/>
        <v>101.94999999999999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73.650000000000006</v>
      </c>
      <c r="E23" s="128">
        <f t="shared" si="1"/>
        <v>30.65</v>
      </c>
      <c r="F23" s="128">
        <f t="shared" si="5"/>
        <v>0</v>
      </c>
      <c r="G23" s="130">
        <f t="shared" si="6"/>
        <v>40.08886428977754</v>
      </c>
      <c r="H23" s="128">
        <f t="shared" si="2"/>
        <v>0</v>
      </c>
      <c r="I23" s="130">
        <f t="shared" si="7"/>
        <v>40.08886428977754</v>
      </c>
      <c r="J23" s="130">
        <f t="shared" si="4"/>
        <v>104.3</v>
      </c>
      <c r="K23" s="128">
        <f t="shared" si="3"/>
        <v>104.30000000000001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75.34</v>
      </c>
      <c r="E24" s="128">
        <f t="shared" si="1"/>
        <v>31.35</v>
      </c>
      <c r="F24" s="128">
        <f t="shared" si="5"/>
        <v>0</v>
      </c>
      <c r="G24" s="130">
        <f t="shared" si="6"/>
        <v>41.00748735451932</v>
      </c>
      <c r="H24" s="128">
        <f t="shared" si="2"/>
        <v>0</v>
      </c>
      <c r="I24" s="130">
        <f t="shared" si="7"/>
        <v>41.00748735451932</v>
      </c>
      <c r="J24" s="130">
        <f t="shared" si="4"/>
        <v>106.69</v>
      </c>
      <c r="K24" s="128">
        <f t="shared" si="3"/>
        <v>106.69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77.069999999999993</v>
      </c>
      <c r="E25" s="128">
        <f t="shared" si="1"/>
        <v>32.07</v>
      </c>
      <c r="F25" s="128">
        <f t="shared" si="5"/>
        <v>0</v>
      </c>
      <c r="G25" s="130">
        <f t="shared" si="6"/>
        <v>41.949172086158384</v>
      </c>
      <c r="H25" s="128">
        <f t="shared" si="2"/>
        <v>0</v>
      </c>
      <c r="I25" s="130">
        <f t="shared" si="7"/>
        <v>41.949172086158384</v>
      </c>
      <c r="J25" s="130">
        <f t="shared" si="4"/>
        <v>109.14</v>
      </c>
      <c r="K25" s="128">
        <f t="shared" si="3"/>
        <v>109.13999999999999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78.84</v>
      </c>
      <c r="E26" s="128">
        <f t="shared" si="1"/>
        <v>32.81</v>
      </c>
      <c r="F26" s="128">
        <f t="shared" si="5"/>
        <v>0</v>
      </c>
      <c r="G26" s="130">
        <f t="shared" si="6"/>
        <v>42.913918484694747</v>
      </c>
      <c r="H26" s="128">
        <f t="shared" si="2"/>
        <v>0</v>
      </c>
      <c r="I26" s="130">
        <f t="shared" si="7"/>
        <v>42.913918484694747</v>
      </c>
      <c r="J26" s="130">
        <f t="shared" si="4"/>
        <v>111.65</v>
      </c>
      <c r="K26" s="128">
        <f t="shared" si="3"/>
        <v>111.65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80.650000000000006</v>
      </c>
      <c r="E27" s="128">
        <f t="shared" si="1"/>
        <v>33.56</v>
      </c>
      <c r="F27" s="128">
        <f t="shared" si="5"/>
        <v>0</v>
      </c>
      <c r="G27" s="130">
        <f t="shared" si="6"/>
        <v>43.897882938978839</v>
      </c>
      <c r="H27" s="128">
        <f t="shared" si="2"/>
        <v>0</v>
      </c>
      <c r="I27" s="130">
        <f t="shared" si="7"/>
        <v>43.897882938978839</v>
      </c>
      <c r="J27" s="130">
        <f t="shared" si="4"/>
        <v>114.21</v>
      </c>
      <c r="K27" s="128">
        <f t="shared" si="3"/>
        <v>114.21000000000001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82.5</v>
      </c>
      <c r="E28" s="128">
        <f t="shared" si="1"/>
        <v>34.33</v>
      </c>
      <c r="F28" s="128">
        <f t="shared" si="5"/>
        <v>0</v>
      </c>
      <c r="G28" s="130">
        <f t="shared" si="6"/>
        <v>44.904909060160207</v>
      </c>
      <c r="H28" s="128">
        <f t="shared" si="2"/>
        <v>0</v>
      </c>
      <c r="I28" s="130">
        <f t="shared" si="7"/>
        <v>44.904909060160207</v>
      </c>
      <c r="J28" s="130">
        <f t="shared" si="4"/>
        <v>116.83</v>
      </c>
      <c r="K28" s="128">
        <f t="shared" si="3"/>
        <v>116.83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84.4</v>
      </c>
      <c r="E29" s="128">
        <f t="shared" si="1"/>
        <v>35.119999999999997</v>
      </c>
      <c r="F29" s="128">
        <f t="shared" si="5"/>
        <v>0</v>
      </c>
      <c r="G29" s="130">
        <f t="shared" si="6"/>
        <v>45.938840459388409</v>
      </c>
      <c r="H29" s="128">
        <f t="shared" si="2"/>
        <v>0</v>
      </c>
      <c r="I29" s="130">
        <f t="shared" si="7"/>
        <v>45.938840459388409</v>
      </c>
      <c r="J29" s="130">
        <f t="shared" si="4"/>
        <v>119.52</v>
      </c>
      <c r="K29" s="128">
        <f t="shared" si="3"/>
        <v>119.52000000000001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86.34</v>
      </c>
      <c r="E30" s="128">
        <f t="shared" si="1"/>
        <v>35.93</v>
      </c>
      <c r="F30" s="128">
        <f t="shared" si="5"/>
        <v>0</v>
      </c>
      <c r="G30" s="130">
        <f t="shared" si="6"/>
        <v>46.995833525513895</v>
      </c>
      <c r="H30" s="128">
        <f t="shared" si="2"/>
        <v>0</v>
      </c>
      <c r="I30" s="130">
        <f t="shared" si="7"/>
        <v>46.995833525513895</v>
      </c>
      <c r="J30" s="130">
        <f t="shared" si="4"/>
        <v>122.27</v>
      </c>
      <c r="K30" s="128">
        <f t="shared" si="3"/>
        <v>122.27000000000001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88.33</v>
      </c>
      <c r="E31" s="128">
        <f t="shared" si="1"/>
        <v>36.76</v>
      </c>
      <c r="F31" s="128">
        <f t="shared" si="5"/>
        <v>0</v>
      </c>
      <c r="G31" s="130">
        <f t="shared" si="6"/>
        <v>48.079731869686213</v>
      </c>
      <c r="H31" s="128">
        <f t="shared" si="2"/>
        <v>0</v>
      </c>
      <c r="I31" s="130">
        <f t="shared" si="7"/>
        <v>48.079731869686213</v>
      </c>
      <c r="J31" s="130">
        <f t="shared" si="4"/>
        <v>125.09</v>
      </c>
      <c r="K31" s="128">
        <f t="shared" si="3"/>
        <v>125.09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90.36</v>
      </c>
      <c r="E32" s="128">
        <f t="shared" si="1"/>
        <v>37.61</v>
      </c>
      <c r="F32" s="128">
        <f t="shared" si="5"/>
        <v>0</v>
      </c>
      <c r="G32" s="130">
        <f t="shared" si="6"/>
        <v>49.186691880755809</v>
      </c>
      <c r="H32" s="128">
        <f t="shared" si="2"/>
        <v>0</v>
      </c>
      <c r="I32" s="130">
        <f t="shared" si="7"/>
        <v>49.186691880755809</v>
      </c>
      <c r="J32" s="130">
        <f t="shared" si="4"/>
        <v>127.97</v>
      </c>
      <c r="K32" s="128">
        <f t="shared" si="3"/>
        <v>127.97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92.44</v>
      </c>
      <c r="E33" s="128">
        <f t="shared" si="1"/>
        <v>38.479999999999997</v>
      </c>
      <c r="F33" s="128">
        <f t="shared" si="5"/>
        <v>0</v>
      </c>
      <c r="G33" s="130">
        <f t="shared" si="6"/>
        <v>50.320557169872238</v>
      </c>
      <c r="H33" s="128">
        <f t="shared" si="2"/>
        <v>0</v>
      </c>
      <c r="I33" s="130">
        <f t="shared" si="7"/>
        <v>50.320557169872238</v>
      </c>
      <c r="J33" s="130">
        <f t="shared" ref="J33:J37" si="8">ROUND(I33*$C$63*8.76,2)</f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94.57</v>
      </c>
      <c r="E34" s="128">
        <f t="shared" si="1"/>
        <v>39.369999999999997</v>
      </c>
      <c r="F34" s="128">
        <f t="shared" si="5"/>
        <v>0</v>
      </c>
      <c r="G34" s="130">
        <f t="shared" si="6"/>
        <v>51.4813277370355</v>
      </c>
      <c r="H34" s="128">
        <f t="shared" si="2"/>
        <v>0</v>
      </c>
      <c r="I34" s="130">
        <f t="shared" si="7"/>
        <v>51.4813277370355</v>
      </c>
      <c r="J34" s="130">
        <f t="shared" si="8"/>
        <v>133.94</v>
      </c>
      <c r="K34" s="128">
        <f t="shared" si="3"/>
        <v>133.94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96.75</v>
      </c>
      <c r="E35" s="128">
        <f t="shared" si="1"/>
        <v>40.28</v>
      </c>
      <c r="F35" s="128">
        <f t="shared" si="5"/>
        <v>0</v>
      </c>
      <c r="G35" s="130">
        <f t="shared" si="6"/>
        <v>52.669003582245594</v>
      </c>
      <c r="H35" s="128">
        <f t="shared" si="2"/>
        <v>0</v>
      </c>
      <c r="I35" s="130">
        <f t="shared" si="7"/>
        <v>52.669003582245594</v>
      </c>
      <c r="J35" s="130">
        <f t="shared" si="8"/>
        <v>137.03</v>
      </c>
      <c r="K35" s="128">
        <f t="shared" si="3"/>
        <v>137.03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98.98</v>
      </c>
      <c r="E36" s="128">
        <f t="shared" si="1"/>
        <v>41.21</v>
      </c>
      <c r="F36" s="128">
        <f t="shared" si="5"/>
        <v>0</v>
      </c>
      <c r="G36" s="130">
        <f t="shared" si="6"/>
        <v>53.883584705502514</v>
      </c>
      <c r="H36" s="128">
        <f t="shared" si="2"/>
        <v>0</v>
      </c>
      <c r="I36" s="130">
        <f t="shared" si="7"/>
        <v>53.883584705502514</v>
      </c>
      <c r="J36" s="130">
        <f t="shared" si="8"/>
        <v>140.19</v>
      </c>
      <c r="K36" s="128">
        <f t="shared" si="3"/>
        <v>140.19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101.36</v>
      </c>
      <c r="E37" s="128">
        <f t="shared" si="1"/>
        <v>42.2</v>
      </c>
      <c r="F37" s="128">
        <f t="shared" si="5"/>
        <v>0</v>
      </c>
      <c r="G37" s="130">
        <f t="shared" si="6"/>
        <v>55.178881662899933</v>
      </c>
      <c r="H37" s="128">
        <f t="shared" si="2"/>
        <v>0</v>
      </c>
      <c r="I37" s="130">
        <f t="shared" si="7"/>
        <v>55.178881662899933</v>
      </c>
      <c r="J37" s="130">
        <f t="shared" si="8"/>
        <v>143.56</v>
      </c>
      <c r="K37" s="128">
        <f t="shared" si="3"/>
        <v>143.56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38">
        <v>442.2</v>
      </c>
      <c r="P55" s="117" t="s">
        <v>32</v>
      </c>
      <c r="Q55" s="262" t="s">
        <v>145</v>
      </c>
      <c r="R55" s="262" t="s">
        <v>108</v>
      </c>
      <c r="T55" s="262" t="str">
        <f>$Q$55&amp;"Proposed Station Capital Costs"</f>
        <v>H1.SO1_PVSProposed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O56" s="338">
        <v>57.8</v>
      </c>
      <c r="P56" s="117" t="s">
        <v>32</v>
      </c>
      <c r="Q56" s="262" t="s">
        <v>146</v>
      </c>
      <c r="R56" s="119"/>
      <c r="T56" s="262" t="str">
        <f>$Q$55&amp;"Proposed Station Fixed Costs"</f>
        <v>H1.SO1_PVSProposed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H1.SO1_PVS2024</v>
      </c>
      <c r="T57" s="262" t="str">
        <f>$Q$55&amp;"Proposed Station Variable O&amp;M Costs"</f>
        <v>H1.SO1_PVSProposed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IFERROR(LEFT(RIGHT(INDEX('Table 3 TransCost'!$39:$39,1,MATCH(F60,'Table 3 TransCost'!$4:$4,0)),6),5),"-")</f>
        <v>-</v>
      </c>
      <c r="C60" s="258">
        <f>IFERROR(INDEX('Table 3 TransCost'!$39:$39,1,MATCH(F60,'Table 3 TransCost'!$4:$4,0)+2),0)</f>
        <v>0</v>
      </c>
      <c r="D60" s="117" t="s">
        <v>218</v>
      </c>
      <c r="F60" s="262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20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O16" s="336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85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5">
        <v>1295.0860323886641</v>
      </c>
      <c r="D18" s="128">
        <f>C18*$C$62</f>
        <v>65.855124746963568</v>
      </c>
      <c r="E18" s="128">
        <f t="shared" si="1"/>
        <v>27.43</v>
      </c>
      <c r="F18" s="128">
        <f>C60</f>
        <v>0.39132049215213044</v>
      </c>
      <c r="G18" s="130">
        <f>(D18+E18+F18)/(8.76*$C$63)</f>
        <v>41.129454355073626</v>
      </c>
      <c r="H18" s="128">
        <f t="shared" si="2"/>
        <v>0</v>
      </c>
      <c r="I18" s="130">
        <f>(G18+H18)</f>
        <v>41.129454355073626</v>
      </c>
      <c r="J18" s="130">
        <f t="shared" ref="J18:J32" si="4">ROUND(I18*$C$63*8.76,2)</f>
        <v>93.68</v>
      </c>
      <c r="K18" s="128">
        <f t="shared" si="3"/>
        <v>93.676445239115694</v>
      </c>
      <c r="L18" s="119"/>
      <c r="N18" s="117"/>
      <c r="O18" s="337"/>
      <c r="Q18" s="153"/>
      <c r="R18" s="119"/>
      <c r="T18" s="161"/>
      <c r="U18" s="153"/>
      <c r="V18" s="153"/>
      <c r="W18" s="153"/>
      <c r="X18" s="153"/>
      <c r="Y18" s="153"/>
      <c r="Z18" s="153"/>
      <c r="AA18" s="268"/>
      <c r="AB18" s="267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67.239999999999995</v>
      </c>
      <c r="E19" s="128">
        <f t="shared" si="1"/>
        <v>28.01</v>
      </c>
      <c r="F19" s="128">
        <f t="shared" si="5"/>
        <v>0.4</v>
      </c>
      <c r="G19" s="130">
        <f t="shared" ref="G19:G37" si="6">(D19+E19+F19)/(8.76*$C$63)</f>
        <v>41.995960660344224</v>
      </c>
      <c r="H19" s="128">
        <f t="shared" si="2"/>
        <v>0</v>
      </c>
      <c r="I19" s="130">
        <f t="shared" ref="I19:I37" si="7">(G19+H19)</f>
        <v>41.995960660344224</v>
      </c>
      <c r="J19" s="130">
        <f t="shared" si="4"/>
        <v>95.65</v>
      </c>
      <c r="K19" s="128">
        <f t="shared" si="3"/>
        <v>95.65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68.72</v>
      </c>
      <c r="E20" s="128">
        <f t="shared" si="1"/>
        <v>28.63</v>
      </c>
      <c r="F20" s="128">
        <f t="shared" si="5"/>
        <v>0.41</v>
      </c>
      <c r="G20" s="130">
        <f t="shared" si="6"/>
        <v>42.922374429223737</v>
      </c>
      <c r="H20" s="128">
        <f t="shared" si="2"/>
        <v>0</v>
      </c>
      <c r="I20" s="130">
        <f t="shared" si="7"/>
        <v>42.922374429223737</v>
      </c>
      <c r="J20" s="130">
        <f t="shared" si="4"/>
        <v>97.76</v>
      </c>
      <c r="K20" s="128">
        <f t="shared" si="3"/>
        <v>97.759999999999991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70.3</v>
      </c>
      <c r="E21" s="128">
        <f t="shared" si="1"/>
        <v>29.29</v>
      </c>
      <c r="F21" s="128">
        <f t="shared" si="5"/>
        <v>0.42</v>
      </c>
      <c r="G21" s="130">
        <f t="shared" si="6"/>
        <v>43.910256410256409</v>
      </c>
      <c r="H21" s="128">
        <f t="shared" si="2"/>
        <v>0</v>
      </c>
      <c r="I21" s="130">
        <f t="shared" si="7"/>
        <v>43.910256410256409</v>
      </c>
      <c r="J21" s="130">
        <f t="shared" si="4"/>
        <v>100.01</v>
      </c>
      <c r="K21" s="128">
        <f t="shared" si="3"/>
        <v>100.01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71.92</v>
      </c>
      <c r="E22" s="128">
        <f t="shared" si="1"/>
        <v>29.96</v>
      </c>
      <c r="F22" s="128">
        <f t="shared" si="5"/>
        <v>0.43</v>
      </c>
      <c r="G22" s="130">
        <f t="shared" si="6"/>
        <v>44.920091324200911</v>
      </c>
      <c r="H22" s="128">
        <f t="shared" si="2"/>
        <v>0</v>
      </c>
      <c r="I22" s="130">
        <f t="shared" si="7"/>
        <v>44.920091324200911</v>
      </c>
      <c r="J22" s="130">
        <f t="shared" si="4"/>
        <v>102.31</v>
      </c>
      <c r="K22" s="128">
        <f t="shared" si="3"/>
        <v>102.31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73.569999999999993</v>
      </c>
      <c r="E23" s="128">
        <f t="shared" si="1"/>
        <v>30.65</v>
      </c>
      <c r="F23" s="128">
        <f t="shared" si="5"/>
        <v>0.44</v>
      </c>
      <c r="G23" s="130">
        <f t="shared" si="6"/>
        <v>45.95187917105725</v>
      </c>
      <c r="H23" s="128">
        <f t="shared" si="2"/>
        <v>0</v>
      </c>
      <c r="I23" s="130">
        <f t="shared" si="7"/>
        <v>45.95187917105725</v>
      </c>
      <c r="J23" s="130">
        <f t="shared" si="4"/>
        <v>104.66</v>
      </c>
      <c r="K23" s="128">
        <f t="shared" si="3"/>
        <v>104.66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75.260000000000005</v>
      </c>
      <c r="E24" s="128">
        <f t="shared" si="1"/>
        <v>31.35</v>
      </c>
      <c r="F24" s="128">
        <f t="shared" si="5"/>
        <v>0.45</v>
      </c>
      <c r="G24" s="130">
        <f t="shared" si="6"/>
        <v>47.005619950825434</v>
      </c>
      <c r="H24" s="128">
        <f t="shared" si="2"/>
        <v>0</v>
      </c>
      <c r="I24" s="130">
        <f t="shared" si="7"/>
        <v>47.005619950825434</v>
      </c>
      <c r="J24" s="130">
        <f t="shared" si="4"/>
        <v>107.06</v>
      </c>
      <c r="K24" s="128">
        <f t="shared" si="3"/>
        <v>107.06000000000002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76.989999999999995</v>
      </c>
      <c r="E25" s="128">
        <f t="shared" si="1"/>
        <v>32.07</v>
      </c>
      <c r="F25" s="128">
        <f t="shared" si="5"/>
        <v>0.46</v>
      </c>
      <c r="G25" s="130">
        <f t="shared" si="6"/>
        <v>48.085704250087808</v>
      </c>
      <c r="H25" s="128">
        <f t="shared" si="2"/>
        <v>0</v>
      </c>
      <c r="I25" s="130">
        <f t="shared" si="7"/>
        <v>48.085704250087808</v>
      </c>
      <c r="J25" s="130">
        <f t="shared" si="4"/>
        <v>109.52</v>
      </c>
      <c r="K25" s="128">
        <f t="shared" si="3"/>
        <v>109.52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78.760000000000005</v>
      </c>
      <c r="E26" s="128">
        <f t="shared" si="1"/>
        <v>32.81</v>
      </c>
      <c r="F26" s="128">
        <f t="shared" si="5"/>
        <v>0.47</v>
      </c>
      <c r="G26" s="130">
        <f t="shared" si="6"/>
        <v>49.192132068844401</v>
      </c>
      <c r="H26" s="128">
        <f t="shared" si="2"/>
        <v>0</v>
      </c>
      <c r="I26" s="130">
        <f t="shared" si="7"/>
        <v>49.192132068844401</v>
      </c>
      <c r="J26" s="130">
        <f t="shared" si="4"/>
        <v>112.04</v>
      </c>
      <c r="K26" s="128">
        <f t="shared" si="3"/>
        <v>112.04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80.569999999999993</v>
      </c>
      <c r="E27" s="128">
        <f t="shared" si="1"/>
        <v>33.56</v>
      </c>
      <c r="F27" s="128">
        <f t="shared" si="5"/>
        <v>0.48</v>
      </c>
      <c r="G27" s="130">
        <f t="shared" si="6"/>
        <v>50.320512820512818</v>
      </c>
      <c r="H27" s="128">
        <f t="shared" si="2"/>
        <v>0</v>
      </c>
      <c r="I27" s="130">
        <f t="shared" si="7"/>
        <v>50.320512820512818</v>
      </c>
      <c r="J27" s="130">
        <f t="shared" si="4"/>
        <v>114.61</v>
      </c>
      <c r="K27" s="128">
        <f t="shared" si="3"/>
        <v>114.61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82.42</v>
      </c>
      <c r="E28" s="128">
        <f t="shared" si="1"/>
        <v>34.33</v>
      </c>
      <c r="F28" s="128">
        <f t="shared" si="5"/>
        <v>0.49</v>
      </c>
      <c r="G28" s="130">
        <f t="shared" si="6"/>
        <v>51.475237091675446</v>
      </c>
      <c r="H28" s="128">
        <f t="shared" si="2"/>
        <v>0</v>
      </c>
      <c r="I28" s="130">
        <f t="shared" si="7"/>
        <v>51.475237091675446</v>
      </c>
      <c r="J28" s="130">
        <f t="shared" si="4"/>
        <v>117.24</v>
      </c>
      <c r="K28" s="128">
        <f t="shared" si="3"/>
        <v>117.24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84.32</v>
      </c>
      <c r="E29" s="128">
        <f t="shared" si="1"/>
        <v>35.119999999999997</v>
      </c>
      <c r="F29" s="128">
        <f t="shared" si="5"/>
        <v>0.5</v>
      </c>
      <c r="G29" s="130">
        <f t="shared" si="6"/>
        <v>52.660695468914646</v>
      </c>
      <c r="H29" s="128">
        <f t="shared" si="2"/>
        <v>0</v>
      </c>
      <c r="I29" s="130">
        <f t="shared" si="7"/>
        <v>52.660695468914646</v>
      </c>
      <c r="J29" s="130">
        <f t="shared" si="4"/>
        <v>119.94</v>
      </c>
      <c r="K29" s="128">
        <f t="shared" si="3"/>
        <v>119.94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86.26</v>
      </c>
      <c r="E30" s="128">
        <f t="shared" si="1"/>
        <v>35.93</v>
      </c>
      <c r="F30" s="128">
        <f t="shared" si="5"/>
        <v>0.51</v>
      </c>
      <c r="G30" s="130">
        <f t="shared" si="6"/>
        <v>53.872497365648051</v>
      </c>
      <c r="H30" s="128">
        <f t="shared" si="2"/>
        <v>0</v>
      </c>
      <c r="I30" s="130">
        <f t="shared" si="7"/>
        <v>53.872497365648051</v>
      </c>
      <c r="J30" s="130">
        <f t="shared" si="4"/>
        <v>122.7</v>
      </c>
      <c r="K30" s="128">
        <f t="shared" si="3"/>
        <v>122.7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88.24</v>
      </c>
      <c r="E31" s="128">
        <f t="shared" si="1"/>
        <v>36.76</v>
      </c>
      <c r="F31" s="128">
        <f t="shared" si="5"/>
        <v>0.52</v>
      </c>
      <c r="G31" s="130">
        <f t="shared" si="6"/>
        <v>55.110642781875654</v>
      </c>
      <c r="H31" s="128">
        <f t="shared" si="2"/>
        <v>0</v>
      </c>
      <c r="I31" s="130">
        <f t="shared" si="7"/>
        <v>55.110642781875654</v>
      </c>
      <c r="J31" s="130">
        <f t="shared" si="4"/>
        <v>125.52</v>
      </c>
      <c r="K31" s="128">
        <f t="shared" si="3"/>
        <v>125.52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90.27</v>
      </c>
      <c r="E32" s="128">
        <f t="shared" si="1"/>
        <v>37.61</v>
      </c>
      <c r="F32" s="128">
        <f t="shared" si="5"/>
        <v>0.53</v>
      </c>
      <c r="G32" s="130">
        <f t="shared" si="6"/>
        <v>56.379522304179837</v>
      </c>
      <c r="H32" s="128">
        <f t="shared" si="2"/>
        <v>0</v>
      </c>
      <c r="I32" s="130">
        <f t="shared" si="7"/>
        <v>56.379522304179837</v>
      </c>
      <c r="J32" s="130">
        <f t="shared" si="4"/>
        <v>128.41</v>
      </c>
      <c r="K32" s="128">
        <f t="shared" si="3"/>
        <v>128.41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92.35</v>
      </c>
      <c r="E33" s="128">
        <f t="shared" si="1"/>
        <v>38.479999999999997</v>
      </c>
      <c r="F33" s="128">
        <f t="shared" si="5"/>
        <v>0.54</v>
      </c>
      <c r="G33" s="130">
        <f t="shared" si="6"/>
        <v>57.679135932560577</v>
      </c>
      <c r="H33" s="128">
        <f t="shared" si="2"/>
        <v>0</v>
      </c>
      <c r="I33" s="130">
        <f t="shared" si="7"/>
        <v>57.679135932560577</v>
      </c>
      <c r="J33" s="130">
        <f t="shared" ref="J33:J37" si="8">ROUND(I33*$C$63*8.76,2)</f>
        <v>131.37</v>
      </c>
      <c r="K33" s="128">
        <f t="shared" si="3"/>
        <v>131.36999999999998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94.47</v>
      </c>
      <c r="E34" s="128">
        <f t="shared" si="1"/>
        <v>39.369999999999997</v>
      </c>
      <c r="F34" s="128">
        <f t="shared" si="5"/>
        <v>0.55000000000000004</v>
      </c>
      <c r="G34" s="130">
        <f t="shared" si="6"/>
        <v>59.00509308043555</v>
      </c>
      <c r="H34" s="128">
        <f t="shared" si="2"/>
        <v>0</v>
      </c>
      <c r="I34" s="130">
        <f t="shared" si="7"/>
        <v>59.00509308043555</v>
      </c>
      <c r="J34" s="130">
        <f t="shared" si="8"/>
        <v>134.38999999999999</v>
      </c>
      <c r="K34" s="128">
        <f t="shared" si="3"/>
        <v>134.39000000000001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96.64</v>
      </c>
      <c r="E35" s="128">
        <f t="shared" si="1"/>
        <v>40.28</v>
      </c>
      <c r="F35" s="128">
        <f t="shared" si="5"/>
        <v>0.56000000000000005</v>
      </c>
      <c r="G35" s="130">
        <f t="shared" si="6"/>
        <v>60.361784334387082</v>
      </c>
      <c r="H35" s="128">
        <f t="shared" si="2"/>
        <v>0</v>
      </c>
      <c r="I35" s="130">
        <f t="shared" si="7"/>
        <v>60.361784334387082</v>
      </c>
      <c r="J35" s="130">
        <f t="shared" si="8"/>
        <v>137.47999999999999</v>
      </c>
      <c r="K35" s="128">
        <f t="shared" si="3"/>
        <v>137.48000000000002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98.86</v>
      </c>
      <c r="E36" s="128">
        <f t="shared" si="1"/>
        <v>41.21</v>
      </c>
      <c r="F36" s="128">
        <f t="shared" si="5"/>
        <v>0.56999999999999995</v>
      </c>
      <c r="G36" s="130">
        <f t="shared" si="6"/>
        <v>61.749209694415164</v>
      </c>
      <c r="H36" s="128">
        <f t="shared" si="2"/>
        <v>0</v>
      </c>
      <c r="I36" s="130">
        <f t="shared" si="7"/>
        <v>61.749209694415164</v>
      </c>
      <c r="J36" s="130">
        <f t="shared" si="8"/>
        <v>140.63999999999999</v>
      </c>
      <c r="K36" s="128">
        <f t="shared" si="3"/>
        <v>140.63999999999999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101.23</v>
      </c>
      <c r="E37" s="128">
        <f t="shared" si="1"/>
        <v>42.2</v>
      </c>
      <c r="F37" s="128">
        <f t="shared" si="5"/>
        <v>0.57999999999999996</v>
      </c>
      <c r="G37" s="130">
        <f t="shared" si="6"/>
        <v>63.228837372672999</v>
      </c>
      <c r="H37" s="128">
        <f t="shared" si="2"/>
        <v>0</v>
      </c>
      <c r="I37" s="130">
        <f t="shared" si="7"/>
        <v>63.228837372672999</v>
      </c>
      <c r="J37" s="130">
        <f t="shared" si="8"/>
        <v>144.01</v>
      </c>
      <c r="K37" s="128">
        <f t="shared" si="3"/>
        <v>144.01000000000002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62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38">
        <v>395.2</v>
      </c>
      <c r="P55" s="117" t="s">
        <v>32</v>
      </c>
      <c r="Q55" s="262" t="s">
        <v>150</v>
      </c>
      <c r="R55" s="262" t="s">
        <v>108</v>
      </c>
      <c r="T55" s="262" t="str">
        <f>$Q$55&amp;"Proposed Station Capital Costs"</f>
        <v>L1.YK1_PVSProposed Station Capital Costs</v>
      </c>
    </row>
    <row r="56" spans="2:25">
      <c r="B56" s="85" t="s">
        <v>101</v>
      </c>
      <c r="C56" s="256">
        <v>24.570618817436728</v>
      </c>
      <c r="D56" s="117" t="s">
        <v>68</v>
      </c>
      <c r="O56" s="338"/>
      <c r="P56" s="117" t="s">
        <v>32</v>
      </c>
      <c r="Q56" s="262"/>
      <c r="R56" s="119"/>
      <c r="T56" s="262" t="str">
        <f>$Q$55&amp;"Proposed Station Fixed Costs"</f>
        <v>L1.YK1_PVSProposed Station Fixed Costs</v>
      </c>
    </row>
    <row r="57" spans="2:25" ht="24" customHeight="1">
      <c r="B57" s="85"/>
      <c r="C57" s="258"/>
      <c r="D57" s="117" t="s">
        <v>105</v>
      </c>
      <c r="Q57" s="334" t="str">
        <f>Q55&amp;Q54</f>
        <v>L1.YK1_PVS2024</v>
      </c>
      <c r="T57" s="262" t="str">
        <f>$Q$55&amp;"Proposed Station Variable O&amp;M Costs"</f>
        <v>L1.YK1_PVSProposed Station Variable O&amp;M Costs</v>
      </c>
    </row>
    <row r="58" spans="2:25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263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0.39132049215213044</v>
      </c>
      <c r="D60" s="117" t="s">
        <v>218</v>
      </c>
      <c r="F60" s="262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57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195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N73" s="164"/>
    </row>
    <row r="74" spans="3:14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topLeftCell="A30" zoomScale="70" zoomScaleNormal="70" workbookViewId="0">
      <selection activeCell="K52" sqref="K5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T5" s="119"/>
      <c r="U5" s="119"/>
      <c r="V5" s="119"/>
      <c r="W5" s="119"/>
      <c r="X5" s="119"/>
      <c r="Y5" s="201"/>
      <c r="Z5" s="201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66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25.79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25.79</v>
      </c>
      <c r="L15" s="119"/>
      <c r="N15" s="117"/>
      <c r="O15" s="259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26.36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26.36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26.89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26.89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35">
        <v>1230.020455873758</v>
      </c>
      <c r="D18" s="128">
        <f>C18*$C$65</f>
        <v>62.546540181180596</v>
      </c>
      <c r="E18" s="128">
        <f t="shared" si="1"/>
        <v>27.43</v>
      </c>
      <c r="F18" s="128">
        <f>C63</f>
        <v>2.5818101631996475</v>
      </c>
      <c r="G18" s="130">
        <f t="shared" ref="G18:G37" si="4">(D18+E18+F18)/(8.76*$C$66)</f>
        <v>35.103062221961899</v>
      </c>
      <c r="H18" s="128">
        <f t="shared" si="2"/>
        <v>0</v>
      </c>
      <c r="I18" s="130">
        <f>(G18+H18)</f>
        <v>35.103062221961899</v>
      </c>
      <c r="J18" s="130">
        <f t="shared" ref="J18:J37" si="5">ROUND(I18*$C$66*8.76,2)</f>
        <v>92.56</v>
      </c>
      <c r="K18" s="128">
        <f t="shared" si="3"/>
        <v>92.558350344380244</v>
      </c>
      <c r="L18" s="119"/>
      <c r="N18" s="117"/>
      <c r="P18" s="268"/>
      <c r="Q18" s="153"/>
      <c r="R18" s="119"/>
      <c r="T18" s="161"/>
      <c r="U18" s="153"/>
      <c r="V18" s="153"/>
      <c r="X18" s="153"/>
      <c r="Y18" s="153"/>
      <c r="Z18" s="153"/>
      <c r="AA18" s="267"/>
      <c r="AB18" s="267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63.86</v>
      </c>
      <c r="E19" s="128">
        <f t="shared" si="1"/>
        <v>28.01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35.843231845143286</v>
      </c>
      <c r="H19" s="128">
        <f t="shared" si="2"/>
        <v>0</v>
      </c>
      <c r="I19" s="130">
        <f t="shared" ref="I19:I37" si="8">(G19+H19)</f>
        <v>35.843231845143286</v>
      </c>
      <c r="J19" s="130">
        <f t="shared" si="5"/>
        <v>94.51</v>
      </c>
      <c r="K19" s="128">
        <f t="shared" si="3"/>
        <v>94.51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65.260000000000005</v>
      </c>
      <c r="E20" s="128">
        <f t="shared" si="1"/>
        <v>28.63</v>
      </c>
      <c r="F20" s="128">
        <f t="shared" si="7"/>
        <v>2.7</v>
      </c>
      <c r="G20" s="130">
        <f t="shared" si="4"/>
        <v>36.63207876333076</v>
      </c>
      <c r="H20" s="128">
        <f t="shared" si="2"/>
        <v>0</v>
      </c>
      <c r="I20" s="130">
        <f t="shared" si="8"/>
        <v>36.63207876333076</v>
      </c>
      <c r="J20" s="130">
        <f t="shared" si="5"/>
        <v>96.59</v>
      </c>
      <c r="K20" s="128">
        <f t="shared" si="3"/>
        <v>96.59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66.760000000000005</v>
      </c>
      <c r="E21" s="128">
        <f t="shared" si="1"/>
        <v>29.29</v>
      </c>
      <c r="F21" s="128">
        <f t="shared" si="7"/>
        <v>2.76</v>
      </c>
      <c r="G21" s="130">
        <f t="shared" si="4"/>
        <v>37.474021147165473</v>
      </c>
      <c r="H21" s="128">
        <f t="shared" si="2"/>
        <v>0</v>
      </c>
      <c r="I21" s="130">
        <f t="shared" si="8"/>
        <v>37.474021147165473</v>
      </c>
      <c r="J21" s="130">
        <f t="shared" si="5"/>
        <v>98.81</v>
      </c>
      <c r="K21" s="128">
        <f t="shared" si="3"/>
        <v>98.810000000000016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68.3</v>
      </c>
      <c r="E22" s="128">
        <f t="shared" si="1"/>
        <v>29.96</v>
      </c>
      <c r="F22" s="128">
        <f t="shared" si="7"/>
        <v>2.82</v>
      </c>
      <c r="G22" s="130">
        <f t="shared" si="4"/>
        <v>38.33492619730275</v>
      </c>
      <c r="H22" s="128">
        <f t="shared" si="2"/>
        <v>0</v>
      </c>
      <c r="I22" s="130">
        <f t="shared" si="8"/>
        <v>38.33492619730275</v>
      </c>
      <c r="J22" s="130">
        <f t="shared" si="5"/>
        <v>101.08</v>
      </c>
      <c r="K22" s="128">
        <f t="shared" si="3"/>
        <v>101.07999999999998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69.87</v>
      </c>
      <c r="E23" s="128">
        <f t="shared" si="1"/>
        <v>30.65</v>
      </c>
      <c r="F23" s="128">
        <f t="shared" si="7"/>
        <v>2.88</v>
      </c>
      <c r="G23" s="130">
        <f t="shared" si="4"/>
        <v>39.214793913742632</v>
      </c>
      <c r="H23" s="128">
        <f t="shared" si="2"/>
        <v>0</v>
      </c>
      <c r="I23" s="130">
        <f t="shared" si="8"/>
        <v>39.214793913742632</v>
      </c>
      <c r="J23" s="130">
        <f t="shared" si="5"/>
        <v>103.4</v>
      </c>
      <c r="K23" s="128">
        <f t="shared" si="3"/>
        <v>103.4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71.48</v>
      </c>
      <c r="E24" s="128">
        <f t="shared" si="1"/>
        <v>31.35</v>
      </c>
      <c r="F24" s="128">
        <f t="shared" si="7"/>
        <v>2.95</v>
      </c>
      <c r="G24" s="130">
        <f t="shared" si="4"/>
        <v>40.117416829745608</v>
      </c>
      <c r="H24" s="128">
        <f t="shared" si="2"/>
        <v>0</v>
      </c>
      <c r="I24" s="130">
        <f t="shared" si="8"/>
        <v>40.117416829745608</v>
      </c>
      <c r="J24" s="130">
        <f t="shared" si="5"/>
        <v>105.78</v>
      </c>
      <c r="K24" s="128">
        <f t="shared" si="3"/>
        <v>105.78000000000002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73.12</v>
      </c>
      <c r="E25" s="128">
        <f t="shared" si="1"/>
        <v>32.07</v>
      </c>
      <c r="F25" s="128">
        <f t="shared" si="7"/>
        <v>3.02</v>
      </c>
      <c r="G25" s="130">
        <f t="shared" si="4"/>
        <v>41.039002412051154</v>
      </c>
      <c r="H25" s="128">
        <f t="shared" si="2"/>
        <v>0</v>
      </c>
      <c r="I25" s="130">
        <f t="shared" si="8"/>
        <v>41.039002412051154</v>
      </c>
      <c r="J25" s="130">
        <f t="shared" si="5"/>
        <v>108.21</v>
      </c>
      <c r="K25" s="128">
        <f t="shared" si="3"/>
        <v>108.21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74.8</v>
      </c>
      <c r="E26" s="128">
        <f t="shared" si="1"/>
        <v>32.81</v>
      </c>
      <c r="F26" s="128">
        <f t="shared" si="7"/>
        <v>3.09</v>
      </c>
      <c r="G26" s="130">
        <f t="shared" si="4"/>
        <v>41.983343193919815</v>
      </c>
      <c r="H26" s="128">
        <f t="shared" si="2"/>
        <v>0</v>
      </c>
      <c r="I26" s="130">
        <f t="shared" si="8"/>
        <v>41.983343193919815</v>
      </c>
      <c r="J26" s="130">
        <f t="shared" si="5"/>
        <v>110.7</v>
      </c>
      <c r="K26" s="128">
        <f t="shared" si="3"/>
        <v>110.7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76.52</v>
      </c>
      <c r="E27" s="128">
        <f t="shared" si="1"/>
        <v>33.56</v>
      </c>
      <c r="F27" s="128">
        <f t="shared" si="7"/>
        <v>3.16</v>
      </c>
      <c r="G27" s="130">
        <f t="shared" si="4"/>
        <v>42.946646642091054</v>
      </c>
      <c r="H27" s="128">
        <f t="shared" si="2"/>
        <v>0</v>
      </c>
      <c r="I27" s="130">
        <f t="shared" si="8"/>
        <v>42.946646642091054</v>
      </c>
      <c r="J27" s="130">
        <f t="shared" si="5"/>
        <v>113.24</v>
      </c>
      <c r="K27" s="128">
        <f t="shared" si="3"/>
        <v>113.24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78.28</v>
      </c>
      <c r="E28" s="128">
        <f t="shared" si="1"/>
        <v>34.33</v>
      </c>
      <c r="F28" s="128">
        <f t="shared" si="7"/>
        <v>3.23</v>
      </c>
      <c r="G28" s="130">
        <f t="shared" si="4"/>
        <v>43.9327052898254</v>
      </c>
      <c r="H28" s="128">
        <f t="shared" si="2"/>
        <v>0</v>
      </c>
      <c r="I28" s="130">
        <f t="shared" si="8"/>
        <v>43.9327052898254</v>
      </c>
      <c r="J28" s="130">
        <f t="shared" si="5"/>
        <v>115.84</v>
      </c>
      <c r="K28" s="128">
        <f t="shared" si="3"/>
        <v>115.84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80.08</v>
      </c>
      <c r="E29" s="128">
        <f t="shared" si="1"/>
        <v>35.119999999999997</v>
      </c>
      <c r="F29" s="128">
        <f t="shared" si="7"/>
        <v>3.3</v>
      </c>
      <c r="G29" s="130">
        <f t="shared" si="4"/>
        <v>44.941519137122832</v>
      </c>
      <c r="H29" s="128">
        <f t="shared" si="2"/>
        <v>0</v>
      </c>
      <c r="I29" s="130">
        <f t="shared" si="8"/>
        <v>44.941519137122832</v>
      </c>
      <c r="J29" s="130">
        <f t="shared" si="5"/>
        <v>118.5</v>
      </c>
      <c r="K29" s="128">
        <f t="shared" si="3"/>
        <v>118.49999999999999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81.92</v>
      </c>
      <c r="E30" s="128">
        <f t="shared" si="1"/>
        <v>35.93</v>
      </c>
      <c r="F30" s="128">
        <f t="shared" si="7"/>
        <v>3.38</v>
      </c>
      <c r="G30" s="130">
        <f t="shared" si="4"/>
        <v>45.976880717243887</v>
      </c>
      <c r="H30" s="128">
        <f t="shared" si="2"/>
        <v>0</v>
      </c>
      <c r="I30" s="130">
        <f t="shared" si="8"/>
        <v>45.976880717243887</v>
      </c>
      <c r="J30" s="130">
        <f t="shared" si="5"/>
        <v>121.23</v>
      </c>
      <c r="K30" s="128">
        <f t="shared" si="3"/>
        <v>121.22999999999999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83.8</v>
      </c>
      <c r="E31" s="128">
        <f t="shared" si="1"/>
        <v>36.76</v>
      </c>
      <c r="F31" s="128">
        <f t="shared" si="7"/>
        <v>3.46</v>
      </c>
      <c r="G31" s="130">
        <f t="shared" si="4"/>
        <v>47.03499749692805</v>
      </c>
      <c r="H31" s="128">
        <f t="shared" si="2"/>
        <v>0</v>
      </c>
      <c r="I31" s="130">
        <f t="shared" si="8"/>
        <v>47.03499749692805</v>
      </c>
      <c r="J31" s="130">
        <f t="shared" si="5"/>
        <v>124.02</v>
      </c>
      <c r="K31" s="128">
        <f t="shared" si="3"/>
        <v>124.02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85.73</v>
      </c>
      <c r="E32" s="128">
        <f t="shared" si="1"/>
        <v>37.61</v>
      </c>
      <c r="F32" s="128">
        <f t="shared" si="7"/>
        <v>3.54</v>
      </c>
      <c r="G32" s="130">
        <f t="shared" si="4"/>
        <v>48.119662009435828</v>
      </c>
      <c r="H32" s="128">
        <f t="shared" si="2"/>
        <v>0</v>
      </c>
      <c r="I32" s="130">
        <f t="shared" si="8"/>
        <v>48.119662009435828</v>
      </c>
      <c r="J32" s="130">
        <f t="shared" si="5"/>
        <v>126.88</v>
      </c>
      <c r="K32" s="128">
        <f t="shared" si="3"/>
        <v>126.88000000000001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87.7</v>
      </c>
      <c r="E33" s="128">
        <f t="shared" si="1"/>
        <v>38.479999999999997</v>
      </c>
      <c r="F33" s="128">
        <f t="shared" si="7"/>
        <v>3.62</v>
      </c>
      <c r="G33" s="130">
        <f t="shared" si="4"/>
        <v>49.227081721506707</v>
      </c>
      <c r="H33" s="128">
        <f t="shared" si="2"/>
        <v>0</v>
      </c>
      <c r="I33" s="130">
        <f t="shared" si="8"/>
        <v>49.227081721506707</v>
      </c>
      <c r="J33" s="130">
        <f t="shared" si="5"/>
        <v>129.80000000000001</v>
      </c>
      <c r="K33" s="128">
        <f t="shared" si="3"/>
        <v>129.80000000000001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89.72</v>
      </c>
      <c r="E34" s="128">
        <f t="shared" si="1"/>
        <v>39.369999999999997</v>
      </c>
      <c r="F34" s="128">
        <f t="shared" si="7"/>
        <v>3.7</v>
      </c>
      <c r="G34" s="130">
        <f t="shared" si="4"/>
        <v>50.361049166401187</v>
      </c>
      <c r="H34" s="128">
        <f t="shared" si="2"/>
        <v>0</v>
      </c>
      <c r="I34" s="130">
        <f t="shared" si="8"/>
        <v>50.361049166401187</v>
      </c>
      <c r="J34" s="130">
        <f t="shared" si="5"/>
        <v>132.79</v>
      </c>
      <c r="K34" s="128">
        <f t="shared" si="3"/>
        <v>132.79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91.78</v>
      </c>
      <c r="E35" s="128">
        <f t="shared" si="1"/>
        <v>40.28</v>
      </c>
      <c r="F35" s="128">
        <f t="shared" si="7"/>
        <v>3.79</v>
      </c>
      <c r="G35" s="130">
        <f t="shared" si="4"/>
        <v>51.521564344119298</v>
      </c>
      <c r="H35" s="128">
        <f t="shared" si="2"/>
        <v>0</v>
      </c>
      <c r="I35" s="130">
        <f t="shared" si="8"/>
        <v>51.521564344119298</v>
      </c>
      <c r="J35" s="130">
        <f t="shared" si="5"/>
        <v>135.85</v>
      </c>
      <c r="K35" s="128">
        <f t="shared" si="3"/>
        <v>135.85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93.89</v>
      </c>
      <c r="E36" s="128">
        <f t="shared" si="1"/>
        <v>41.21</v>
      </c>
      <c r="F36" s="128">
        <f t="shared" si="7"/>
        <v>3.88</v>
      </c>
      <c r="G36" s="130">
        <f t="shared" si="4"/>
        <v>52.708627254661025</v>
      </c>
      <c r="H36" s="128">
        <f t="shared" si="2"/>
        <v>0</v>
      </c>
      <c r="I36" s="130">
        <f t="shared" si="8"/>
        <v>52.708627254661025</v>
      </c>
      <c r="J36" s="130">
        <f t="shared" si="5"/>
        <v>138.97999999999999</v>
      </c>
      <c r="K36" s="128">
        <f t="shared" si="3"/>
        <v>138.97999999999999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96.14</v>
      </c>
      <c r="E37" s="128">
        <f t="shared" si="1"/>
        <v>42.2</v>
      </c>
      <c r="F37" s="128">
        <f t="shared" si="7"/>
        <v>3.97</v>
      </c>
      <c r="G37" s="130">
        <f t="shared" si="4"/>
        <v>53.97154083041309</v>
      </c>
      <c r="H37" s="128">
        <f t="shared" si="2"/>
        <v>0</v>
      </c>
      <c r="I37" s="130">
        <f t="shared" si="8"/>
        <v>53.97154083041309</v>
      </c>
      <c r="J37" s="130">
        <f t="shared" si="5"/>
        <v>142.31</v>
      </c>
      <c r="K37" s="128">
        <f t="shared" si="3"/>
        <v>142.31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96.14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42.2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3.97</v>
      </c>
      <c r="G38" s="130">
        <f t="shared" ref="G38:G40" si="12">(D38+E38+F38)/(8.76*$C$66)</f>
        <v>53.97154083041309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53.97154083041309</v>
      </c>
      <c r="J38" s="130">
        <f t="shared" ref="J38:J41" si="15">ROUND(I38*$C$66*8.76,2)</f>
        <v>142.31</v>
      </c>
      <c r="K38" s="128">
        <f t="shared" ref="K38:K40" si="16">(D38+E38+F38)</f>
        <v>142.31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96.14</v>
      </c>
      <c r="E39" s="128">
        <f t="shared" si="10"/>
        <v>42.2</v>
      </c>
      <c r="F39" s="128">
        <f t="shared" si="11"/>
        <v>3.97</v>
      </c>
      <c r="G39" s="130">
        <f t="shared" si="12"/>
        <v>53.97154083041309</v>
      </c>
      <c r="H39" s="128">
        <f t="shared" si="13"/>
        <v>0</v>
      </c>
      <c r="I39" s="130">
        <f t="shared" si="14"/>
        <v>53.97154083041309</v>
      </c>
      <c r="J39" s="130">
        <f t="shared" si="15"/>
        <v>142.31</v>
      </c>
      <c r="K39" s="128">
        <f t="shared" si="16"/>
        <v>142.31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96.14</v>
      </c>
      <c r="E40" s="128">
        <f t="shared" si="10"/>
        <v>42.2</v>
      </c>
      <c r="F40" s="128">
        <f t="shared" si="11"/>
        <v>3.97</v>
      </c>
      <c r="G40" s="130">
        <f t="shared" si="12"/>
        <v>53.97154083041309</v>
      </c>
      <c r="H40" s="128">
        <f t="shared" si="13"/>
        <v>0</v>
      </c>
      <c r="I40" s="130">
        <f t="shared" si="14"/>
        <v>53.97154083041309</v>
      </c>
      <c r="J40" s="130">
        <f t="shared" si="15"/>
        <v>142.31</v>
      </c>
      <c r="K40" s="128">
        <f t="shared" si="16"/>
        <v>142.31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96.14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42.2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3.97</v>
      </c>
      <c r="G41" s="130">
        <f t="shared" ref="G41" si="20">(D41+E41+F41)/(8.76*$C$66)</f>
        <v>53.97154083041309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53.97154083041309</v>
      </c>
      <c r="J41" s="130">
        <f t="shared" si="15"/>
        <v>142.31</v>
      </c>
      <c r="K41" s="128">
        <f t="shared" ref="K41" si="23">(D41+E41+F41)</f>
        <v>142.31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62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70">
        <v>342.2</v>
      </c>
      <c r="P58" s="117" t="s">
        <v>32</v>
      </c>
      <c r="Q58" s="262" t="s">
        <v>142</v>
      </c>
      <c r="R58" s="262" t="s">
        <v>108</v>
      </c>
      <c r="T58" s="262" t="str">
        <f>$Q$58&amp;"Proposed Station Capital Costs"</f>
        <v>L1.UN1_PVSProposed Station Capital Costs</v>
      </c>
    </row>
    <row r="59" spans="2:25">
      <c r="B59" s="85" t="s">
        <v>101</v>
      </c>
      <c r="C59" s="256">
        <v>24.570618817436728</v>
      </c>
      <c r="D59" s="117" t="s">
        <v>68</v>
      </c>
      <c r="R59" s="119"/>
      <c r="T59" s="262" t="str">
        <f>$Q$58&amp;"Proposed Station Fixed Costs"</f>
        <v>L1.UN1_PVSProposed Station Fixed Costs</v>
      </c>
    </row>
    <row r="60" spans="2:25" ht="24" customHeight="1">
      <c r="B60" s="85"/>
      <c r="C60" s="258"/>
      <c r="D60" s="117" t="s">
        <v>105</v>
      </c>
      <c r="Q60" s="334" t="str">
        <f>Q58&amp;Q57</f>
        <v>L1.UN1_PVS2024</v>
      </c>
      <c r="T60" s="262" t="str">
        <f>$Q$58&amp;"Proposed Station Variable O&amp;M Costs"</f>
        <v>L1.UN1_PVSProposed Station Variable O&amp;M Costs</v>
      </c>
    </row>
    <row r="61" spans="2:25">
      <c r="B61" s="85" t="s">
        <v>101</v>
      </c>
      <c r="C61" s="256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263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84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57" t="str">
        <f>LEFT(RIGHT(INDEX('Table 3 TransCost'!$39:$39,1,MATCH(F63,'Table 3 TransCost'!$4:$4,0)),6),5)</f>
        <v>2024$</v>
      </c>
      <c r="C63" s="258">
        <f>INDEX('Table 3 TransCost'!$39:$39,1,MATCH(F63,'Table 3 TransCost'!$4:$4,0)+2)</f>
        <v>2.5818101631996475</v>
      </c>
      <c r="D63" s="117" t="s">
        <v>218</v>
      </c>
      <c r="F63" s="262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87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57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195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December 31, 2020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2.1999999999999999E-2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1.9E-2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0.02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2.3E-2</v>
      </c>
      <c r="N75" s="164"/>
    </row>
    <row r="76" spans="3:15" s="119" customFormat="1">
      <c r="C76" s="87">
        <f t="shared" si="24"/>
        <v>2024</v>
      </c>
      <c r="D76" s="41">
        <v>0.02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2.3E-2</v>
      </c>
      <c r="N76" s="164"/>
    </row>
    <row r="77" spans="3:15" s="119" customFormat="1">
      <c r="C77" s="87">
        <f t="shared" si="24"/>
        <v>2025</v>
      </c>
      <c r="D77" s="41">
        <v>2.1000000000000001E-2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2.4E-2</v>
      </c>
      <c r="N77" s="164"/>
    </row>
    <row r="78" spans="3:15" s="119" customFormat="1">
      <c r="I78" s="87">
        <f t="shared" si="26"/>
        <v>2044</v>
      </c>
      <c r="J78" s="41">
        <v>2.4E-2</v>
      </c>
      <c r="N78" s="164"/>
    </row>
    <row r="79" spans="3:15" s="119" customFormat="1">
      <c r="I79" s="87">
        <f t="shared" si="26"/>
        <v>2045</v>
      </c>
      <c r="J79" s="41">
        <v>2.4E-2</v>
      </c>
      <c r="N79" s="164"/>
    </row>
    <row r="80" spans="3:15">
      <c r="I80" s="87">
        <f t="shared" si="26"/>
        <v>2046</v>
      </c>
      <c r="J80" s="41">
        <v>2.4E-2</v>
      </c>
    </row>
    <row r="81" spans="3:10">
      <c r="I81" s="87">
        <f t="shared" si="26"/>
        <v>2047</v>
      </c>
      <c r="J81" s="41">
        <v>2.4E-2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2" zoomScale="80" zoomScaleNormal="80" workbookViewId="0">
      <selection activeCell="C75" sqref="C75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31" ht="15.75">
      <c r="B2" s="1"/>
      <c r="C2" s="271"/>
      <c r="D2" s="271"/>
      <c r="E2" s="271"/>
      <c r="F2" s="271"/>
      <c r="G2" s="271"/>
      <c r="H2" s="271"/>
      <c r="I2" s="271"/>
      <c r="J2" s="271"/>
      <c r="K2" s="271"/>
    </row>
    <row r="3" spans="2:31" ht="15.75">
      <c r="B3" s="1" t="s">
        <v>56</v>
      </c>
      <c r="C3" s="271"/>
      <c r="D3" s="271"/>
      <c r="E3" s="271"/>
      <c r="F3" s="271"/>
      <c r="G3" s="271"/>
      <c r="H3" s="271"/>
      <c r="I3" s="271"/>
      <c r="J3" s="271"/>
      <c r="K3" s="271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71"/>
      <c r="D4" s="271"/>
      <c r="E4" s="271"/>
      <c r="F4" s="271"/>
      <c r="G4" s="271"/>
      <c r="H4" s="271"/>
      <c r="I4" s="271"/>
      <c r="J4" s="271"/>
      <c r="K4" s="271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71"/>
      <c r="D5" s="271"/>
      <c r="E5" s="271"/>
      <c r="F5" s="271"/>
      <c r="G5" s="271"/>
      <c r="H5" s="271"/>
      <c r="I5" s="271"/>
      <c r="J5" s="271"/>
      <c r="K5" s="271"/>
    </row>
    <row r="6" spans="2:31" ht="15.75">
      <c r="B6" s="1"/>
      <c r="C6" s="271"/>
      <c r="D6" s="271"/>
      <c r="E6" s="271"/>
      <c r="F6" s="271"/>
      <c r="G6" s="271"/>
      <c r="H6" s="271"/>
      <c r="I6" s="271"/>
      <c r="K6" s="272"/>
    </row>
    <row r="7" spans="2:31">
      <c r="B7" s="273"/>
      <c r="C7" s="273"/>
      <c r="D7" s="273"/>
      <c r="E7" s="273"/>
      <c r="F7" s="273"/>
      <c r="G7" s="273"/>
      <c r="H7" s="273"/>
      <c r="I7" s="271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74" t="s">
        <v>21</v>
      </c>
      <c r="J8" s="274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75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69"/>
      <c r="AA9" s="369"/>
      <c r="AB9" s="119"/>
      <c r="AC9" s="119"/>
      <c r="AD9" s="86"/>
      <c r="AE9" s="86"/>
    </row>
    <row r="10" spans="2:31">
      <c r="C10" s="276" t="s">
        <v>1</v>
      </c>
      <c r="D10" s="276" t="s">
        <v>2</v>
      </c>
      <c r="E10" s="276" t="s">
        <v>3</v>
      </c>
      <c r="F10" s="276" t="s">
        <v>4</v>
      </c>
      <c r="G10" s="276" t="s">
        <v>5</v>
      </c>
      <c r="H10" s="276" t="s">
        <v>7</v>
      </c>
      <c r="I10" s="276" t="s">
        <v>22</v>
      </c>
      <c r="J10" s="276" t="s">
        <v>23</v>
      </c>
      <c r="K10" s="276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73"/>
      <c r="J12" s="273"/>
      <c r="K12" s="273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75" customHeight="1">
      <c r="B13" s="277"/>
      <c r="C13" s="278"/>
      <c r="D13" s="279"/>
      <c r="E13" s="280"/>
      <c r="F13" s="280"/>
      <c r="G13" s="281"/>
      <c r="H13" s="281"/>
      <c r="I13" s="281"/>
      <c r="J13" s="281"/>
      <c r="K13" s="281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77">
        <v>2016</v>
      </c>
      <c r="C14" s="278"/>
      <c r="D14" s="279"/>
      <c r="E14" s="280"/>
      <c r="F14" s="280"/>
      <c r="G14" s="281"/>
      <c r="H14" s="281"/>
      <c r="I14" s="281"/>
      <c r="J14" s="281"/>
      <c r="K14" s="281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77">
        <f t="shared" ref="B15:B40" si="0">B14+1</f>
        <v>2017</v>
      </c>
      <c r="C15" s="282"/>
      <c r="D15" s="279"/>
      <c r="E15" s="279"/>
      <c r="F15" s="279"/>
      <c r="G15" s="283"/>
      <c r="H15" s="283"/>
      <c r="I15" s="281"/>
      <c r="J15" s="281"/>
      <c r="K15" s="281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77">
        <f t="shared" si="0"/>
        <v>2018</v>
      </c>
      <c r="C16" s="278"/>
      <c r="D16" s="279"/>
      <c r="E16" s="128"/>
      <c r="F16" s="280">
        <f>$J$63</f>
        <v>7.76</v>
      </c>
      <c r="G16" s="281"/>
      <c r="H16" s="281"/>
      <c r="I16" s="281"/>
      <c r="J16" s="281"/>
      <c r="K16" s="281"/>
      <c r="L16" s="128">
        <f t="shared" ref="L16:L40" si="1">(E16+F16+G16)</f>
        <v>7.76</v>
      </c>
      <c r="M16" s="41"/>
      <c r="U16" s="164"/>
      <c r="V16" s="160"/>
      <c r="W16" s="160"/>
      <c r="X16" s="370"/>
      <c r="Y16" s="119"/>
      <c r="Z16" s="160"/>
      <c r="AA16" s="160"/>
      <c r="AB16" s="119"/>
      <c r="AC16" s="119"/>
      <c r="AD16" s="86"/>
      <c r="AE16" s="86"/>
    </row>
    <row r="17" spans="2:31">
      <c r="B17" s="277">
        <f t="shared" si="0"/>
        <v>2019</v>
      </c>
      <c r="C17" s="282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81"/>
      <c r="H17" s="281"/>
      <c r="I17" s="281"/>
      <c r="J17" s="281"/>
      <c r="K17" s="281"/>
      <c r="L17" s="128">
        <f t="shared" si="1"/>
        <v>7.9</v>
      </c>
      <c r="M17" s="41"/>
      <c r="U17" s="164"/>
      <c r="V17" s="119"/>
      <c r="W17" s="160"/>
      <c r="X17" s="370"/>
      <c r="Y17" s="119"/>
      <c r="Z17" s="160"/>
      <c r="AA17" s="160"/>
      <c r="AB17" s="119"/>
      <c r="AC17" s="119"/>
      <c r="AD17" s="86"/>
      <c r="AE17" s="86"/>
    </row>
    <row r="18" spans="2:31">
      <c r="B18" s="277">
        <f t="shared" si="0"/>
        <v>2020</v>
      </c>
      <c r="C18" s="282"/>
      <c r="D18" s="128"/>
      <c r="E18" s="128"/>
      <c r="F18" s="128">
        <f t="shared" si="2"/>
        <v>7.99</v>
      </c>
      <c r="G18" s="281"/>
      <c r="H18" s="281"/>
      <c r="I18" s="281"/>
      <c r="J18" s="281"/>
      <c r="K18" s="281"/>
      <c r="L18" s="128">
        <f t="shared" si="1"/>
        <v>7.99</v>
      </c>
      <c r="M18" s="41"/>
      <c r="U18" s="164"/>
      <c r="V18" s="119"/>
      <c r="W18" s="160"/>
      <c r="X18" s="370"/>
      <c r="Y18" s="119"/>
      <c r="Z18" s="160"/>
      <c r="AA18" s="160"/>
      <c r="AB18" s="119"/>
      <c r="AC18" s="119"/>
      <c r="AD18" s="86"/>
      <c r="AE18" s="86"/>
    </row>
    <row r="19" spans="2:31">
      <c r="B19" s="277">
        <f t="shared" si="0"/>
        <v>2021</v>
      </c>
      <c r="C19" s="282"/>
      <c r="D19" s="128"/>
      <c r="E19" s="128"/>
      <c r="F19" s="128">
        <f t="shared" si="2"/>
        <v>8.14</v>
      </c>
      <c r="G19" s="281"/>
      <c r="H19" s="281"/>
      <c r="I19" s="281"/>
      <c r="J19" s="281"/>
      <c r="K19" s="281"/>
      <c r="L19" s="128">
        <f t="shared" si="1"/>
        <v>8.14</v>
      </c>
      <c r="M19" s="41"/>
      <c r="U19" s="164"/>
      <c r="V19" s="160"/>
      <c r="W19" s="160"/>
      <c r="X19" s="370"/>
      <c r="Y19" s="160"/>
      <c r="Z19" s="160"/>
      <c r="AA19" s="160"/>
      <c r="AB19" s="119"/>
      <c r="AC19" s="119"/>
      <c r="AD19" s="86"/>
      <c r="AE19" s="86"/>
    </row>
    <row r="20" spans="2:31">
      <c r="B20" s="277">
        <f t="shared" si="0"/>
        <v>2022</v>
      </c>
      <c r="C20" s="282"/>
      <c r="D20" s="128"/>
      <c r="E20" s="128"/>
      <c r="F20" s="128">
        <f t="shared" si="2"/>
        <v>8.32</v>
      </c>
      <c r="G20" s="281"/>
      <c r="H20" s="281"/>
      <c r="I20" s="281"/>
      <c r="J20" s="281"/>
      <c r="K20" s="281"/>
      <c r="L20" s="128">
        <f t="shared" si="1"/>
        <v>8.32</v>
      </c>
      <c r="M20" s="41"/>
      <c r="U20" s="164"/>
      <c r="V20" s="160"/>
      <c r="W20" s="160"/>
      <c r="X20" s="370"/>
      <c r="Y20" s="160"/>
      <c r="Z20" s="160"/>
      <c r="AA20" s="160"/>
      <c r="AB20" s="119"/>
      <c r="AC20" s="119"/>
      <c r="AD20" s="86"/>
      <c r="AE20" s="86"/>
    </row>
    <row r="21" spans="2:31">
      <c r="B21" s="277">
        <f t="shared" si="0"/>
        <v>2023</v>
      </c>
      <c r="C21" s="282"/>
      <c r="D21" s="128"/>
      <c r="E21" s="128"/>
      <c r="F21" s="128">
        <f t="shared" si="2"/>
        <v>8.49</v>
      </c>
      <c r="G21" s="281"/>
      <c r="H21" s="281"/>
      <c r="I21" s="281"/>
      <c r="J21" s="281"/>
      <c r="K21" s="281"/>
      <c r="L21" s="128">
        <f t="shared" si="1"/>
        <v>8.49</v>
      </c>
      <c r="M21" s="41"/>
      <c r="U21" s="164"/>
      <c r="V21" s="160"/>
      <c r="W21" s="160"/>
      <c r="X21" s="370"/>
      <c r="Y21" s="160"/>
      <c r="Z21" s="160"/>
      <c r="AA21" s="160"/>
      <c r="AB21" s="119"/>
      <c r="AC21" s="119"/>
      <c r="AD21" s="86"/>
      <c r="AE21" s="86"/>
    </row>
    <row r="22" spans="2:31">
      <c r="B22" s="277">
        <f t="shared" si="0"/>
        <v>2024</v>
      </c>
      <c r="C22" s="282"/>
      <c r="D22" s="128"/>
      <c r="E22" s="128"/>
      <c r="F22" s="128">
        <f t="shared" si="2"/>
        <v>8.66</v>
      </c>
      <c r="G22" s="281"/>
      <c r="H22" s="281"/>
      <c r="I22" s="281"/>
      <c r="J22" s="281"/>
      <c r="K22" s="281"/>
      <c r="L22" s="128">
        <f t="shared" si="1"/>
        <v>8.66</v>
      </c>
      <c r="M22" s="41"/>
      <c r="U22" s="164"/>
      <c r="V22" s="160"/>
      <c r="W22" s="160"/>
      <c r="X22" s="370"/>
      <c r="Y22" s="160"/>
      <c r="Z22" s="160"/>
      <c r="AA22" s="160"/>
      <c r="AB22" s="119"/>
      <c r="AC22" s="119"/>
      <c r="AD22" s="86"/>
      <c r="AE22" s="86"/>
    </row>
    <row r="23" spans="2:31">
      <c r="B23" s="277">
        <f t="shared" si="0"/>
        <v>2025</v>
      </c>
      <c r="C23" s="282"/>
      <c r="D23" s="128"/>
      <c r="E23" s="128"/>
      <c r="F23" s="128">
        <f t="shared" si="2"/>
        <v>8.84</v>
      </c>
      <c r="G23" s="281"/>
      <c r="H23" s="281"/>
      <c r="I23" s="281"/>
      <c r="J23" s="281"/>
      <c r="K23" s="281"/>
      <c r="L23" s="128">
        <f t="shared" si="1"/>
        <v>8.84</v>
      </c>
      <c r="M23" s="41"/>
      <c r="U23" s="164"/>
      <c r="V23" s="160"/>
      <c r="W23" s="160"/>
      <c r="X23" s="370"/>
      <c r="Y23" s="160"/>
      <c r="Z23" s="160"/>
      <c r="AA23" s="160"/>
      <c r="AB23" s="119"/>
      <c r="AC23" s="119"/>
      <c r="AD23" s="86"/>
      <c r="AE23" s="86"/>
    </row>
    <row r="24" spans="2:31">
      <c r="B24" s="277">
        <f t="shared" si="0"/>
        <v>2026</v>
      </c>
      <c r="C24" s="335">
        <v>718.66414277988076</v>
      </c>
      <c r="D24" s="279">
        <f>ROUND(C24*$C$74,2)</f>
        <v>50.01</v>
      </c>
      <c r="E24" s="256">
        <v>38.05330989724176</v>
      </c>
      <c r="F24" s="128">
        <f t="shared" si="2"/>
        <v>9.0299999999999994</v>
      </c>
      <c r="G24" s="281">
        <f t="shared" ref="G24:G36" si="3">ROUND(F24*(8.76*$G$63)+E24,2)</f>
        <v>64.16</v>
      </c>
      <c r="H24" s="281">
        <f t="shared" ref="H24:H36" si="4">ROUND(D24+G24,2)</f>
        <v>114.17</v>
      </c>
      <c r="I24" s="281">
        <f>VLOOKUP(B24,'Table 4'!$B$13:$D$43,3,FALSE)</f>
        <v>3.59</v>
      </c>
      <c r="J24" s="281">
        <f t="shared" ref="J24:J36" si="5">ROUND($K$63*I24/1000,2)</f>
        <v>35.130000000000003</v>
      </c>
      <c r="K24" s="281">
        <f t="shared" ref="K24:K36" si="6">ROUND(H24*1000/8760/$G$63+J24,2)</f>
        <v>74.62</v>
      </c>
      <c r="L24" s="128">
        <f t="shared" si="1"/>
        <v>111.24330989724176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77">
        <f t="shared" si="0"/>
        <v>2027</v>
      </c>
      <c r="C25" s="282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9.24</v>
      </c>
      <c r="G25" s="281">
        <f t="shared" si="3"/>
        <v>65.64</v>
      </c>
      <c r="H25" s="281">
        <f t="shared" si="4"/>
        <v>116.8</v>
      </c>
      <c r="I25" s="281">
        <f>VLOOKUP(B25,'Table 4'!$B$13:$D$43,3,FALSE)</f>
        <v>3.68</v>
      </c>
      <c r="J25" s="281">
        <f t="shared" si="5"/>
        <v>36.01</v>
      </c>
      <c r="K25" s="281">
        <f t="shared" si="6"/>
        <v>76.41</v>
      </c>
      <c r="L25" s="128">
        <f t="shared" si="1"/>
        <v>113.81</v>
      </c>
      <c r="M25" s="41"/>
      <c r="P25" s="339"/>
      <c r="U25" s="371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77">
        <f t="shared" si="0"/>
        <v>2028</v>
      </c>
      <c r="C26" s="282"/>
      <c r="D26" s="128">
        <f t="shared" si="7"/>
        <v>52.34</v>
      </c>
      <c r="E26" s="128">
        <f t="shared" si="8"/>
        <v>39.83</v>
      </c>
      <c r="F26" s="128">
        <f t="shared" si="2"/>
        <v>9.4499999999999993</v>
      </c>
      <c r="G26" s="281">
        <f t="shared" si="3"/>
        <v>67.150000000000006</v>
      </c>
      <c r="H26" s="281">
        <f t="shared" si="4"/>
        <v>119.49</v>
      </c>
      <c r="I26" s="281">
        <f>VLOOKUP(B26,'Table 4'!$B$13:$D$43,3,FALSE)</f>
        <v>3.87</v>
      </c>
      <c r="J26" s="281">
        <f t="shared" si="5"/>
        <v>37.869999999999997</v>
      </c>
      <c r="K26" s="281">
        <f t="shared" si="6"/>
        <v>79.2</v>
      </c>
      <c r="L26" s="128">
        <f t="shared" si="1"/>
        <v>116.43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77">
        <f t="shared" si="0"/>
        <v>2029</v>
      </c>
      <c r="C27" s="282"/>
      <c r="D27" s="128">
        <f t="shared" si="7"/>
        <v>53.54</v>
      </c>
      <c r="E27" s="128">
        <f t="shared" si="8"/>
        <v>40.75</v>
      </c>
      <c r="F27" s="128">
        <f t="shared" si="2"/>
        <v>9.67</v>
      </c>
      <c r="G27" s="281">
        <f t="shared" si="3"/>
        <v>68.7</v>
      </c>
      <c r="H27" s="281">
        <f t="shared" si="4"/>
        <v>122.24</v>
      </c>
      <c r="I27" s="281">
        <f>VLOOKUP(B27,'Table 4'!$B$13:$D$43,3,FALSE)</f>
        <v>4.1399999999999997</v>
      </c>
      <c r="J27" s="281">
        <f t="shared" si="5"/>
        <v>40.51</v>
      </c>
      <c r="K27" s="281">
        <f t="shared" si="6"/>
        <v>82.8</v>
      </c>
      <c r="L27" s="128">
        <f t="shared" si="1"/>
        <v>119.12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86" customFormat="1">
      <c r="B28" s="284">
        <f t="shared" si="0"/>
        <v>2030</v>
      </c>
      <c r="C28" s="285"/>
      <c r="D28" s="128">
        <f t="shared" si="7"/>
        <v>54.77</v>
      </c>
      <c r="E28" s="128">
        <f t="shared" si="8"/>
        <v>41.69</v>
      </c>
      <c r="F28" s="128">
        <f t="shared" si="2"/>
        <v>9.89</v>
      </c>
      <c r="G28" s="281">
        <f t="shared" si="3"/>
        <v>70.28</v>
      </c>
      <c r="H28" s="281">
        <f t="shared" si="4"/>
        <v>125.05</v>
      </c>
      <c r="I28" s="281">
        <f>VLOOKUP(B28,'Table 4'!$B$13:$D$43,3,FALSE)</f>
        <v>4.4400000000000004</v>
      </c>
      <c r="J28" s="281">
        <f t="shared" si="5"/>
        <v>43.45</v>
      </c>
      <c r="K28" s="281">
        <f t="shared" si="6"/>
        <v>86.71</v>
      </c>
      <c r="L28" s="128">
        <f t="shared" si="1"/>
        <v>121.86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72"/>
      <c r="AE28" s="372"/>
    </row>
    <row r="29" spans="2:31" s="286" customFormat="1">
      <c r="B29" s="284">
        <f t="shared" si="0"/>
        <v>2031</v>
      </c>
      <c r="C29" s="285"/>
      <c r="D29" s="128">
        <f t="shared" si="7"/>
        <v>56.03</v>
      </c>
      <c r="E29" s="128">
        <f t="shared" si="8"/>
        <v>42.65</v>
      </c>
      <c r="F29" s="128">
        <f t="shared" si="2"/>
        <v>10.119999999999999</v>
      </c>
      <c r="G29" s="281">
        <f t="shared" si="3"/>
        <v>71.900000000000006</v>
      </c>
      <c r="H29" s="281">
        <f t="shared" si="4"/>
        <v>127.93</v>
      </c>
      <c r="I29" s="281">
        <f>VLOOKUP(B29,'Table 4'!$B$13:$D$43,3,FALSE)</f>
        <v>4.63</v>
      </c>
      <c r="J29" s="281">
        <f t="shared" si="5"/>
        <v>45.31</v>
      </c>
      <c r="K29" s="281">
        <f t="shared" si="6"/>
        <v>89.56</v>
      </c>
      <c r="L29" s="128">
        <f t="shared" si="1"/>
        <v>124.67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72"/>
      <c r="AE29" s="372"/>
    </row>
    <row r="30" spans="2:31" s="286" customFormat="1">
      <c r="B30" s="284">
        <f t="shared" si="0"/>
        <v>2032</v>
      </c>
      <c r="C30" s="285"/>
      <c r="D30" s="128">
        <f t="shared" si="7"/>
        <v>57.32</v>
      </c>
      <c r="E30" s="128">
        <f t="shared" si="8"/>
        <v>43.63</v>
      </c>
      <c r="F30" s="128">
        <f t="shared" si="2"/>
        <v>10.35</v>
      </c>
      <c r="G30" s="281">
        <f t="shared" si="3"/>
        <v>73.55</v>
      </c>
      <c r="H30" s="281">
        <f t="shared" si="4"/>
        <v>130.87</v>
      </c>
      <c r="I30" s="281">
        <f>VLOOKUP(B30,'Table 4'!$B$13:$D$43,3,FALSE)</f>
        <v>4.67</v>
      </c>
      <c r="J30" s="281">
        <f t="shared" si="5"/>
        <v>45.7</v>
      </c>
      <c r="K30" s="281">
        <f t="shared" si="6"/>
        <v>90.97</v>
      </c>
      <c r="L30" s="128">
        <f t="shared" si="1"/>
        <v>127.53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72"/>
      <c r="AE30" s="372"/>
    </row>
    <row r="31" spans="2:31" s="286" customFormat="1">
      <c r="B31" s="284">
        <f t="shared" si="0"/>
        <v>2033</v>
      </c>
      <c r="C31" s="285"/>
      <c r="D31" s="128">
        <f t="shared" si="7"/>
        <v>58.64</v>
      </c>
      <c r="E31" s="128">
        <f t="shared" si="8"/>
        <v>44.63</v>
      </c>
      <c r="F31" s="128">
        <f t="shared" si="2"/>
        <v>10.59</v>
      </c>
      <c r="G31" s="281">
        <f t="shared" si="3"/>
        <v>75.239999999999995</v>
      </c>
      <c r="H31" s="281">
        <f t="shared" si="4"/>
        <v>133.88</v>
      </c>
      <c r="I31" s="281">
        <f>VLOOKUP(B31,'Table 4'!$B$13:$D$43,3,FALSE)</f>
        <v>4.8</v>
      </c>
      <c r="J31" s="281">
        <f t="shared" si="5"/>
        <v>46.97</v>
      </c>
      <c r="K31" s="281">
        <f t="shared" si="6"/>
        <v>93.28</v>
      </c>
      <c r="L31" s="128">
        <f t="shared" si="1"/>
        <v>130.45999999999998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72"/>
      <c r="AE31" s="372"/>
    </row>
    <row r="32" spans="2:31" s="286" customFormat="1">
      <c r="B32" s="284">
        <f t="shared" si="0"/>
        <v>2034</v>
      </c>
      <c r="C32" s="285"/>
      <c r="D32" s="128">
        <f t="shared" si="7"/>
        <v>59.99</v>
      </c>
      <c r="E32" s="128">
        <f t="shared" si="8"/>
        <v>45.66</v>
      </c>
      <c r="F32" s="128">
        <f t="shared" si="2"/>
        <v>10.83</v>
      </c>
      <c r="G32" s="281">
        <f t="shared" si="3"/>
        <v>76.97</v>
      </c>
      <c r="H32" s="281">
        <f t="shared" si="4"/>
        <v>136.96</v>
      </c>
      <c r="I32" s="281">
        <f>VLOOKUP(B32,'Table 4'!$B$13:$D$43,3,FALSE)</f>
        <v>4.96</v>
      </c>
      <c r="J32" s="281">
        <f t="shared" si="5"/>
        <v>48.54</v>
      </c>
      <c r="K32" s="281">
        <f t="shared" si="6"/>
        <v>95.92</v>
      </c>
      <c r="L32" s="128">
        <f t="shared" si="1"/>
        <v>133.45999999999998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72"/>
      <c r="AE32" s="372"/>
    </row>
    <row r="33" spans="2:31">
      <c r="B33" s="277">
        <f t="shared" si="0"/>
        <v>2035</v>
      </c>
      <c r="C33" s="282"/>
      <c r="D33" s="128">
        <f t="shared" si="7"/>
        <v>61.37</v>
      </c>
      <c r="E33" s="128">
        <f t="shared" si="8"/>
        <v>46.71</v>
      </c>
      <c r="F33" s="128">
        <f t="shared" si="2"/>
        <v>11.08</v>
      </c>
      <c r="G33" s="281">
        <f t="shared" si="3"/>
        <v>78.739999999999995</v>
      </c>
      <c r="H33" s="281">
        <f t="shared" si="4"/>
        <v>140.11000000000001</v>
      </c>
      <c r="I33" s="281">
        <f>VLOOKUP(B33,'Table 4'!$B$13:$D$43,3,FALSE)</f>
        <v>5.09</v>
      </c>
      <c r="J33" s="281">
        <f t="shared" si="5"/>
        <v>49.81</v>
      </c>
      <c r="K33" s="281">
        <f t="shared" si="6"/>
        <v>98.28</v>
      </c>
      <c r="L33" s="128">
        <f t="shared" si="1"/>
        <v>136.53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77">
        <f t="shared" si="0"/>
        <v>2036</v>
      </c>
      <c r="C34" s="282"/>
      <c r="D34" s="128">
        <f t="shared" si="7"/>
        <v>62.78</v>
      </c>
      <c r="E34" s="128">
        <f t="shared" si="8"/>
        <v>47.78</v>
      </c>
      <c r="F34" s="128">
        <f t="shared" si="2"/>
        <v>11.33</v>
      </c>
      <c r="G34" s="281">
        <f t="shared" si="3"/>
        <v>80.53</v>
      </c>
      <c r="H34" s="281">
        <f t="shared" si="4"/>
        <v>143.31</v>
      </c>
      <c r="I34" s="281">
        <f>VLOOKUP(B34,'Table 4'!$B$13:$D$43,3,FALSE)</f>
        <v>5.25</v>
      </c>
      <c r="J34" s="281">
        <f t="shared" si="5"/>
        <v>51.38</v>
      </c>
      <c r="K34" s="281">
        <f t="shared" si="6"/>
        <v>100.95</v>
      </c>
      <c r="L34" s="128">
        <f t="shared" si="1"/>
        <v>139.63999999999999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77">
        <f t="shared" si="0"/>
        <v>2037</v>
      </c>
      <c r="C35" s="282"/>
      <c r="D35" s="128">
        <f t="shared" si="7"/>
        <v>64.22</v>
      </c>
      <c r="E35" s="128">
        <f t="shared" si="8"/>
        <v>48.88</v>
      </c>
      <c r="F35" s="128">
        <f t="shared" si="2"/>
        <v>11.59</v>
      </c>
      <c r="G35" s="281">
        <f t="shared" si="3"/>
        <v>82.38</v>
      </c>
      <c r="H35" s="281">
        <f t="shared" si="4"/>
        <v>146.6</v>
      </c>
      <c r="I35" s="281">
        <f>VLOOKUP(B35,'Table 4'!$B$13:$D$43,3,FALSE)</f>
        <v>5.27</v>
      </c>
      <c r="J35" s="281">
        <f t="shared" si="5"/>
        <v>51.57</v>
      </c>
      <c r="K35" s="281">
        <f t="shared" si="6"/>
        <v>102.28</v>
      </c>
      <c r="L35" s="128">
        <f t="shared" si="1"/>
        <v>142.85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77">
        <f t="shared" si="0"/>
        <v>2038</v>
      </c>
      <c r="C36" s="282"/>
      <c r="D36" s="128">
        <f t="shared" si="7"/>
        <v>65.7</v>
      </c>
      <c r="E36" s="128">
        <f t="shared" si="8"/>
        <v>50</v>
      </c>
      <c r="F36" s="128">
        <f t="shared" si="2"/>
        <v>11.86</v>
      </c>
      <c r="G36" s="281">
        <f t="shared" si="3"/>
        <v>84.28</v>
      </c>
      <c r="H36" s="281">
        <f t="shared" si="4"/>
        <v>149.97999999999999</v>
      </c>
      <c r="I36" s="281">
        <f>VLOOKUP(B36,'Table 4'!$B$13:$D$43,3,FALSE)</f>
        <v>5.66</v>
      </c>
      <c r="J36" s="281">
        <f t="shared" si="5"/>
        <v>55.39</v>
      </c>
      <c r="K36" s="281">
        <f t="shared" si="6"/>
        <v>107.27</v>
      </c>
      <c r="L36" s="128">
        <f t="shared" si="1"/>
        <v>146.13999999999999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77">
        <f t="shared" si="0"/>
        <v>2039</v>
      </c>
      <c r="C37" s="282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67.209999999999994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51.15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12.13</v>
      </c>
      <c r="G37" s="281">
        <f t="shared" ref="G37:G40" si="12">ROUND(F37*(8.76*$G$63)+E37,2)</f>
        <v>86.22</v>
      </c>
      <c r="H37" s="281">
        <f t="shared" ref="H37:H40" si="13">ROUND(D37+G37,2)</f>
        <v>153.43</v>
      </c>
      <c r="I37" s="281">
        <f>VLOOKUP(B37,'Table 4'!$B$13:$D$43,3,FALSE)</f>
        <v>6.2</v>
      </c>
      <c r="J37" s="281">
        <f t="shared" ref="J37:J40" si="14">ROUND($K$63*I37/1000,2)</f>
        <v>60.67</v>
      </c>
      <c r="K37" s="281">
        <f t="shared" ref="K37:K40" si="15">ROUND(H37*1000/8760/$G$63+J37,2)</f>
        <v>113.75</v>
      </c>
      <c r="L37" s="128">
        <f t="shared" si="1"/>
        <v>149.5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77">
        <f t="shared" si="0"/>
        <v>2040</v>
      </c>
      <c r="C38" s="282"/>
      <c r="D38" s="128">
        <f t="shared" si="9"/>
        <v>68.760000000000005</v>
      </c>
      <c r="E38" s="128">
        <f t="shared" si="10"/>
        <v>52.33</v>
      </c>
      <c r="F38" s="128">
        <f t="shared" si="11"/>
        <v>12.41</v>
      </c>
      <c r="G38" s="281">
        <f t="shared" si="12"/>
        <v>88.2</v>
      </c>
      <c r="H38" s="281">
        <f t="shared" si="13"/>
        <v>156.96</v>
      </c>
      <c r="I38" s="281">
        <f>VLOOKUP(B38,'Table 4'!$B$13:$D$43,3,FALSE)</f>
        <v>6.57</v>
      </c>
      <c r="J38" s="281">
        <f t="shared" si="14"/>
        <v>64.290000000000006</v>
      </c>
      <c r="K38" s="281">
        <f t="shared" si="15"/>
        <v>118.59</v>
      </c>
      <c r="L38" s="128">
        <f t="shared" si="1"/>
        <v>152.94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77">
        <f t="shared" si="0"/>
        <v>2041</v>
      </c>
      <c r="C39" s="282"/>
      <c r="D39" s="128">
        <f t="shared" si="9"/>
        <v>70.34</v>
      </c>
      <c r="E39" s="128">
        <f t="shared" si="10"/>
        <v>53.53</v>
      </c>
      <c r="F39" s="128">
        <f t="shared" si="11"/>
        <v>12.7</v>
      </c>
      <c r="G39" s="281">
        <f t="shared" si="12"/>
        <v>90.24</v>
      </c>
      <c r="H39" s="281">
        <f t="shared" si="13"/>
        <v>160.58000000000001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6.72</v>
      </c>
      <c r="J39" s="281">
        <f t="shared" si="14"/>
        <v>65.760000000000005</v>
      </c>
      <c r="K39" s="281">
        <f t="shared" si="15"/>
        <v>121.31</v>
      </c>
      <c r="L39" s="128">
        <f t="shared" si="1"/>
        <v>156.47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77">
        <f t="shared" si="0"/>
        <v>2042</v>
      </c>
      <c r="C40" s="282"/>
      <c r="D40" s="128">
        <f t="shared" si="9"/>
        <v>71.959999999999994</v>
      </c>
      <c r="E40" s="128">
        <f t="shared" si="10"/>
        <v>54.76</v>
      </c>
      <c r="F40" s="128">
        <f t="shared" si="11"/>
        <v>12.99</v>
      </c>
      <c r="G40" s="281">
        <f t="shared" si="12"/>
        <v>92.31</v>
      </c>
      <c r="H40" s="281">
        <f t="shared" si="13"/>
        <v>164.27</v>
      </c>
      <c r="I40" s="128">
        <f t="shared" si="16"/>
        <v>6.87</v>
      </c>
      <c r="J40" s="281">
        <f t="shared" si="14"/>
        <v>67.23</v>
      </c>
      <c r="K40" s="281">
        <f t="shared" si="15"/>
        <v>124.06</v>
      </c>
      <c r="L40" s="128">
        <f t="shared" si="1"/>
        <v>160.06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77"/>
      <c r="O41" s="287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77"/>
      <c r="N42" s="287"/>
      <c r="O42" s="287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288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289" t="str">
        <f>D10</f>
        <v>(b)</v>
      </c>
      <c r="D45" s="281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289" t="str">
        <f>G10</f>
        <v>(e)</v>
      </c>
      <c r="D46" s="281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289" t="str">
        <f>H10</f>
        <v>(f)</v>
      </c>
      <c r="D47" s="281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289" t="str">
        <f>I10</f>
        <v>(g)</v>
      </c>
      <c r="D48" s="290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289" t="str">
        <f>J10</f>
        <v>(h)</v>
      </c>
      <c r="D49" s="281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289" t="str">
        <f>K10</f>
        <v>(i)</v>
      </c>
      <c r="D50" s="281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291"/>
      <c r="E52" s="291"/>
      <c r="F52" s="291"/>
      <c r="G52" s="291"/>
      <c r="H52" s="291"/>
      <c r="I52" s="291"/>
      <c r="J52" s="292"/>
      <c r="K52" s="293"/>
    </row>
    <row r="53" spans="3:31" ht="5.25" customHeight="1"/>
    <row r="54" spans="3:31" ht="5.25" customHeight="1"/>
    <row r="55" spans="3:31">
      <c r="C55" s="294" t="s">
        <v>118</v>
      </c>
      <c r="D55" s="295"/>
      <c r="E55" s="294"/>
      <c r="F55" s="296" t="s">
        <v>32</v>
      </c>
      <c r="G55" s="296" t="s">
        <v>119</v>
      </c>
      <c r="H55" s="296" t="s">
        <v>120</v>
      </c>
      <c r="I55" s="296" t="s">
        <v>33</v>
      </c>
    </row>
    <row r="56" spans="3:31">
      <c r="C56" s="286" t="s">
        <v>121</v>
      </c>
      <c r="F56" s="297">
        <f>C67</f>
        <v>185</v>
      </c>
      <c r="G56" s="41">
        <f>F56/F58</f>
        <v>1</v>
      </c>
      <c r="H56" s="298">
        <f>C68</f>
        <v>745.12812495389073</v>
      </c>
      <c r="I56" s="299">
        <f>C71</f>
        <v>31.908814304665992</v>
      </c>
      <c r="P56" s="117"/>
      <c r="Q56" s="117" t="s">
        <v>103</v>
      </c>
      <c r="R56" s="262">
        <v>2026</v>
      </c>
      <c r="S56" s="117"/>
      <c r="T56" s="117"/>
      <c r="U56" s="117"/>
    </row>
    <row r="57" spans="3:31">
      <c r="C57" s="286"/>
      <c r="F57" s="300">
        <f>D67</f>
        <v>0</v>
      </c>
      <c r="G57" s="301">
        <f>1-G56</f>
        <v>0</v>
      </c>
      <c r="H57" s="302">
        <f>D68</f>
        <v>0</v>
      </c>
      <c r="I57" s="303">
        <f>D71</f>
        <v>0</v>
      </c>
      <c r="P57" s="338">
        <v>184.90000000000006</v>
      </c>
      <c r="Q57" s="117" t="s">
        <v>32</v>
      </c>
      <c r="R57" s="262" t="s">
        <v>151</v>
      </c>
      <c r="S57" s="262"/>
      <c r="T57" s="117"/>
      <c r="U57" s="262" t="str">
        <f>$R$57&amp;"Proposed Station Capital Costs"</f>
        <v>I_NTN_SC_FRMProposed Station Capital Costs</v>
      </c>
    </row>
    <row r="58" spans="3:31">
      <c r="C58" s="286" t="s">
        <v>122</v>
      </c>
      <c r="F58" s="297">
        <f>F56+F57</f>
        <v>185</v>
      </c>
      <c r="G58" s="41">
        <f>G56+G57</f>
        <v>1</v>
      </c>
      <c r="H58" s="298">
        <f>ROUND(((F56*H56)+(F57*H57))/F58,0)</f>
        <v>745</v>
      </c>
      <c r="I58" s="299">
        <f>ROUND(((F56*I56)+(F57*I57))/F58,2)</f>
        <v>31.91</v>
      </c>
      <c r="P58" s="338"/>
      <c r="Q58" s="117" t="s">
        <v>32</v>
      </c>
      <c r="R58" s="262"/>
      <c r="S58" s="119"/>
      <c r="T58" s="117"/>
      <c r="U58" s="262" t="str">
        <f>$R$57&amp;"Proposed Station Fixed Costs"</f>
        <v>I_NTN_SC_FRMProposed Station Fixed Costs</v>
      </c>
    </row>
    <row r="59" spans="3:31">
      <c r="C59" s="286"/>
      <c r="F59" s="297"/>
      <c r="G59" s="41"/>
      <c r="H59" s="304"/>
      <c r="I59" s="305"/>
      <c r="P59" s="117"/>
      <c r="Q59" s="117"/>
      <c r="R59" s="334" t="str">
        <f>R57&amp;R56</f>
        <v>I_NTN_SC_FRM2026</v>
      </c>
      <c r="S59" s="117"/>
      <c r="T59" s="117"/>
      <c r="U59" s="262" t="str">
        <f>$R$57&amp;"Proposed Station Variable O&amp;M Costs"</f>
        <v>I_NTN_SC_FRMProposed Station Variable O&amp;M Costs</v>
      </c>
    </row>
    <row r="60" spans="3:31">
      <c r="C60" s="306" t="s">
        <v>118</v>
      </c>
      <c r="D60" s="295"/>
      <c r="E60" s="294"/>
      <c r="F60" s="296" t="s">
        <v>32</v>
      </c>
      <c r="G60" s="296" t="s">
        <v>34</v>
      </c>
      <c r="H60" s="296" t="s">
        <v>123</v>
      </c>
      <c r="I60" s="296" t="s">
        <v>119</v>
      </c>
      <c r="J60" s="296" t="s">
        <v>124</v>
      </c>
      <c r="K60" s="296" t="s">
        <v>125</v>
      </c>
    </row>
    <row r="61" spans="3:31">
      <c r="C61" s="307" t="str">
        <f>C56</f>
        <v>SCCT Dry "F" - Turbine</v>
      </c>
      <c r="D61" s="308"/>
      <c r="E61" s="308"/>
      <c r="F61" s="85">
        <f>C67</f>
        <v>185</v>
      </c>
      <c r="G61" s="41">
        <f>C75</f>
        <v>0.33</v>
      </c>
      <c r="H61" s="309">
        <f>G61*F61</f>
        <v>61.050000000000004</v>
      </c>
      <c r="I61" s="41">
        <f>H61/H63</f>
        <v>1</v>
      </c>
      <c r="J61" s="305">
        <f>C72</f>
        <v>7.7612665227267676</v>
      </c>
      <c r="K61" s="310">
        <f>C73</f>
        <v>9786.4587359536672</v>
      </c>
    </row>
    <row r="62" spans="3:31">
      <c r="C62" s="307">
        <f>C57</f>
        <v>0</v>
      </c>
      <c r="D62" s="308"/>
      <c r="E62" s="308"/>
      <c r="F62" s="311">
        <f>D67</f>
        <v>0</v>
      </c>
      <c r="G62" s="301">
        <f>D75</f>
        <v>0</v>
      </c>
      <c r="H62" s="312">
        <f>G62*F62</f>
        <v>0</v>
      </c>
      <c r="I62" s="301">
        <f>1-I61</f>
        <v>0</v>
      </c>
      <c r="J62" s="313">
        <f>D72</f>
        <v>0</v>
      </c>
      <c r="K62" s="314">
        <f>D73</f>
        <v>0</v>
      </c>
    </row>
    <row r="63" spans="3:31">
      <c r="C63" s="286" t="s">
        <v>126</v>
      </c>
      <c r="F63" s="85">
        <f>F61+F62</f>
        <v>185</v>
      </c>
      <c r="G63" s="315">
        <f>ROUND(H63/F63,3)</f>
        <v>0.33</v>
      </c>
      <c r="H63" s="309">
        <f>SUM(H61:H62)</f>
        <v>61.050000000000004</v>
      </c>
      <c r="I63" s="41">
        <f>I61+I62</f>
        <v>1</v>
      </c>
      <c r="J63" s="305">
        <f>ROUND(($I61*J61)+($I62*J62),2)</f>
        <v>7.76</v>
      </c>
      <c r="K63" s="316">
        <f>ROUND(($I61*K61)+($I62*K62),0)</f>
        <v>9786</v>
      </c>
    </row>
    <row r="64" spans="3:31">
      <c r="G64" s="315"/>
      <c r="I64" s="41"/>
      <c r="J64" s="305"/>
      <c r="K64" s="317" t="s">
        <v>127</v>
      </c>
    </row>
    <row r="66" spans="2:29">
      <c r="C66" s="296" t="s">
        <v>128</v>
      </c>
      <c r="D66" s="296" t="s">
        <v>129</v>
      </c>
      <c r="E66" s="318" t="str">
        <f>D44</f>
        <v xml:space="preserve">Plant Costs  - 2019 IRP - Table 6.1 &amp; 6.2 </v>
      </c>
      <c r="F66" s="319"/>
      <c r="G66" s="319"/>
      <c r="H66" s="319"/>
      <c r="I66" s="319"/>
      <c r="J66" s="319"/>
      <c r="K66" s="320"/>
    </row>
    <row r="67" spans="2:29">
      <c r="C67" s="328">
        <v>185</v>
      </c>
      <c r="E67" s="85" t="s">
        <v>130</v>
      </c>
      <c r="H67" s="321"/>
    </row>
    <row r="68" spans="2:29">
      <c r="B68" s="85" t="s">
        <v>101</v>
      </c>
      <c r="C68" s="327">
        <v>745.12812495389073</v>
      </c>
      <c r="D68" s="304"/>
      <c r="E68" s="85" t="s">
        <v>131</v>
      </c>
      <c r="M68" s="326"/>
    </row>
    <row r="69" spans="2:29">
      <c r="B69" s="85" t="s">
        <v>101</v>
      </c>
      <c r="C69" s="330">
        <v>17.005460468665991</v>
      </c>
      <c r="D69" s="305"/>
      <c r="E69" s="85" t="s">
        <v>132</v>
      </c>
    </row>
    <row r="70" spans="2:29">
      <c r="B70" s="85" t="s">
        <v>101</v>
      </c>
      <c r="C70" s="331">
        <v>14.903353836000001</v>
      </c>
      <c r="D70" s="322"/>
      <c r="E70" s="85" t="s">
        <v>133</v>
      </c>
    </row>
    <row r="71" spans="2:29">
      <c r="B71" s="85" t="s">
        <v>101</v>
      </c>
      <c r="C71" s="305">
        <f>C69+C70</f>
        <v>31.908814304665992</v>
      </c>
      <c r="D71" s="305"/>
      <c r="E71" s="85" t="s">
        <v>134</v>
      </c>
    </row>
    <row r="72" spans="2:29">
      <c r="B72" s="85" t="s">
        <v>101</v>
      </c>
      <c r="C72" s="330">
        <v>7.7612665227267676</v>
      </c>
      <c r="D72" s="305"/>
      <c r="E72" s="85" t="s">
        <v>135</v>
      </c>
    </row>
    <row r="73" spans="2:29">
      <c r="C73" s="333">
        <v>9786.4587359536672</v>
      </c>
      <c r="D73" s="316"/>
      <c r="E73" s="85" t="s">
        <v>136</v>
      </c>
    </row>
    <row r="74" spans="2:29">
      <c r="C74" s="329">
        <v>6.9588491515316389E-2</v>
      </c>
      <c r="D74" s="323"/>
      <c r="E74" s="85" t="s">
        <v>36</v>
      </c>
      <c r="AB74" s="119"/>
      <c r="AC74" s="119"/>
    </row>
    <row r="75" spans="2:29">
      <c r="C75" s="332">
        <v>0.33</v>
      </c>
      <c r="D75" s="324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15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December 31, 2020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2.1999999999999999E-2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1.9E-2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0.02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2.3E-2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0.02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2.3E-2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2.1000000000000001E-2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2.4E-2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25"/>
    </row>
    <row r="93" spans="3:29">
      <c r="D93" s="325"/>
    </row>
  </sheetData>
  <printOptions horizontalCentered="1"/>
  <pageMargins left="0.25" right="0.25" top="0.75" bottom="0.75" header="0.3" footer="0.3"/>
  <pageSetup scale="94" fitToHeight="0" orientation="portrait" r:id="rId1"/>
  <headerFooter alignWithMargins="0"/>
  <rowBreaks count="1" manualBreakCount="1">
    <brk id="5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75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</v>
      </c>
      <c r="I15" s="130"/>
      <c r="J15" s="130"/>
      <c r="K15" s="128">
        <f t="shared" si="1"/>
        <v>0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10.73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10.94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11.16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11.39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11.64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11.91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12.18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35">
        <v>1709.591836734694</v>
      </c>
      <c r="D23" s="128">
        <f>C23*$C$62</f>
        <v>117.94474081632653</v>
      </c>
      <c r="E23" s="256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12.46</v>
      </c>
      <c r="I23" s="130">
        <f>(G23+H23)</f>
        <v>56.578924791790222</v>
      </c>
      <c r="J23" s="130">
        <f t="shared" ref="J23" si="2">ROUND(I23*$C$63*8.76,2)</f>
        <v>183.88</v>
      </c>
      <c r="K23" s="128">
        <f t="shared" si="1"/>
        <v>143.38474081632654</v>
      </c>
      <c r="L23" s="119"/>
      <c r="N23" s="117"/>
      <c r="P23" s="185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56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12.75</v>
      </c>
      <c r="I24" s="130">
        <f t="shared" ref="I24:I37" si="5">(G24+H24)</f>
        <v>57.864464203138702</v>
      </c>
      <c r="J24" s="130">
        <f t="shared" ref="J24:J32" si="6">ROUND(I24*$C$63*8.76,2)</f>
        <v>188.06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56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13.04</v>
      </c>
      <c r="I25" s="130">
        <f t="shared" si="5"/>
        <v>59.201321671525761</v>
      </c>
      <c r="J25" s="130">
        <f t="shared" si="6"/>
        <v>192.4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56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13.34</v>
      </c>
      <c r="I26" s="130">
        <f t="shared" si="5"/>
        <v>60.566640905596074</v>
      </c>
      <c r="J26" s="130">
        <f t="shared" si="6"/>
        <v>196.84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56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13.65</v>
      </c>
      <c r="I27" s="130">
        <f t="shared" si="5"/>
        <v>61.960421905349669</v>
      </c>
      <c r="J27" s="130">
        <f t="shared" si="6"/>
        <v>201.37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56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13.96</v>
      </c>
      <c r="I28" s="130">
        <f t="shared" si="5"/>
        <v>63.375741631733753</v>
      </c>
      <c r="J28" s="130">
        <f t="shared" si="6"/>
        <v>205.97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56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13.96</v>
      </c>
      <c r="I29" s="130">
        <f t="shared" si="5"/>
        <v>64.502600084748309</v>
      </c>
      <c r="J29" s="130">
        <f t="shared" si="6"/>
        <v>209.63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56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13.96</v>
      </c>
      <c r="I30" s="130">
        <f t="shared" si="5"/>
        <v>65.650997264393339</v>
      </c>
      <c r="J30" s="130">
        <f t="shared" si="6"/>
        <v>213.36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56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13.96</v>
      </c>
      <c r="I31" s="130">
        <f t="shared" si="5"/>
        <v>66.852330731354698</v>
      </c>
      <c r="J31" s="130">
        <f t="shared" si="6"/>
        <v>217.27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56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13.96</v>
      </c>
      <c r="I32" s="130">
        <f t="shared" si="5"/>
        <v>68.075202924946524</v>
      </c>
      <c r="J32" s="130">
        <f t="shared" si="6"/>
        <v>221.24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13.96</v>
      </c>
      <c r="I33" s="130">
        <f t="shared" si="5"/>
        <v>69.32068136223215</v>
      </c>
      <c r="J33" s="130">
        <f t="shared" ref="J33:J37" si="7">ROUND(I33*$C$63*8.76,2)</f>
        <v>225.29</v>
      </c>
      <c r="K33" s="128">
        <f t="shared" si="1"/>
        <v>179.92</v>
      </c>
      <c r="L33" s="119"/>
      <c r="N33" s="117"/>
      <c r="AA33" s="265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13.96</v>
      </c>
      <c r="I34" s="130">
        <f t="shared" si="5"/>
        <v>70.594543194377792</v>
      </c>
      <c r="J34" s="130">
        <f t="shared" si="7"/>
        <v>229.43</v>
      </c>
      <c r="K34" s="128">
        <f t="shared" si="1"/>
        <v>184.06</v>
      </c>
      <c r="L34" s="119"/>
      <c r="N34" s="117"/>
      <c r="AA34" s="265"/>
    </row>
    <row r="35" spans="2:27">
      <c r="B35" s="135">
        <f t="shared" si="0"/>
        <v>2041</v>
      </c>
      <c r="C35" s="136"/>
      <c r="D35" s="128">
        <f t="shared" si="3"/>
        <v>154.94999999999999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32.78</v>
      </c>
      <c r="F35" s="128">
        <f>INDEX('Table 3 PV wS YK_2024'!$F$10:$F$38,MATCH(B35,'Table 3 PV wS YK_2024'!$B$10:$B$38,0),1)</f>
        <v>0.56000000000000005</v>
      </c>
      <c r="G35" s="130">
        <f t="shared" si="4"/>
        <v>57.936097675048309</v>
      </c>
      <c r="H35" s="128">
        <f>ROUND(H34*(1+(IFERROR(INDEX($D$66:$D$74,MATCH($B35,$C$66:$C$74,0),1),0)+IFERROR(INDEX($G$66:$G$74,MATCH($B35,$F$66:$F$74,0),1),0)+IFERROR(INDEX(#REF!,MATCH($B35,$I$66:$I$74,0),1),0))),2)</f>
        <v>13.96</v>
      </c>
      <c r="I35" s="130">
        <f t="shared" si="5"/>
        <v>71.89609767504831</v>
      </c>
      <c r="J35" s="130">
        <f t="shared" si="7"/>
        <v>233.66</v>
      </c>
      <c r="K35" s="128">
        <f t="shared" si="1"/>
        <v>188.29</v>
      </c>
      <c r="L35" s="119"/>
      <c r="N35" s="117"/>
      <c r="AA35" s="265"/>
    </row>
    <row r="36" spans="2:27">
      <c r="B36" s="135">
        <f t="shared" si="0"/>
        <v>2042</v>
      </c>
      <c r="C36" s="136"/>
      <c r="D36" s="128">
        <f t="shared" si="3"/>
        <v>158.51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33.53</v>
      </c>
      <c r="F36" s="128">
        <f>INDEX('Table 3 PV wS YK_2024'!$F$10:$F$38,MATCH(B36,'Table 3 PV wS YK_2024'!$B$10:$B$38,0),1)</f>
        <v>0.56999999999999995</v>
      </c>
      <c r="G36" s="130">
        <f t="shared" si="4"/>
        <v>59.265344804243746</v>
      </c>
      <c r="H36" s="128">
        <f>ROUND(H35*(1+(IFERROR(INDEX($D$66:$D$74,MATCH($B36,$C$66:$C$74,0),1),0)+IFERROR(INDEX($G$66:$G$74,MATCH($B36,$F$66:$F$74,0),1),0)+IFERROR(INDEX(#REF!,MATCH($B36,$I$66:$I$74,0),1),0))),2)</f>
        <v>13.96</v>
      </c>
      <c r="I36" s="130">
        <f t="shared" si="5"/>
        <v>73.225344804243747</v>
      </c>
      <c r="J36" s="130">
        <f t="shared" si="7"/>
        <v>237.98</v>
      </c>
      <c r="K36" s="128">
        <f t="shared" si="1"/>
        <v>192.60999999999999</v>
      </c>
      <c r="L36" s="119"/>
      <c r="N36" s="117"/>
      <c r="AA36" s="265"/>
    </row>
    <row r="37" spans="2:27">
      <c r="B37" s="135">
        <f t="shared" si="0"/>
        <v>2043</v>
      </c>
      <c r="C37" s="136"/>
      <c r="D37" s="128">
        <f t="shared" si="3"/>
        <v>162.31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34.33</v>
      </c>
      <c r="F37" s="128">
        <f>INDEX('Table 3 PV wS YK_2024'!$F$10:$F$38,MATCH(B37,'Table 3 PV wS YK_2024'!$B$10:$B$38,0),1)</f>
        <v>0.57999999999999996</v>
      </c>
      <c r="G37" s="130">
        <f t="shared" si="4"/>
        <v>60.683823800908321</v>
      </c>
      <c r="H37" s="128">
        <f>ROUND(H36*(1+(IFERROR(INDEX($D$66:$D$74,MATCH($B37,$C$66:$C$74,0),1),0)+IFERROR(INDEX($G$66:$G$74,MATCH($B37,$F$66:$F$74,0),1),0)+IFERROR(INDEX(#REF!,MATCH($B37,$I$66:$I$74,0),1),0))),2)</f>
        <v>13.96</v>
      </c>
      <c r="I37" s="130">
        <f t="shared" si="5"/>
        <v>74.643823800908322</v>
      </c>
      <c r="J37" s="130">
        <f t="shared" si="7"/>
        <v>242.59</v>
      </c>
      <c r="K37" s="128">
        <f t="shared" si="1"/>
        <v>197.22</v>
      </c>
      <c r="L37" s="119"/>
      <c r="N37" s="117"/>
      <c r="AA37" s="265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65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65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65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65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65"/>
    </row>
    <row r="43" spans="2:27">
      <c r="AA43" s="265"/>
    </row>
    <row r="44" spans="2:27">
      <c r="B44" s="117" t="s">
        <v>63</v>
      </c>
      <c r="C44" s="140" t="s">
        <v>64</v>
      </c>
      <c r="D44" s="141" t="s">
        <v>102</v>
      </c>
      <c r="AA44" s="265"/>
    </row>
    <row r="45" spans="2:27">
      <c r="C45" s="140" t="str">
        <f>C7</f>
        <v>(a)</v>
      </c>
      <c r="D45" s="117" t="s">
        <v>65</v>
      </c>
      <c r="AA45" s="265"/>
    </row>
    <row r="46" spans="2:27">
      <c r="C46" s="140" t="str">
        <f>D7</f>
        <v>(b)</v>
      </c>
      <c r="D46" s="130" t="str">
        <f>"= "&amp;C7&amp;" x "&amp;C62</f>
        <v>= (a) x 0.06899</v>
      </c>
      <c r="AA46" s="265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65"/>
    </row>
    <row r="48" spans="2:27">
      <c r="C48" s="140" t="str">
        <f>I7</f>
        <v>(g)</v>
      </c>
      <c r="D48" s="130" t="str">
        <f>"= "&amp;$G$7&amp;" + "&amp;$H$7</f>
        <v>= (e) + (f)</v>
      </c>
      <c r="AA48" s="265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65"/>
    </row>
    <row r="50" spans="2:27">
      <c r="C50" s="140"/>
      <c r="D50" s="130"/>
      <c r="AA50" s="265"/>
    </row>
    <row r="51" spans="2:27" ht="13.5" thickBot="1">
      <c r="AA51" s="265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65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65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56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66">
        <f>PMT(0.0692,30,NPV(0.0692,AA23:AA52))</f>
        <v>0</v>
      </c>
    </row>
    <row r="57" spans="2:27" ht="24" customHeight="1">
      <c r="B57" s="85"/>
      <c r="C57" s="258"/>
      <c r="D57" s="117" t="s">
        <v>105</v>
      </c>
    </row>
    <row r="58" spans="2:27">
      <c r="B58" s="85" t="s">
        <v>101</v>
      </c>
      <c r="C58" s="256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0.39132049215213044</v>
      </c>
      <c r="D60" s="117" t="s">
        <v>218</v>
      </c>
      <c r="F60" s="262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1.9E-2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0.02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0.02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2.3E-2</v>
      </c>
      <c r="N73" s="164"/>
    </row>
    <row r="74" spans="3:14" s="119" customFormat="1">
      <c r="C74" s="87">
        <f t="shared" si="12"/>
        <v>2025</v>
      </c>
      <c r="D74" s="41">
        <v>2.1000000000000001E-2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  <c r="Y5" s="369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75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59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35">
        <v>1672.135761589404</v>
      </c>
      <c r="D26" s="128">
        <f>C26*$C$62</f>
        <v>115.36064619205297</v>
      </c>
      <c r="E26" s="256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56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56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56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56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56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56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141.55000000000001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ID Wind_2030'!$F$10:$F$38,MATCH(B35,'Table 3 ID Wind_2030'!$B$10:$B$38,0),1)</f>
        <v>15.53</v>
      </c>
      <c r="G35" s="130">
        <f t="shared" si="4"/>
        <v>58.4068726999717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58.4068726999717</v>
      </c>
      <c r="J35" s="130">
        <f t="shared" si="6"/>
        <v>189.82</v>
      </c>
      <c r="K35" s="128">
        <f t="shared" si="1"/>
        <v>189.82000000000002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144.81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33.49</v>
      </c>
      <c r="F36" s="128">
        <f>INDEX('Table 3 ID Wind_2030'!$F$10:$F$38,MATCH(B36,'Table 3 ID Wind_2030'!$B$10:$B$38,0),1)</f>
        <v>15.89</v>
      </c>
      <c r="G36" s="130">
        <f t="shared" si="4"/>
        <v>59.751504633903188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59.751504633903188</v>
      </c>
      <c r="J36" s="130">
        <f t="shared" si="6"/>
        <v>194.19</v>
      </c>
      <c r="K36" s="128">
        <f t="shared" si="1"/>
        <v>194.19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148.29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34.29</v>
      </c>
      <c r="F37" s="128">
        <f>INDEX('Table 3 ID Wind_2030'!$F$10:$F$38,MATCH(B37,'Table 3 ID Wind_2030'!$B$10:$B$38,0),1)</f>
        <v>16.27</v>
      </c>
      <c r="G37" s="130">
        <f t="shared" si="4"/>
        <v>61.185368435303822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61.185368435303822</v>
      </c>
      <c r="J37" s="130">
        <f t="shared" si="6"/>
        <v>198.85</v>
      </c>
      <c r="K37" s="128">
        <f t="shared" si="1"/>
        <v>198.85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56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66">
        <f>PMT(0.0692,30,NPV(0.0692,AA23:AA52))</f>
        <v>0</v>
      </c>
    </row>
    <row r="57" spans="2:27" ht="24" customHeight="1">
      <c r="B57" s="85"/>
      <c r="C57" s="258"/>
      <c r="D57" s="117" t="s">
        <v>105</v>
      </c>
    </row>
    <row r="58" spans="2:27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12.097273854334603</v>
      </c>
      <c r="D60" s="117" t="s">
        <v>218</v>
      </c>
      <c r="F60" s="262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1.9E-2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0.02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0.02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2.3E-2</v>
      </c>
      <c r="N73" s="164"/>
    </row>
    <row r="74" spans="3:14" s="119" customFormat="1">
      <c r="C74" s="87">
        <f t="shared" si="11"/>
        <v>2025</v>
      </c>
      <c r="D74" s="41">
        <v>2.1000000000000001E-2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E23" sqref="E2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5'!$B$12:$B$228,FALSE)+ROW('Table 5'!B11)</f>
        <v>13</v>
      </c>
      <c r="DB3" s="181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2020.Q4 - 100.0 MW and 100.0%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0" t="s">
        <v>74</v>
      </c>
      <c r="AM7" s="200"/>
    </row>
    <row r="8" spans="2:107" s="197" customFormat="1" ht="40.5" customHeight="1">
      <c r="B8" s="188"/>
      <c r="C8" s="188"/>
      <c r="D8" s="188"/>
      <c r="E8" s="190"/>
      <c r="F8" s="191"/>
      <c r="G8" s="189" t="s">
        <v>14</v>
      </c>
      <c r="H8" s="193"/>
      <c r="I8" s="199"/>
      <c r="K8"/>
      <c r="L8"/>
      <c r="M8"/>
      <c r="P8" s="200"/>
      <c r="Q8" s="200"/>
      <c r="R8" s="200"/>
      <c r="S8" s="197" t="s">
        <v>201</v>
      </c>
      <c r="T8" s="205" t="s">
        <v>202</v>
      </c>
      <c r="U8" s="202"/>
      <c r="V8" s="205" t="s">
        <v>203</v>
      </c>
      <c r="W8" s="205" t="s">
        <v>204</v>
      </c>
      <c r="X8" s="205" t="s">
        <v>206</v>
      </c>
      <c r="Y8" s="205" t="s">
        <v>207</v>
      </c>
      <c r="Z8" s="202" t="s">
        <v>209</v>
      </c>
      <c r="AA8" s="197" t="s">
        <v>211</v>
      </c>
      <c r="AB8" s="205" t="s">
        <v>212</v>
      </c>
      <c r="AC8" s="205" t="s">
        <v>213</v>
      </c>
      <c r="AD8" s="197" t="s">
        <v>215</v>
      </c>
      <c r="AE8" s="205" t="s">
        <v>216</v>
      </c>
      <c r="AF8" s="205" t="s">
        <v>217</v>
      </c>
      <c r="AG8" s="205" t="s">
        <v>168</v>
      </c>
      <c r="AL8" s="205">
        <f>P8</f>
        <v>0</v>
      </c>
      <c r="AM8" s="205"/>
      <c r="AN8" s="205">
        <f t="shared" ref="AN8" si="0">R8</f>
        <v>0</v>
      </c>
      <c r="AO8" s="205" t="str">
        <f t="shared" ref="AO8" si="1">S8</f>
        <v>IRP19Wind_wS_YK_T 2029</v>
      </c>
      <c r="AP8" s="205" t="str">
        <f t="shared" ref="AP8" si="2">T8</f>
        <v>IRP19Wind_wS_YK_T 2037</v>
      </c>
      <c r="AQ8" s="205">
        <f t="shared" ref="AQ8" si="3">U8</f>
        <v>0</v>
      </c>
      <c r="AR8" s="205" t="str">
        <f t="shared" ref="AR8" si="4">V8</f>
        <v>IRP19Solar_wS_YK_T 2024</v>
      </c>
      <c r="AS8" s="205" t="str">
        <f t="shared" ref="AS8" si="5">W8</f>
        <v>IRP19Solar_wS_YK_T 2036</v>
      </c>
      <c r="AT8" s="205" t="str">
        <f t="shared" ref="AT8" si="6">X8</f>
        <v>IRP19Solar_wS_OR_T 2024</v>
      </c>
      <c r="AU8" s="205" t="str">
        <f t="shared" ref="AU8" si="7">Y8</f>
        <v>IRP19Solar_wS_OR_T 2033</v>
      </c>
      <c r="AV8" s="205" t="str">
        <f t="shared" ref="AV8" si="8">Z8</f>
        <v>IRP19Solar_wS_UT_UTN_T 2024</v>
      </c>
      <c r="AW8" s="205" t="str">
        <f t="shared" ref="AW8" si="9">AA8</f>
        <v>IRP19Solar_wS_WY_JB_T 2024</v>
      </c>
      <c r="AX8" s="205" t="str">
        <f t="shared" ref="AX8" si="10">AB8</f>
        <v>IRP19Solar_wS_WY_JB_T 2029</v>
      </c>
      <c r="AY8" s="205" t="str">
        <f t="shared" ref="AY8" si="11">AC8</f>
        <v>IRP19Solar_wS_WY_JB_T 2038</v>
      </c>
      <c r="AZ8" s="205" t="str">
        <f t="shared" ref="AZ8" si="12">AD8</f>
        <v>IRP19Solar_wS_UT_UTS_T 2024</v>
      </c>
      <c r="BA8" s="205" t="str">
        <f t="shared" ref="BA8" si="13">AE8</f>
        <v>IRP19Solar_wS_UT_UTS_T 2030</v>
      </c>
      <c r="BB8" s="205" t="str">
        <f>AF8</f>
        <v>IRP19Solar_wS_UT_UTS_T 2037</v>
      </c>
      <c r="BC8" s="205" t="str">
        <f>AG8</f>
        <v>IRP19_SCCT_NTN_2026_185MW</v>
      </c>
      <c r="BD8" s="205"/>
      <c r="BE8" s="205"/>
      <c r="BF8" s="205"/>
      <c r="BH8" s="200" t="s">
        <v>75</v>
      </c>
      <c r="BI8" s="200"/>
      <c r="BJ8" s="200"/>
      <c r="BK8" s="205" t="str">
        <f t="shared" ref="BK8:BY9" si="14">S8</f>
        <v>IRP19Wind_wS_YK_T 2029</v>
      </c>
      <c r="BL8" s="205" t="str">
        <f t="shared" si="14"/>
        <v>IRP19Wind_wS_YK_T 2037</v>
      </c>
      <c r="BM8" s="205">
        <f t="shared" si="14"/>
        <v>0</v>
      </c>
      <c r="BN8" s="205" t="str">
        <f t="shared" si="14"/>
        <v>IRP19Solar_wS_YK_T 2024</v>
      </c>
      <c r="BO8" s="205" t="str">
        <f t="shared" si="14"/>
        <v>IRP19Solar_wS_YK_T 2036</v>
      </c>
      <c r="BP8" s="205" t="str">
        <f t="shared" si="14"/>
        <v>IRP19Solar_wS_OR_T 2024</v>
      </c>
      <c r="BQ8" s="205" t="str">
        <f t="shared" si="14"/>
        <v>IRP19Solar_wS_OR_T 2033</v>
      </c>
      <c r="BR8" s="205" t="str">
        <f t="shared" si="14"/>
        <v>IRP19Solar_wS_UT_UTN_T 2024</v>
      </c>
      <c r="BS8" s="205" t="str">
        <f t="shared" si="14"/>
        <v>IRP19Solar_wS_WY_JB_T 2024</v>
      </c>
      <c r="BT8" s="205" t="str">
        <f t="shared" si="14"/>
        <v>IRP19Solar_wS_WY_JB_T 2029</v>
      </c>
      <c r="BU8" s="205" t="str">
        <f t="shared" si="14"/>
        <v>IRP19Solar_wS_WY_JB_T 2038</v>
      </c>
      <c r="BV8" s="205" t="str">
        <f t="shared" si="14"/>
        <v>IRP19Solar_wS_UT_UTS_T 2024</v>
      </c>
      <c r="BW8" s="205" t="str">
        <f t="shared" si="14"/>
        <v>IRP19Solar_wS_UT_UTS_T 2030</v>
      </c>
      <c r="BX8" s="205" t="str">
        <f t="shared" si="14"/>
        <v>IRP19Solar_wS_UT_UTS_T 2037</v>
      </c>
      <c r="BY8" s="205" t="str">
        <f t="shared" si="14"/>
        <v>IRP19_SCCT_NTN_2026_185MW</v>
      </c>
      <c r="BZ8" s="205"/>
      <c r="CA8" s="205"/>
      <c r="CB8" s="205"/>
      <c r="CD8" s="200" t="s">
        <v>76</v>
      </c>
      <c r="CE8" s="200"/>
      <c r="CF8" s="200"/>
      <c r="CI8" s="205"/>
      <c r="CN8" s="205"/>
      <c r="DB8" s="177" t="s">
        <v>75</v>
      </c>
      <c r="DC8" s="178" t="s">
        <v>76</v>
      </c>
    </row>
    <row r="9" spans="2:107" s="183" customFormat="1" ht="76.5" customHeight="1">
      <c r="B9" s="188"/>
      <c r="C9" s="189" t="s">
        <v>6</v>
      </c>
      <c r="D9" s="189"/>
      <c r="E9" s="190" t="s">
        <v>18</v>
      </c>
      <c r="F9" s="191"/>
      <c r="G9" s="192">
        <f ca="1">Study_CF</f>
        <v>1</v>
      </c>
      <c r="H9" s="193"/>
      <c r="I9" s="194"/>
      <c r="K9"/>
      <c r="L9"/>
      <c r="M9"/>
      <c r="P9" s="183" t="s">
        <v>196</v>
      </c>
      <c r="Q9" s="205" t="s">
        <v>230</v>
      </c>
      <c r="R9" s="183" t="s">
        <v>197</v>
      </c>
      <c r="S9" s="183" t="s">
        <v>198</v>
      </c>
      <c r="T9" s="205" t="s">
        <v>198</v>
      </c>
      <c r="U9" s="202" t="s">
        <v>199</v>
      </c>
      <c r="V9" s="183" t="s">
        <v>200</v>
      </c>
      <c r="W9" s="205" t="s">
        <v>200</v>
      </c>
      <c r="X9" s="183" t="s">
        <v>205</v>
      </c>
      <c r="Y9" s="205" t="s">
        <v>205</v>
      </c>
      <c r="Z9" s="202" t="s">
        <v>208</v>
      </c>
      <c r="AA9" s="183" t="s">
        <v>210</v>
      </c>
      <c r="AB9" s="205" t="s">
        <v>210</v>
      </c>
      <c r="AC9" s="205" t="s">
        <v>210</v>
      </c>
      <c r="AD9" s="183" t="s">
        <v>214</v>
      </c>
      <c r="AE9" s="205" t="s">
        <v>214</v>
      </c>
      <c r="AF9" s="205" t="s">
        <v>214</v>
      </c>
      <c r="AG9" s="197" t="s">
        <v>168</v>
      </c>
      <c r="AH9" s="197"/>
      <c r="AI9" s="197"/>
      <c r="AK9" s="196"/>
      <c r="AL9" s="183" t="str">
        <f>P9</f>
        <v>IRP19Wind_ID_T</v>
      </c>
      <c r="AM9" s="205" t="str">
        <f t="shared" ref="AM9:BA9" si="15">Q9</f>
        <v>IRP19Wind_UT_CP_T</v>
      </c>
      <c r="AN9" s="183" t="str">
        <f t="shared" si="15"/>
        <v>IRP19Wind_WYAE_T</v>
      </c>
      <c r="AO9" s="183" t="str">
        <f t="shared" si="15"/>
        <v>IRP19Wind_wS_YK_T</v>
      </c>
      <c r="AP9" s="183" t="str">
        <f t="shared" si="15"/>
        <v>IRP19Wind_wS_YK_T</v>
      </c>
      <c r="AQ9" s="202" t="str">
        <f t="shared" si="15"/>
        <v>IRP19Wind_wS_ID_T</v>
      </c>
      <c r="AR9" s="183" t="str">
        <f t="shared" si="15"/>
        <v>IRP19Solar_wS_YK_T</v>
      </c>
      <c r="AS9" s="183" t="str">
        <f t="shared" si="15"/>
        <v>IRP19Solar_wS_YK_T</v>
      </c>
      <c r="AT9" s="183" t="str">
        <f t="shared" si="15"/>
        <v>IRP19Solar_wS_OR_T</v>
      </c>
      <c r="AU9" s="183" t="str">
        <f t="shared" si="15"/>
        <v>IRP19Solar_wS_OR_T</v>
      </c>
      <c r="AV9" s="202" t="str">
        <f t="shared" si="15"/>
        <v>IRP19Solar_wS_UT_UTN_T</v>
      </c>
      <c r="AW9" s="183" t="str">
        <f t="shared" si="15"/>
        <v>IRP19Solar_wS_WY_JB_T</v>
      </c>
      <c r="AX9" s="197" t="str">
        <f t="shared" si="15"/>
        <v>IRP19Solar_wS_WY_JB_T</v>
      </c>
      <c r="AY9" s="197" t="str">
        <f t="shared" si="15"/>
        <v>IRP19Solar_wS_WY_JB_T</v>
      </c>
      <c r="AZ9" s="197" t="str">
        <f t="shared" si="15"/>
        <v>IRP19Solar_wS_UT_UTS_T</v>
      </c>
      <c r="BA9" s="197" t="str">
        <f t="shared" si="15"/>
        <v>IRP19Solar_wS_UT_UTS_T</v>
      </c>
      <c r="BB9" s="197" t="str">
        <f>AF9</f>
        <v>IRP19Solar_wS_UT_UTS_T</v>
      </c>
      <c r="BC9" s="205" t="str">
        <f>AG9</f>
        <v>IRP19_SCCT_NTN_2026_185MW</v>
      </c>
      <c r="BD9" s="197"/>
      <c r="BE9" s="197"/>
      <c r="BF9" s="197"/>
      <c r="BH9" s="183" t="str">
        <f>P9</f>
        <v>IRP19Wind_ID_T</v>
      </c>
      <c r="BI9" s="205" t="str">
        <f>Q9</f>
        <v>IRP19Wind_UT_CP_T</v>
      </c>
      <c r="BJ9" s="205" t="str">
        <f>R9</f>
        <v>IRP19Wind_WYAE_T</v>
      </c>
      <c r="BK9" s="205" t="str">
        <f t="shared" si="14"/>
        <v>IRP19Wind_wS_YK_T</v>
      </c>
      <c r="BL9" s="205" t="str">
        <f t="shared" si="14"/>
        <v>IRP19Wind_wS_YK_T</v>
      </c>
      <c r="BM9" s="205" t="str">
        <f t="shared" si="14"/>
        <v>IRP19Wind_wS_ID_T</v>
      </c>
      <c r="BN9" s="205" t="str">
        <f t="shared" si="14"/>
        <v>IRP19Solar_wS_YK_T</v>
      </c>
      <c r="BO9" s="205" t="str">
        <f t="shared" si="14"/>
        <v>IRP19Solar_wS_YK_T</v>
      </c>
      <c r="BP9" s="205" t="str">
        <f t="shared" si="14"/>
        <v>IRP19Solar_wS_OR_T</v>
      </c>
      <c r="BQ9" s="205" t="str">
        <f t="shared" si="14"/>
        <v>IRP19Solar_wS_OR_T</v>
      </c>
      <c r="BR9" s="205" t="str">
        <f t="shared" si="14"/>
        <v>IRP19Solar_wS_UT_UTN_T</v>
      </c>
      <c r="BS9" s="205" t="str">
        <f t="shared" si="14"/>
        <v>IRP19Solar_wS_WY_JB_T</v>
      </c>
      <c r="BT9" s="205" t="str">
        <f t="shared" si="14"/>
        <v>IRP19Solar_wS_WY_JB_T</v>
      </c>
      <c r="BU9" s="205" t="str">
        <f t="shared" si="14"/>
        <v>IRP19Solar_wS_WY_JB_T</v>
      </c>
      <c r="BV9" s="205" t="str">
        <f t="shared" si="14"/>
        <v>IRP19Solar_wS_UT_UTS_T</v>
      </c>
      <c r="BW9" s="205" t="str">
        <f t="shared" si="14"/>
        <v>IRP19Solar_wS_UT_UTS_T</v>
      </c>
      <c r="BX9" s="205" t="str">
        <f t="shared" si="14"/>
        <v>IRP19Solar_wS_UT_UTS_T</v>
      </c>
      <c r="BY9" s="205" t="str">
        <f t="shared" si="14"/>
        <v>IRP19_SCCT_NTN_2026_185MW</v>
      </c>
      <c r="BZ9" s="205"/>
      <c r="CA9" s="205"/>
      <c r="CB9" s="205"/>
      <c r="CD9" s="183" t="str">
        <f t="shared" ref="CD9:CX9" si="16">BH9</f>
        <v>IRP19Wind_ID_T</v>
      </c>
      <c r="CE9" s="205" t="str">
        <f t="shared" si="16"/>
        <v>IRP19Wind_UT_CP_T</v>
      </c>
      <c r="CF9" s="197" t="str">
        <f t="shared" si="16"/>
        <v>IRP19Wind_WYAE_T</v>
      </c>
      <c r="CG9" s="197" t="str">
        <f t="shared" si="16"/>
        <v>IRP19Wind_wS_YK_T</v>
      </c>
      <c r="CH9" s="197" t="str">
        <f t="shared" si="16"/>
        <v>IRP19Wind_wS_YK_T</v>
      </c>
      <c r="CI9" s="203" t="str">
        <f t="shared" si="16"/>
        <v>IRP19Wind_wS_ID_T</v>
      </c>
      <c r="CJ9" s="197" t="str">
        <f t="shared" si="16"/>
        <v>IRP19Solar_wS_YK_T</v>
      </c>
      <c r="CK9" s="197" t="str">
        <f t="shared" si="16"/>
        <v>IRP19Solar_wS_YK_T</v>
      </c>
      <c r="CL9" s="197" t="str">
        <f t="shared" si="16"/>
        <v>IRP19Solar_wS_OR_T</v>
      </c>
      <c r="CM9" s="197" t="str">
        <f t="shared" si="16"/>
        <v>IRP19Solar_wS_OR_T</v>
      </c>
      <c r="CN9" s="203" t="str">
        <f t="shared" si="16"/>
        <v>IRP19Solar_wS_UT_UTN_T</v>
      </c>
      <c r="CO9" s="197" t="str">
        <f t="shared" si="16"/>
        <v>IRP19Solar_wS_WY_JB_T</v>
      </c>
      <c r="CP9" s="197" t="str">
        <f t="shared" si="16"/>
        <v>IRP19Solar_wS_WY_JB_T</v>
      </c>
      <c r="CQ9" s="197" t="str">
        <f t="shared" si="16"/>
        <v>IRP19Solar_wS_WY_JB_T</v>
      </c>
      <c r="CR9" s="197" t="str">
        <f t="shared" si="16"/>
        <v>IRP19Solar_wS_UT_UTS_T</v>
      </c>
      <c r="CS9" s="197" t="str">
        <f t="shared" si="16"/>
        <v>IRP19Solar_wS_UT_UTS_T</v>
      </c>
      <c r="CT9" s="197" t="str">
        <f t="shared" si="16"/>
        <v>IRP19Solar_wS_UT_UTS_T</v>
      </c>
      <c r="CU9" s="197" t="str">
        <f t="shared" si="16"/>
        <v>IRP19_SCCT_NTN_2026_185MW</v>
      </c>
      <c r="CV9" s="197">
        <f t="shared" si="16"/>
        <v>0</v>
      </c>
      <c r="CW9" s="197">
        <f t="shared" si="16"/>
        <v>0</v>
      </c>
      <c r="CX9" s="197">
        <f t="shared" si="16"/>
        <v>0</v>
      </c>
      <c r="CY9" s="183" t="s">
        <v>77</v>
      </c>
      <c r="DB9" s="183" t="s">
        <v>86</v>
      </c>
      <c r="DC9" s="183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55"/>
    </row>
    <row r="13" spans="2:107" customFormat="1">
      <c r="B13" s="15">
        <f>'Table 5'!J13</f>
        <v>2021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20.32567169349986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20.32567169349986</v>
      </c>
      <c r="H13" s="36"/>
      <c r="I13" s="174"/>
      <c r="J13" s="174"/>
      <c r="O13">
        <f t="shared" ref="O13:O32" si="18">B13</f>
        <v>2021</v>
      </c>
      <c r="P13">
        <v>0</v>
      </c>
      <c r="Q13">
        <v>0</v>
      </c>
      <c r="R13">
        <v>0</v>
      </c>
      <c r="S13" s="354">
        <v>0</v>
      </c>
      <c r="T13" s="354">
        <v>0</v>
      </c>
      <c r="U13" s="174">
        <v>0</v>
      </c>
      <c r="V13" s="354">
        <v>0</v>
      </c>
      <c r="W13" s="354">
        <v>0</v>
      </c>
      <c r="X13" s="354">
        <v>0</v>
      </c>
      <c r="Y13" s="354">
        <v>0</v>
      </c>
      <c r="Z13" s="354">
        <v>0</v>
      </c>
      <c r="AA13" s="354">
        <v>0</v>
      </c>
      <c r="AB13" s="354">
        <v>0</v>
      </c>
      <c r="AC13" s="354">
        <v>0</v>
      </c>
      <c r="AD13" s="354">
        <v>0</v>
      </c>
      <c r="AE13" s="354">
        <v>0</v>
      </c>
      <c r="AF13" s="354">
        <v>0</v>
      </c>
      <c r="AG13" s="354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2021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56"/>
      <c r="BM13" s="130">
        <f>IFERROR(VLOOKUP($O13,'Table 3 ID Wind wS_2032'!$B$10:$K$38,10,FALSE),0)</f>
        <v>0</v>
      </c>
      <c r="BN13" s="130">
        <f>IFERROR(VLOOKUP($O13,'Table 3 PV wS YK_2024'!$B$10:$K$40,10,FALSE),0)</f>
        <v>25.79</v>
      </c>
      <c r="BO13" s="356"/>
      <c r="BP13" s="130">
        <f>IFERROR(VLOOKUP($O13,'Table 3 PV wS SO_2024'!$B$10:$K$40,10,FALSE),0)</f>
        <v>25.79</v>
      </c>
      <c r="BQ13" s="356"/>
      <c r="BR13" s="130">
        <f>IFERROR(VLOOKUP($O13,'Table 3 PV wS UTN_2024'!$B$10:$K$43,10,FALSE),0)</f>
        <v>25.79</v>
      </c>
      <c r="BS13" s="130">
        <f>IFERROR(VLOOKUP($O13,'Table 3 PV wS JB_2024'!$B$10:$K$40,10,FALSE),0)</f>
        <v>25.79</v>
      </c>
      <c r="BT13" s="130">
        <f>IFERROR(VLOOKUP($O13,'Table 3 PV wS JB_2029'!$B$10:$K$40,10,FALSE),0)</f>
        <v>25.79</v>
      </c>
      <c r="BU13" s="356"/>
      <c r="BV13" s="130">
        <f>IFERROR(VLOOKUP($O13,'Table 3 PV wS UTS_2024'!$B$10:$K$38,10,FALSE),0)</f>
        <v>25.79</v>
      </c>
      <c r="BW13" s="130">
        <f>IFERROR(VLOOKUP($O13,'Table 3 PV wS UTS_2030'!$B$10:$K$38,10,FALSE),0)</f>
        <v>25.79</v>
      </c>
      <c r="BX13" s="355"/>
      <c r="BY13" s="130">
        <f>IFERROR(VLOOKUP($O13,'Table 3 185 MW (NTN) 2026)'!$B$13:$L$40,11,FALSE),0)</f>
        <v>8.14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2021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>
      <c r="B14" s="15">
        <f t="shared" ref="B14:B38" si="38">B13+1</f>
        <v>2022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21.18341598743697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21.18341598743697</v>
      </c>
      <c r="H14" s="36"/>
      <c r="I14" s="174"/>
      <c r="J14" s="174"/>
      <c r="O14">
        <f t="shared" si="18"/>
        <v>2022</v>
      </c>
      <c r="P14">
        <v>0</v>
      </c>
      <c r="Q14">
        <v>0</v>
      </c>
      <c r="R14">
        <v>0</v>
      </c>
      <c r="S14" s="354">
        <v>0</v>
      </c>
      <c r="T14" s="354">
        <v>0</v>
      </c>
      <c r="U14" s="174">
        <v>0</v>
      </c>
      <c r="V14" s="354">
        <v>0</v>
      </c>
      <c r="W14" s="354">
        <v>0</v>
      </c>
      <c r="X14" s="354">
        <v>0</v>
      </c>
      <c r="Y14" s="354">
        <v>0</v>
      </c>
      <c r="Z14" s="354">
        <v>0</v>
      </c>
      <c r="AA14" s="354">
        <v>0</v>
      </c>
      <c r="AB14" s="354">
        <v>0</v>
      </c>
      <c r="AC14" s="354">
        <v>0</v>
      </c>
      <c r="AD14" s="354">
        <v>0</v>
      </c>
      <c r="AE14" s="354">
        <v>0</v>
      </c>
      <c r="AF14" s="354">
        <v>0</v>
      </c>
      <c r="AG14" s="354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2022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56"/>
      <c r="BM14" s="130">
        <f>IFERROR(VLOOKUP($O14,'Table 3 ID Wind wS_2032'!$B$10:$K$38,10,FALSE),0)</f>
        <v>0</v>
      </c>
      <c r="BN14" s="130">
        <f>IFERROR(VLOOKUP($O14,'Table 3 PV wS YK_2024'!$B$10:$K$40,10,FALSE),0)</f>
        <v>26.36</v>
      </c>
      <c r="BO14" s="356"/>
      <c r="BP14" s="130">
        <f>IFERROR(VLOOKUP($O14,'Table 3 PV wS SO_2024'!$B$10:$K$40,10,FALSE),0)</f>
        <v>26.36</v>
      </c>
      <c r="BQ14" s="356"/>
      <c r="BR14" s="130">
        <f>IFERROR(VLOOKUP($O14,'Table 3 PV wS UTN_2024'!$B$10:$K$43,10,FALSE),0)</f>
        <v>26.36</v>
      </c>
      <c r="BS14" s="130">
        <f>IFERROR(VLOOKUP($O14,'Table 3 PV wS JB_2024'!$B$10:$K$40,10,FALSE),0)</f>
        <v>26.36</v>
      </c>
      <c r="BT14" s="130">
        <f>IFERROR(VLOOKUP($O14,'Table 3 PV wS JB_2029'!$B$10:$K$40,10,FALSE),0)</f>
        <v>26.36</v>
      </c>
      <c r="BU14" s="356"/>
      <c r="BV14" s="130">
        <f>IFERROR(VLOOKUP($O14,'Table 3 PV wS UTS_2024'!$B$10:$K$38,10,FALSE),0)</f>
        <v>26.36</v>
      </c>
      <c r="BW14" s="130">
        <f>IFERROR(VLOOKUP($O14,'Table 3 PV wS UTS_2030'!$B$10:$K$38,10,FALSE),0)</f>
        <v>26.36</v>
      </c>
      <c r="BX14" s="355"/>
      <c r="BY14" s="130">
        <f>IFERROR(VLOOKUP($O14,'Table 3 185 MW (NTN) 2026)'!$B$13:$L$40,11,FALSE),0)</f>
        <v>8.32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2022</v>
      </c>
      <c r="DB14" s="89">
        <f>IFERROR(VLOOKUP($DA14,'Table 3 TransCost'!$B$10:$E$40,4,FALSE),0)</f>
        <v>0</v>
      </c>
      <c r="DC14" s="174">
        <f t="shared" ref="DC14:DC30" si="41">$DB$5*DB14/1000</f>
        <v>0</v>
      </c>
    </row>
    <row r="15" spans="2:107" customFormat="1">
      <c r="B15" s="15">
        <f t="shared" si="38"/>
        <v>2023</v>
      </c>
      <c r="C15" s="9">
        <f t="shared" si="17"/>
        <v>0</v>
      </c>
      <c r="D15" s="45"/>
      <c r="E15" s="9">
        <f t="shared" ca="1" si="39"/>
        <v>20.145294409367029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20.145294409367029</v>
      </c>
      <c r="H15" s="36"/>
      <c r="I15" s="174"/>
      <c r="J15" s="174"/>
      <c r="N15" s="89"/>
      <c r="O15">
        <f t="shared" si="18"/>
        <v>2023</v>
      </c>
      <c r="P15">
        <v>0</v>
      </c>
      <c r="Q15">
        <v>0</v>
      </c>
      <c r="R15">
        <v>0</v>
      </c>
      <c r="S15" s="354">
        <v>0</v>
      </c>
      <c r="T15" s="354">
        <v>0</v>
      </c>
      <c r="U15" s="174">
        <v>0</v>
      </c>
      <c r="V15" s="354">
        <v>0</v>
      </c>
      <c r="W15" s="354">
        <v>0</v>
      </c>
      <c r="X15" s="354">
        <v>0</v>
      </c>
      <c r="Y15" s="354">
        <v>0</v>
      </c>
      <c r="Z15" s="354">
        <v>0</v>
      </c>
      <c r="AA15" s="354">
        <v>0</v>
      </c>
      <c r="AB15" s="354">
        <v>0</v>
      </c>
      <c r="AC15" s="354">
        <v>0</v>
      </c>
      <c r="AD15" s="354">
        <v>0</v>
      </c>
      <c r="AE15" s="354">
        <v>0</v>
      </c>
      <c r="AF15" s="354">
        <v>0</v>
      </c>
      <c r="AG15" s="354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2023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121.1121219836666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56"/>
      <c r="BM15" s="130">
        <f>IFERROR(VLOOKUP($O15,'Table 3 ID Wind wS_2032'!$B$10:$K$38,10,FALSE),0)</f>
        <v>0</v>
      </c>
      <c r="BN15" s="130">
        <f>IFERROR(VLOOKUP($O15,'Table 3 PV wS YK_2024'!$B$10:$K$40,10,FALSE),0)</f>
        <v>26.89</v>
      </c>
      <c r="BO15" s="356"/>
      <c r="BP15" s="130">
        <f>IFERROR(VLOOKUP($O15,'Table 3 PV wS SO_2024'!$B$10:$K$40,10,FALSE),0)</f>
        <v>26.89</v>
      </c>
      <c r="BQ15" s="356"/>
      <c r="BR15" s="130">
        <f>IFERROR(VLOOKUP($O15,'Table 3 PV wS UTN_2024'!$B$10:$K$43,10,FALSE),0)</f>
        <v>26.89</v>
      </c>
      <c r="BS15" s="130">
        <f>IFERROR(VLOOKUP($O15,'Table 3 PV wS JB_2024'!$B$10:$K$40,10,FALSE),0)</f>
        <v>26.89</v>
      </c>
      <c r="BT15" s="130">
        <f>IFERROR(VLOOKUP($O15,'Table 3 PV wS JB_2029'!$B$10:$K$40,10,FALSE),0)</f>
        <v>26.89</v>
      </c>
      <c r="BU15" s="356"/>
      <c r="BV15" s="130">
        <f>IFERROR(VLOOKUP($O15,'Table 3 PV wS UTS_2024'!$B$10:$K$38,10,FALSE),0)</f>
        <v>26.89</v>
      </c>
      <c r="BW15" s="130">
        <f>IFERROR(VLOOKUP($O15,'Table 3 PV wS UTS_2030'!$B$10:$K$38,10,FALSE),0)</f>
        <v>26.89</v>
      </c>
      <c r="BX15" s="355"/>
      <c r="BY15" s="130">
        <f>IFERROR(VLOOKUP($O15,'Table 3 185 MW (NTN) 2026)'!$B$13:$L$40,11,FALSE),0)</f>
        <v>8.49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2023</v>
      </c>
      <c r="DB15" s="89">
        <f>IFERROR(VLOOKUP($DA15,'Table 3 TransCost'!$B$10:$E$40,4,FALSE),0)</f>
        <v>0</v>
      </c>
      <c r="DC15" s="174">
        <f t="shared" si="41"/>
        <v>0</v>
      </c>
    </row>
    <row r="16" spans="2:107" customFormat="1">
      <c r="B16" s="15">
        <f t="shared" si="38"/>
        <v>2024</v>
      </c>
      <c r="C16" s="9">
        <f t="shared" si="17"/>
        <v>0</v>
      </c>
      <c r="D16" s="45"/>
      <c r="E16" s="9">
        <f t="shared" ca="1" si="39"/>
        <v>17.273119242281751</v>
      </c>
      <c r="F16" s="37"/>
      <c r="G16" s="14">
        <f t="shared" ca="1" si="42"/>
        <v>17.273119242281751</v>
      </c>
      <c r="H16" s="36"/>
      <c r="I16" s="174"/>
      <c r="J16" s="174"/>
      <c r="M16" s="111"/>
      <c r="O16">
        <f t="shared" si="18"/>
        <v>2024</v>
      </c>
      <c r="P16">
        <v>0</v>
      </c>
      <c r="Q16">
        <v>0</v>
      </c>
      <c r="R16">
        <v>0</v>
      </c>
      <c r="S16" s="354">
        <v>0</v>
      </c>
      <c r="T16" s="354">
        <v>0</v>
      </c>
      <c r="U16" s="174">
        <v>0</v>
      </c>
      <c r="V16" s="354">
        <v>0</v>
      </c>
      <c r="W16" s="354">
        <v>0</v>
      </c>
      <c r="X16" s="354">
        <v>0</v>
      </c>
      <c r="Y16" s="354">
        <v>0</v>
      </c>
      <c r="Z16" s="354">
        <v>0</v>
      </c>
      <c r="AA16" s="354">
        <v>0</v>
      </c>
      <c r="AB16" s="354">
        <v>0</v>
      </c>
      <c r="AC16" s="354">
        <v>0</v>
      </c>
      <c r="AD16" s="354">
        <v>0</v>
      </c>
      <c r="AE16" s="354">
        <v>0</v>
      </c>
      <c r="AF16" s="354">
        <v>0</v>
      </c>
      <c r="AG16" s="354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2024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123.63246376811594</v>
      </c>
      <c r="BJ16" s="130">
        <f>IFERROR(VLOOKUP($O16,'Table 3 WYAE Wind_2024'!$B$10:$L$37,11,FALSE),0)</f>
        <v>167.27126747278072</v>
      </c>
      <c r="BK16" s="130">
        <f>IFERROR(VLOOKUP($O16,'Table 3 YK Wind wS_2029'!$B$10:$K$37,10,FALSE),0)</f>
        <v>0</v>
      </c>
      <c r="BL16" s="356"/>
      <c r="BM16" s="130">
        <f>IFERROR(VLOOKUP($O16,'Table 3 ID Wind wS_2032'!$B$10:$K$38,10,FALSE),0)</f>
        <v>0</v>
      </c>
      <c r="BN16" s="130">
        <f>IFERROR(VLOOKUP($O16,'Table 3 PV wS YK_2024'!$B$10:$K$40,10,FALSE),0)</f>
        <v>93.676445239115694</v>
      </c>
      <c r="BO16" s="356"/>
      <c r="BP16" s="130">
        <f>IFERROR(VLOOKUP($O16,'Table 3 PV wS SO_2024'!$B$10:$K$40,10,FALSE),0)</f>
        <v>93.359635345997276</v>
      </c>
      <c r="BQ16" s="356"/>
      <c r="BR16" s="130">
        <f>IFERROR(VLOOKUP($O16,'Table 3 PV wS UTN_2024'!$B$10:$K$43,10,FALSE),0)</f>
        <v>92.558350344380244</v>
      </c>
      <c r="BS16" s="130">
        <f>IFERROR(VLOOKUP($O16,'Table 3 PV wS JB_2024'!$B$10:$K$40,10,FALSE),0)</f>
        <v>89.871932627118639</v>
      </c>
      <c r="BT16" s="130">
        <f>IFERROR(VLOOKUP($O16,'Table 3 PV wS JB_2029'!$B$10:$K$40,10,FALSE),0)</f>
        <v>27.43</v>
      </c>
      <c r="BU16" s="356"/>
      <c r="BV16" s="130">
        <f>IFERROR(VLOOKUP($O16,'Table 3 PV wS UTS_2024'!$B$10:$K$38,10,FALSE),0)</f>
        <v>91.47398792107262</v>
      </c>
      <c r="BW16" s="130">
        <f>IFERROR(VLOOKUP($O16,'Table 3 PV wS UTS_2030'!$B$10:$K$38,10,FALSE),0)</f>
        <v>27.43</v>
      </c>
      <c r="BX16" s="355"/>
      <c r="BY16" s="130">
        <f>IFERROR(VLOOKUP($O16,'Table 3 185 MW (NTN) 2026)'!$B$13:$L$40,11,FALSE),0)</f>
        <v>8.66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0</v>
      </c>
      <c r="DA16">
        <f t="shared" si="37"/>
        <v>2024</v>
      </c>
      <c r="DB16" s="89">
        <f>IFERROR(VLOOKUP($DA16,'Table 3 TransCost'!$B$10:$E$40,4,FALSE),0)</f>
        <v>47.870308055404145</v>
      </c>
      <c r="DC16" s="174">
        <f t="shared" si="41"/>
        <v>0</v>
      </c>
    </row>
    <row r="17" spans="2:107">
      <c r="B17" s="15">
        <f t="shared" si="38"/>
        <v>2025</v>
      </c>
      <c r="C17" s="9">
        <f t="shared" si="17"/>
        <v>0</v>
      </c>
      <c r="D17" s="45"/>
      <c r="E17" s="9">
        <f t="shared" ca="1" si="39"/>
        <v>20.44254098918459</v>
      </c>
      <c r="F17" s="37"/>
      <c r="G17" s="14">
        <f t="shared" ca="1" si="42"/>
        <v>20.44254098918459</v>
      </c>
      <c r="H17" s="36"/>
      <c r="I17" s="174"/>
      <c r="J17" s="174"/>
      <c r="M17" s="112"/>
      <c r="O17">
        <f t="shared" si="18"/>
        <v>2025</v>
      </c>
      <c r="P17">
        <v>0</v>
      </c>
      <c r="Q17">
        <v>0</v>
      </c>
      <c r="R17">
        <v>0</v>
      </c>
      <c r="S17" s="354">
        <v>0</v>
      </c>
      <c r="T17" s="354">
        <v>0</v>
      </c>
      <c r="U17" s="174">
        <v>0</v>
      </c>
      <c r="V17" s="354">
        <v>0</v>
      </c>
      <c r="W17" s="354">
        <v>0</v>
      </c>
      <c r="X17" s="354">
        <v>0</v>
      </c>
      <c r="Y17" s="354">
        <v>0</v>
      </c>
      <c r="Z17" s="354">
        <v>0</v>
      </c>
      <c r="AA17" s="354">
        <v>0</v>
      </c>
      <c r="AB17" s="354">
        <v>0</v>
      </c>
      <c r="AC17" s="354">
        <v>0</v>
      </c>
      <c r="AD17" s="354">
        <v>0</v>
      </c>
      <c r="AE17" s="354">
        <v>0</v>
      </c>
      <c r="AF17" s="354">
        <v>0</v>
      </c>
      <c r="AG17" s="354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2025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126.28608695652176</v>
      </c>
      <c r="BJ17" s="130">
        <f>IFERROR(VLOOKUP($O17,'Table 3 WYAE Wind_2024'!$B$10:$L$37,11,FALSE),0)</f>
        <v>170.86020833333333</v>
      </c>
      <c r="BK17" s="130">
        <f>IFERROR(VLOOKUP($O17,'Table 3 YK Wind wS_2029'!$B$10:$K$37,10,FALSE),0)</f>
        <v>0</v>
      </c>
      <c r="BL17" s="356"/>
      <c r="BM17" s="130">
        <f>IFERROR(VLOOKUP($O17,'Table 3 ID Wind wS_2032'!$B$10:$K$38,10,FALSE),0)</f>
        <v>0</v>
      </c>
      <c r="BN17" s="130">
        <f>IFERROR(VLOOKUP($O17,'Table 3 PV wS YK_2024'!$B$10:$K$40,10,FALSE),0)</f>
        <v>95.65</v>
      </c>
      <c r="BO17" s="356"/>
      <c r="BP17" s="130">
        <f>IFERROR(VLOOKUP($O17,'Table 3 PV wS SO_2024'!$B$10:$K$40,10,FALSE),0)</f>
        <v>95.320000000000007</v>
      </c>
      <c r="BQ17" s="356"/>
      <c r="BR17" s="130">
        <f>IFERROR(VLOOKUP($O17,'Table 3 PV wS UTN_2024'!$B$10:$K$43,10,FALSE),0)</f>
        <v>94.51</v>
      </c>
      <c r="BS17" s="130">
        <f>IFERROR(VLOOKUP($O17,'Table 3 PV wS JB_2024'!$B$10:$K$40,10,FALSE),0)</f>
        <v>91.76</v>
      </c>
      <c r="BT17" s="130">
        <f>IFERROR(VLOOKUP($O17,'Table 3 PV wS JB_2029'!$B$10:$K$40,10,FALSE),0)</f>
        <v>28.01</v>
      </c>
      <c r="BU17" s="356"/>
      <c r="BV17" s="130">
        <f>IFERROR(VLOOKUP($O17,'Table 3 PV wS UTS_2024'!$B$10:$K$38,10,FALSE),0)</f>
        <v>93.4</v>
      </c>
      <c r="BW17" s="130">
        <f>IFERROR(VLOOKUP($O17,'Table 3 PV wS UTS_2030'!$B$10:$K$38,10,FALSE),0)</f>
        <v>28.01</v>
      </c>
      <c r="BX17" s="355"/>
      <c r="BY17" s="130">
        <f>IFERROR(VLOOKUP($O17,'Table 3 185 MW (NTN) 2026)'!$B$13:$L$40,11,FALSE),0)</f>
        <v>8.84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0</v>
      </c>
      <c r="DA17">
        <f t="shared" si="37"/>
        <v>2025</v>
      </c>
      <c r="DB17" s="89">
        <f>IFERROR(VLOOKUP($DA17,'Table 3 TransCost'!$B$10:$E$40,4,FALSE),0)</f>
        <v>48.88</v>
      </c>
      <c r="DC17" s="174">
        <f t="shared" si="41"/>
        <v>0</v>
      </c>
    </row>
    <row r="18" spans="2:107">
      <c r="B18" s="15">
        <f t="shared" si="38"/>
        <v>2026</v>
      </c>
      <c r="C18" s="9">
        <f t="shared" si="17"/>
        <v>114.74967954321023</v>
      </c>
      <c r="D18" s="45"/>
      <c r="E18" s="9">
        <f t="shared" ca="1" si="39"/>
        <v>21.089680983485323</v>
      </c>
      <c r="F18" s="37"/>
      <c r="G18" s="14">
        <f t="shared" ca="1" si="42"/>
        <v>34.188959470153158</v>
      </c>
      <c r="H18" s="36"/>
      <c r="I18" s="174"/>
      <c r="J18" s="174"/>
      <c r="M18" s="112"/>
      <c r="O18">
        <f t="shared" si="18"/>
        <v>2026</v>
      </c>
      <c r="P18">
        <v>0</v>
      </c>
      <c r="Q18">
        <v>0</v>
      </c>
      <c r="R18">
        <v>0</v>
      </c>
      <c r="S18" s="354">
        <v>0</v>
      </c>
      <c r="T18" s="354">
        <v>0</v>
      </c>
      <c r="U18" s="174">
        <v>0</v>
      </c>
      <c r="V18" s="354">
        <v>0</v>
      </c>
      <c r="W18" s="354">
        <v>0</v>
      </c>
      <c r="X18" s="354">
        <v>0</v>
      </c>
      <c r="Y18" s="354">
        <v>0</v>
      </c>
      <c r="Z18" s="354">
        <v>0</v>
      </c>
      <c r="AA18" s="354">
        <v>0</v>
      </c>
      <c r="AB18" s="354">
        <v>0</v>
      </c>
      <c r="AC18" s="354">
        <v>0</v>
      </c>
      <c r="AD18" s="354">
        <v>0</v>
      </c>
      <c r="AE18" s="354">
        <v>0</v>
      </c>
      <c r="AF18" s="354">
        <v>0</v>
      </c>
      <c r="AG18" s="354">
        <v>100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103.1519824870434</v>
      </c>
      <c r="BG18">
        <f t="shared" si="40"/>
        <v>2026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129.08420289855073</v>
      </c>
      <c r="BJ18" s="130">
        <f>IFERROR(VLOOKUP($O18,'Table 3 WYAE Wind_2024'!$B$10:$L$37,11,FALSE),0)</f>
        <v>174.64010416666667</v>
      </c>
      <c r="BK18" s="130">
        <f>IFERROR(VLOOKUP($O18,'Table 3 YK Wind wS_2029'!$B$10:$K$37,10,FALSE),0)</f>
        <v>0</v>
      </c>
      <c r="BL18" s="356"/>
      <c r="BM18" s="130">
        <f>IFERROR(VLOOKUP($O18,'Table 3 ID Wind wS_2032'!$B$10:$K$38,10,FALSE),0)</f>
        <v>0</v>
      </c>
      <c r="BN18" s="130">
        <f>IFERROR(VLOOKUP($O18,'Table 3 PV wS YK_2024'!$B$10:$K$40,10,FALSE),0)</f>
        <v>97.759999999999991</v>
      </c>
      <c r="BO18" s="356"/>
      <c r="BP18" s="130">
        <f>IFERROR(VLOOKUP($O18,'Table 3 PV wS SO_2024'!$B$10:$K$40,10,FALSE),0)</f>
        <v>97.42</v>
      </c>
      <c r="BQ18" s="356"/>
      <c r="BR18" s="130">
        <f>IFERROR(VLOOKUP($O18,'Table 3 PV wS UTN_2024'!$B$10:$K$43,10,FALSE),0)</f>
        <v>96.59</v>
      </c>
      <c r="BS18" s="130">
        <f>IFERROR(VLOOKUP($O18,'Table 3 PV wS JB_2024'!$B$10:$K$40,10,FALSE),0)</f>
        <v>93.78</v>
      </c>
      <c r="BT18" s="130">
        <f>IFERROR(VLOOKUP($O18,'Table 3 PV wS JB_2029'!$B$10:$K$40,10,FALSE),0)</f>
        <v>28.63</v>
      </c>
      <c r="BU18" s="356"/>
      <c r="BV18" s="130">
        <f>IFERROR(VLOOKUP($O18,'Table 3 PV wS UTS_2024'!$B$10:$K$38,10,FALSE),0)</f>
        <v>95.45</v>
      </c>
      <c r="BW18" s="130">
        <f>IFERROR(VLOOKUP($O18,'Table 3 PV wS UTS_2030'!$B$10:$K$38,10,FALSE),0)</f>
        <v>28.63</v>
      </c>
      <c r="BX18" s="355"/>
      <c r="BY18" s="130">
        <f>IFERROR(VLOOKUP($O18,'Table 3 185 MW (NTN) 2026)'!$B$13:$L$40,11,FALSE),0)</f>
        <v>111.24330989724176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11.474967954321023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11.474967954321023</v>
      </c>
      <c r="DA18">
        <f t="shared" si="37"/>
        <v>2026</v>
      </c>
      <c r="DB18" s="89">
        <f>IFERROR(VLOOKUP($DA18,'Table 3 TransCost'!$B$10:$E$40,4,FALSE),0)</f>
        <v>49.96</v>
      </c>
      <c r="DC18" s="174">
        <f t="shared" si="41"/>
        <v>0</v>
      </c>
    </row>
    <row r="19" spans="2:107">
      <c r="B19" s="15">
        <f t="shared" si="38"/>
        <v>2027</v>
      </c>
      <c r="C19" s="9">
        <f t="shared" si="17"/>
        <v>117.3972712685041</v>
      </c>
      <c r="D19" s="45"/>
      <c r="E19" s="9">
        <f t="shared" ca="1" si="39"/>
        <v>22.431118832884874</v>
      </c>
      <c r="F19" s="37"/>
      <c r="G19" s="14">
        <f t="shared" ca="1" si="42"/>
        <v>35.832633817873926</v>
      </c>
      <c r="H19" s="36"/>
      <c r="I19" s="174"/>
      <c r="J19" s="174"/>
      <c r="M19" s="112"/>
      <c r="O19">
        <f t="shared" si="18"/>
        <v>2027</v>
      </c>
      <c r="P19">
        <v>0</v>
      </c>
      <c r="Q19">
        <v>0</v>
      </c>
      <c r="R19">
        <v>0</v>
      </c>
      <c r="S19" s="354">
        <v>0</v>
      </c>
      <c r="T19" s="354">
        <v>0</v>
      </c>
      <c r="U19" s="174">
        <v>0</v>
      </c>
      <c r="V19" s="354">
        <v>0</v>
      </c>
      <c r="W19" s="354">
        <v>0</v>
      </c>
      <c r="X19" s="354">
        <v>0</v>
      </c>
      <c r="Y19" s="354">
        <v>0</v>
      </c>
      <c r="Z19" s="354">
        <v>0</v>
      </c>
      <c r="AA19" s="354">
        <v>0</v>
      </c>
      <c r="AB19" s="354">
        <v>0</v>
      </c>
      <c r="AC19" s="354">
        <v>0</v>
      </c>
      <c r="AD19" s="354">
        <v>0</v>
      </c>
      <c r="AE19" s="354">
        <v>0</v>
      </c>
      <c r="AF19" s="354">
        <v>0</v>
      </c>
      <c r="AG19" s="354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2027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132.04681159420289</v>
      </c>
      <c r="BJ19" s="130">
        <f>IFERROR(VLOOKUP($O19,'Table 3 WYAE Wind_2024'!$B$10:$L$37,11,FALSE),0)</f>
        <v>178.65020833333335</v>
      </c>
      <c r="BK19" s="130">
        <f>IFERROR(VLOOKUP($O19,'Table 3 YK Wind wS_2029'!$B$10:$K$37,10,FALSE),0)</f>
        <v>0</v>
      </c>
      <c r="BL19" s="356"/>
      <c r="BM19" s="130">
        <f>IFERROR(VLOOKUP($O19,'Table 3 ID Wind wS_2032'!$B$10:$K$38,10,FALSE),0)</f>
        <v>0</v>
      </c>
      <c r="BN19" s="130">
        <f>IFERROR(VLOOKUP($O19,'Table 3 PV wS YK_2024'!$B$10:$K$40,10,FALSE),0)</f>
        <v>100.01</v>
      </c>
      <c r="BO19" s="356"/>
      <c r="BP19" s="130">
        <f>IFERROR(VLOOKUP($O19,'Table 3 PV wS SO_2024'!$B$10:$K$40,10,FALSE),0)</f>
        <v>99.66</v>
      </c>
      <c r="BQ19" s="356"/>
      <c r="BR19" s="130">
        <f>IFERROR(VLOOKUP($O19,'Table 3 PV wS UTN_2024'!$B$10:$K$43,10,FALSE),0)</f>
        <v>98.810000000000016</v>
      </c>
      <c r="BS19" s="130">
        <f>IFERROR(VLOOKUP($O19,'Table 3 PV wS JB_2024'!$B$10:$K$40,10,FALSE),0)</f>
        <v>95.94</v>
      </c>
      <c r="BT19" s="130">
        <f>IFERROR(VLOOKUP($O19,'Table 3 PV wS JB_2029'!$B$10:$K$40,10,FALSE),0)</f>
        <v>29.29</v>
      </c>
      <c r="BU19" s="356"/>
      <c r="BV19" s="130">
        <f>IFERROR(VLOOKUP($O19,'Table 3 PV wS UTS_2024'!$B$10:$K$38,10,FALSE),0)</f>
        <v>97.65</v>
      </c>
      <c r="BW19" s="130">
        <f>IFERROR(VLOOKUP($O19,'Table 3 PV wS UTS_2030'!$B$10:$K$38,10,FALSE),0)</f>
        <v>29.29</v>
      </c>
      <c r="BX19" s="355"/>
      <c r="BY19" s="130">
        <f>IFERROR(VLOOKUP($O19,'Table 3 185 MW (NTN) 2026)'!$B$13:$L$40,11,FALSE),0)</f>
        <v>113.81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11.73972712685041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11.73972712685041</v>
      </c>
      <c r="DA19">
        <f t="shared" si="37"/>
        <v>2027</v>
      </c>
      <c r="DB19" s="89">
        <f>IFERROR(VLOOKUP($DA19,'Table 3 TransCost'!$B$10:$E$40,4,FALSE),0)</f>
        <v>51.109999999999992</v>
      </c>
      <c r="DC19" s="174">
        <f t="shared" si="41"/>
        <v>0</v>
      </c>
    </row>
    <row r="20" spans="2:107">
      <c r="B20" s="15">
        <f t="shared" si="38"/>
        <v>2028</v>
      </c>
      <c r="C20" s="9">
        <f t="shared" si="17"/>
        <v>120.09985320966463</v>
      </c>
      <c r="D20" s="45"/>
      <c r="E20" s="9">
        <f t="shared" ca="1" si="39"/>
        <v>25.550016399238103</v>
      </c>
      <c r="F20" s="37"/>
      <c r="G20" s="14">
        <f t="shared" ca="1" si="42"/>
        <v>39.222586209081534</v>
      </c>
      <c r="H20" s="36"/>
      <c r="I20" s="174"/>
      <c r="J20" s="174"/>
      <c r="M20" s="112"/>
      <c r="O20">
        <f t="shared" si="18"/>
        <v>2028</v>
      </c>
      <c r="P20">
        <v>0</v>
      </c>
      <c r="Q20">
        <v>0</v>
      </c>
      <c r="R20">
        <v>0</v>
      </c>
      <c r="S20" s="354">
        <v>0</v>
      </c>
      <c r="T20" s="354">
        <v>0</v>
      </c>
      <c r="U20" s="174">
        <v>0</v>
      </c>
      <c r="V20" s="354">
        <v>0</v>
      </c>
      <c r="W20" s="354">
        <v>0</v>
      </c>
      <c r="X20" s="354">
        <v>0</v>
      </c>
      <c r="Y20" s="354">
        <v>0</v>
      </c>
      <c r="Z20" s="354">
        <v>0</v>
      </c>
      <c r="AA20" s="354">
        <v>0</v>
      </c>
      <c r="AB20" s="354">
        <v>0</v>
      </c>
      <c r="AC20" s="354">
        <v>0</v>
      </c>
      <c r="AD20" s="354">
        <v>0</v>
      </c>
      <c r="AE20" s="354">
        <v>0</v>
      </c>
      <c r="AF20" s="354">
        <v>0</v>
      </c>
      <c r="AG20" s="354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2028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135.08840579710144</v>
      </c>
      <c r="BJ20" s="130">
        <f>IFERROR(VLOOKUP($O20,'Table 3 WYAE Wind_2024'!$B$10:$L$37,11,FALSE),0)</f>
        <v>182.76010416666665</v>
      </c>
      <c r="BK20" s="130">
        <f>IFERROR(VLOOKUP($O20,'Table 3 YK Wind wS_2029'!$B$10:$K$37,10,FALSE),0)</f>
        <v>0</v>
      </c>
      <c r="BL20" s="356"/>
      <c r="BM20" s="130">
        <f>IFERROR(VLOOKUP($O20,'Table 3 ID Wind wS_2032'!$B$10:$K$38,10,FALSE),0)</f>
        <v>0</v>
      </c>
      <c r="BN20" s="130">
        <f>IFERROR(VLOOKUP($O20,'Table 3 PV wS YK_2024'!$B$10:$K$40,10,FALSE),0)</f>
        <v>102.31</v>
      </c>
      <c r="BO20" s="356"/>
      <c r="BP20" s="130">
        <f>IFERROR(VLOOKUP($O20,'Table 3 PV wS SO_2024'!$B$10:$K$40,10,FALSE),0)</f>
        <v>101.94999999999999</v>
      </c>
      <c r="BQ20" s="356"/>
      <c r="BR20" s="130">
        <f>IFERROR(VLOOKUP($O20,'Table 3 PV wS UTN_2024'!$B$10:$K$43,10,FALSE),0)</f>
        <v>101.07999999999998</v>
      </c>
      <c r="BS20" s="130">
        <f>IFERROR(VLOOKUP($O20,'Table 3 PV wS JB_2024'!$B$10:$K$40,10,FALSE),0)</f>
        <v>98.140000000000015</v>
      </c>
      <c r="BT20" s="130">
        <f>IFERROR(VLOOKUP($O20,'Table 3 PV wS JB_2029'!$B$10:$K$40,10,FALSE),0)</f>
        <v>29.96</v>
      </c>
      <c r="BU20" s="356"/>
      <c r="BV20" s="130">
        <f>IFERROR(VLOOKUP($O20,'Table 3 PV wS UTS_2024'!$B$10:$K$38,10,FALSE),0)</f>
        <v>99.899999999999991</v>
      </c>
      <c r="BW20" s="130">
        <f>IFERROR(VLOOKUP($O20,'Table 3 PV wS UTS_2030'!$B$10:$K$38,10,FALSE),0)</f>
        <v>29.96</v>
      </c>
      <c r="BX20" s="355"/>
      <c r="BY20" s="130">
        <f>IFERROR(VLOOKUP($O20,'Table 3 185 MW (NTN) 2026)'!$B$13:$L$40,11,FALSE),0)</f>
        <v>116.43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12.009985320966463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12.009985320966463</v>
      </c>
      <c r="DA20">
        <f t="shared" si="37"/>
        <v>2028</v>
      </c>
      <c r="DB20" s="89">
        <f>IFERROR(VLOOKUP($DA20,'Table 3 TransCost'!$B$10:$E$40,4,FALSE),0)</f>
        <v>52.29</v>
      </c>
      <c r="DC20" s="174">
        <f t="shared" si="41"/>
        <v>0</v>
      </c>
    </row>
    <row r="21" spans="2:107">
      <c r="B21" s="15">
        <f t="shared" si="38"/>
        <v>2029</v>
      </c>
      <c r="C21" s="9">
        <f t="shared" si="17"/>
        <v>122.8746415385661</v>
      </c>
      <c r="D21" s="45"/>
      <c r="E21" s="9">
        <f t="shared" ca="1" si="39"/>
        <v>27.598395648925695</v>
      </c>
      <c r="F21" s="37"/>
      <c r="G21" s="14">
        <f t="shared" ca="1" si="42"/>
        <v>41.625181212688965</v>
      </c>
      <c r="H21" s="36"/>
      <c r="I21" s="174"/>
      <c r="J21" s="174"/>
      <c r="M21" s="112"/>
      <c r="O21">
        <f t="shared" si="18"/>
        <v>2029</v>
      </c>
      <c r="P21">
        <v>0</v>
      </c>
      <c r="Q21">
        <v>0</v>
      </c>
      <c r="R21">
        <v>0</v>
      </c>
      <c r="S21" s="354">
        <v>0</v>
      </c>
      <c r="T21" s="354">
        <v>0</v>
      </c>
      <c r="U21" s="174">
        <v>0</v>
      </c>
      <c r="V21" s="354">
        <v>0</v>
      </c>
      <c r="W21" s="354">
        <v>0</v>
      </c>
      <c r="X21" s="354">
        <v>0</v>
      </c>
      <c r="Y21" s="354">
        <v>0</v>
      </c>
      <c r="Z21" s="354">
        <v>0</v>
      </c>
      <c r="AA21" s="354">
        <v>0</v>
      </c>
      <c r="AB21" s="354">
        <v>0</v>
      </c>
      <c r="AC21" s="354">
        <v>0</v>
      </c>
      <c r="AD21" s="354">
        <v>0</v>
      </c>
      <c r="AE21" s="354">
        <v>0</v>
      </c>
      <c r="AF21" s="354">
        <v>0</v>
      </c>
      <c r="AG21" s="354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2029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138.19449275362319</v>
      </c>
      <c r="BJ21" s="130">
        <f>IFERROR(VLOOKUP($O21,'Table 3 WYAE Wind_2024'!$B$10:$L$37,11,FALSE),0)</f>
        <v>186.94989583333333</v>
      </c>
      <c r="BK21" s="130">
        <f>IFERROR(VLOOKUP($O21,'Table 3 YK Wind wS_2029'!$B$10:$K$37,10,FALSE),0)</f>
        <v>143.38474081632654</v>
      </c>
      <c r="BL21" s="356"/>
      <c r="BM21" s="130">
        <f>IFERROR(VLOOKUP($O21,'Table 3 ID Wind wS_2032'!$B$10:$K$38,10,FALSE),0)</f>
        <v>0</v>
      </c>
      <c r="BN21" s="130">
        <f>IFERROR(VLOOKUP($O21,'Table 3 PV wS YK_2024'!$B$10:$K$40,10,FALSE),0)</f>
        <v>104.66</v>
      </c>
      <c r="BO21" s="356"/>
      <c r="BP21" s="130">
        <f>IFERROR(VLOOKUP($O21,'Table 3 PV wS SO_2024'!$B$10:$K$40,10,FALSE),0)</f>
        <v>104.30000000000001</v>
      </c>
      <c r="BQ21" s="356"/>
      <c r="BR21" s="130">
        <f>IFERROR(VLOOKUP($O21,'Table 3 PV wS UTN_2024'!$B$10:$K$43,10,FALSE),0)</f>
        <v>103.4</v>
      </c>
      <c r="BS21" s="130">
        <f>IFERROR(VLOOKUP($O21,'Table 3 PV wS JB_2024'!$B$10:$K$40,10,FALSE),0)</f>
        <v>100.4</v>
      </c>
      <c r="BT21" s="130">
        <f>IFERROR(VLOOKUP($O21,'Table 3 PV wS JB_2029'!$B$10:$K$40,10,FALSE),0)</f>
        <v>92.178924457429048</v>
      </c>
      <c r="BU21" s="356"/>
      <c r="BV21" s="130">
        <f>IFERROR(VLOOKUP($O21,'Table 3 PV wS UTS_2024'!$B$10:$K$38,10,FALSE),0)</f>
        <v>102.20000000000002</v>
      </c>
      <c r="BW21" s="130">
        <f>IFERROR(VLOOKUP($O21,'Table 3 PV wS UTS_2030'!$B$10:$K$38,10,FALSE),0)</f>
        <v>30.65</v>
      </c>
      <c r="BX21" s="355"/>
      <c r="BY21" s="130">
        <f>IFERROR(VLOOKUP($O21,'Table 3 185 MW (NTN) 2026)'!$B$13:$L$40,11,FALSE),0)</f>
        <v>119.12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12.287464153856611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12.287464153856611</v>
      </c>
      <c r="DA21">
        <f t="shared" si="37"/>
        <v>2029</v>
      </c>
      <c r="DB21" s="89">
        <f>IFERROR(VLOOKUP($DA21,'Table 3 TransCost'!$B$10:$E$40,4,FALSE),0)</f>
        <v>53.49</v>
      </c>
      <c r="DC21" s="174">
        <f t="shared" si="41"/>
        <v>0</v>
      </c>
    </row>
    <row r="22" spans="2:107">
      <c r="B22" s="15">
        <f t="shared" si="38"/>
        <v>2030</v>
      </c>
      <c r="C22" s="9">
        <f t="shared" si="17"/>
        <v>125.70100585871108</v>
      </c>
      <c r="D22" s="45"/>
      <c r="E22" s="9">
        <f t="shared" ca="1" si="39"/>
        <v>26.283585448493067</v>
      </c>
      <c r="F22" s="37"/>
      <c r="G22" s="14">
        <f t="shared" ca="1" si="42"/>
        <v>40.633015341039993</v>
      </c>
      <c r="H22" s="36"/>
      <c r="I22" s="174"/>
      <c r="J22" s="174"/>
      <c r="M22" s="112"/>
      <c r="O22">
        <f t="shared" si="18"/>
        <v>2030</v>
      </c>
      <c r="P22">
        <v>0</v>
      </c>
      <c r="Q22">
        <v>0</v>
      </c>
      <c r="R22">
        <v>0</v>
      </c>
      <c r="S22" s="354">
        <v>0</v>
      </c>
      <c r="T22" s="354">
        <v>0</v>
      </c>
      <c r="U22" s="174">
        <v>0</v>
      </c>
      <c r="V22" s="354">
        <v>0</v>
      </c>
      <c r="W22" s="354">
        <v>0</v>
      </c>
      <c r="X22" s="354">
        <v>0</v>
      </c>
      <c r="Y22" s="354">
        <v>0</v>
      </c>
      <c r="Z22" s="354">
        <v>0</v>
      </c>
      <c r="AA22" s="354">
        <v>0</v>
      </c>
      <c r="AB22" s="354">
        <v>0</v>
      </c>
      <c r="AC22" s="354">
        <v>0</v>
      </c>
      <c r="AD22" s="354">
        <v>0</v>
      </c>
      <c r="AE22" s="354">
        <v>0</v>
      </c>
      <c r="AF22" s="354">
        <v>0</v>
      </c>
      <c r="AG22" s="354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2030</v>
      </c>
      <c r="BH22" s="130">
        <f>IFERROR(VLOOKUP($O22,'Table 3 ID Wind_2030'!$B$10:$K$37,10,FALSE),0)</f>
        <v>136.2952817537722</v>
      </c>
      <c r="BI22" s="130">
        <f>IFERROR(VLOOKUP($O22,'Table 3 UT CP Wind_2023'!$B$10:$K$37,10,FALSE),0)</f>
        <v>141.36507246376812</v>
      </c>
      <c r="BJ22" s="130">
        <f>IFERROR(VLOOKUP($O22,'Table 3 WYAE Wind_2024'!$B$10:$L$37,11,FALSE),0)</f>
        <v>191.23999999999998</v>
      </c>
      <c r="BK22" s="130">
        <f>IFERROR(VLOOKUP($O22,'Table 3 YK Wind wS_2029'!$B$10:$K$37,10,FALSE),0)</f>
        <v>146.62020408163264</v>
      </c>
      <c r="BL22" s="356"/>
      <c r="BM22" s="130">
        <f>IFERROR(VLOOKUP($O22,'Table 3 ID Wind wS_2032'!$B$10:$K$38,10,FALSE),0)</f>
        <v>0</v>
      </c>
      <c r="BN22" s="130">
        <f>IFERROR(VLOOKUP($O22,'Table 3 PV wS YK_2024'!$B$10:$K$40,10,FALSE),0)</f>
        <v>107.06000000000002</v>
      </c>
      <c r="BO22" s="356"/>
      <c r="BP22" s="130">
        <f>IFERROR(VLOOKUP($O22,'Table 3 PV wS SO_2024'!$B$10:$K$40,10,FALSE),0)</f>
        <v>106.69</v>
      </c>
      <c r="BQ22" s="356"/>
      <c r="BR22" s="130">
        <f>IFERROR(VLOOKUP($O22,'Table 3 PV wS UTN_2024'!$B$10:$K$43,10,FALSE),0)</f>
        <v>105.78000000000002</v>
      </c>
      <c r="BS22" s="130">
        <f>IFERROR(VLOOKUP($O22,'Table 3 PV wS JB_2024'!$B$10:$K$40,10,FALSE),0)</f>
        <v>102.69999999999999</v>
      </c>
      <c r="BT22" s="130">
        <f>IFERROR(VLOOKUP($O22,'Table 3 PV wS JB_2029'!$B$10:$K$40,10,FALSE),0)</f>
        <v>94.289999999999992</v>
      </c>
      <c r="BU22" s="356"/>
      <c r="BV22" s="130">
        <f>IFERROR(VLOOKUP($O22,'Table 3 PV wS UTS_2024'!$B$10:$K$38,10,FALSE),0)</f>
        <v>104.55000000000001</v>
      </c>
      <c r="BW22" s="130">
        <f>IFERROR(VLOOKUP($O22,'Table 3 PV wS UTS_2030'!$B$10:$K$38,10,FALSE),0)</f>
        <v>134.52129714599963</v>
      </c>
      <c r="BX22" s="355"/>
      <c r="BY22" s="130">
        <f>IFERROR(VLOOKUP($O22,'Table 3 185 MW (NTN) 2026)'!$B$13:$L$40,11,FALSE),0)</f>
        <v>121.86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12.570100585871108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12.570100585871108</v>
      </c>
      <c r="DA22">
        <f t="shared" si="37"/>
        <v>2030</v>
      </c>
      <c r="DB22" s="89">
        <f>IFERROR(VLOOKUP($DA22,'Table 3 TransCost'!$B$10:$E$40,4,FALSE),0)</f>
        <v>54.72</v>
      </c>
      <c r="DC22" s="174">
        <f t="shared" si="41"/>
        <v>0</v>
      </c>
    </row>
    <row r="23" spans="2:107">
      <c r="B23" s="15">
        <f t="shared" si="38"/>
        <v>2031</v>
      </c>
      <c r="C23" s="9">
        <f t="shared" si="17"/>
        <v>128.59957656659699</v>
      </c>
      <c r="D23" s="45"/>
      <c r="E23" s="9">
        <f t="shared" ca="1" si="39"/>
        <v>27.795305982034552</v>
      </c>
      <c r="F23" s="37"/>
      <c r="G23" s="14">
        <f t="shared" ca="1" si="42"/>
        <v>42.475622941691746</v>
      </c>
      <c r="H23" s="36"/>
      <c r="I23" s="174"/>
      <c r="J23" s="174"/>
      <c r="M23" s="112"/>
      <c r="O23">
        <f t="shared" si="18"/>
        <v>2031</v>
      </c>
      <c r="P23">
        <v>0</v>
      </c>
      <c r="Q23">
        <v>0</v>
      </c>
      <c r="R23">
        <v>0</v>
      </c>
      <c r="S23" s="354">
        <v>0</v>
      </c>
      <c r="T23" s="354">
        <v>0</v>
      </c>
      <c r="U23" s="174">
        <v>0</v>
      </c>
      <c r="V23" s="354">
        <v>0</v>
      </c>
      <c r="W23" s="354">
        <v>0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0</v>
      </c>
      <c r="AD23" s="354">
        <v>0</v>
      </c>
      <c r="AE23" s="354">
        <v>0</v>
      </c>
      <c r="AF23" s="354">
        <v>0</v>
      </c>
      <c r="AG23" s="354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2031</v>
      </c>
      <c r="BH23" s="130">
        <f>IFERROR(VLOOKUP($O23,'Table 3 ID Wind_2030'!$B$10:$K$37,10,FALSE),0)</f>
        <v>139.43004232397075</v>
      </c>
      <c r="BI23" s="130">
        <f>IFERROR(VLOOKUP($O23,'Table 3 UT CP Wind_2023'!$B$10:$K$37,10,FALSE),0)</f>
        <v>144.61463768115942</v>
      </c>
      <c r="BJ23" s="130">
        <f>IFERROR(VLOOKUP($O23,'Table 3 WYAE Wind_2024'!$B$10:$L$37,11,FALSE),0)</f>
        <v>195.62989583333334</v>
      </c>
      <c r="BK23" s="130">
        <f>IFERROR(VLOOKUP($O23,'Table 3 YK Wind wS_2029'!$B$10:$K$37,10,FALSE),0)</f>
        <v>150.02244897959184</v>
      </c>
      <c r="BL23" s="356"/>
      <c r="BM23" s="130">
        <f>IFERROR(VLOOKUP($O23,'Table 3 ID Wind wS_2032'!$B$10:$K$38,10,FALSE),0)</f>
        <v>0</v>
      </c>
      <c r="BN23" s="130">
        <f>IFERROR(VLOOKUP($O23,'Table 3 PV wS YK_2024'!$B$10:$K$40,10,FALSE),0)</f>
        <v>109.52</v>
      </c>
      <c r="BO23" s="356"/>
      <c r="BP23" s="130">
        <f>IFERROR(VLOOKUP($O23,'Table 3 PV wS SO_2024'!$B$10:$K$40,10,FALSE),0)</f>
        <v>109.13999999999999</v>
      </c>
      <c r="BQ23" s="356"/>
      <c r="BR23" s="130">
        <f>IFERROR(VLOOKUP($O23,'Table 3 PV wS UTN_2024'!$B$10:$K$43,10,FALSE),0)</f>
        <v>108.21</v>
      </c>
      <c r="BS23" s="130">
        <f>IFERROR(VLOOKUP($O23,'Table 3 PV wS JB_2024'!$B$10:$K$40,10,FALSE),0)</f>
        <v>105.06</v>
      </c>
      <c r="BT23" s="130">
        <f>IFERROR(VLOOKUP($O23,'Table 3 PV wS JB_2029'!$B$10:$K$40,10,FALSE),0)</f>
        <v>96.460000000000008</v>
      </c>
      <c r="BU23" s="356"/>
      <c r="BV23" s="130">
        <f>IFERROR(VLOOKUP($O23,'Table 3 PV wS UTS_2024'!$B$10:$K$38,10,FALSE),0)</f>
        <v>106.95</v>
      </c>
      <c r="BW23" s="130">
        <f>IFERROR(VLOOKUP($O23,'Table 3 PV wS UTS_2030'!$B$10:$K$38,10,FALSE),0)</f>
        <v>137.60999999999999</v>
      </c>
      <c r="BX23" s="355"/>
      <c r="BY23" s="130">
        <f>IFERROR(VLOOKUP($O23,'Table 3 185 MW (NTN) 2026)'!$B$13:$L$40,11,FALSE),0)</f>
        <v>124.67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12.8599576566597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12.8599576566597</v>
      </c>
      <c r="DA23">
        <f t="shared" si="37"/>
        <v>2031</v>
      </c>
      <c r="DB23" s="89">
        <f>IFERROR(VLOOKUP($DA23,'Table 3 TransCost'!$B$10:$E$40,4,FALSE),0)</f>
        <v>55.98</v>
      </c>
      <c r="DC23" s="174">
        <f t="shared" si="41"/>
        <v>0</v>
      </c>
    </row>
    <row r="24" spans="2:107">
      <c r="B24" s="15">
        <f t="shared" si="38"/>
        <v>2032</v>
      </c>
      <c r="C24" s="9">
        <f t="shared" si="17"/>
        <v>131.54972326572644</v>
      </c>
      <c r="D24" s="45"/>
      <c r="E24" s="9">
        <f t="shared" ca="1" si="39"/>
        <v>29.72702530207421</v>
      </c>
      <c r="F24" s="37"/>
      <c r="G24" s="14">
        <f t="shared" ca="1" si="42"/>
        <v>44.703086693891883</v>
      </c>
      <c r="H24" s="36"/>
      <c r="I24" s="174"/>
      <c r="J24" s="174"/>
      <c r="M24" s="112"/>
      <c r="O24">
        <f t="shared" si="18"/>
        <v>2032</v>
      </c>
      <c r="P24">
        <v>0</v>
      </c>
      <c r="Q24">
        <v>0</v>
      </c>
      <c r="R24">
        <v>0</v>
      </c>
      <c r="S24" s="354">
        <v>0</v>
      </c>
      <c r="T24" s="354">
        <v>0</v>
      </c>
      <c r="U24" s="174">
        <v>0</v>
      </c>
      <c r="V24" s="354">
        <v>0</v>
      </c>
      <c r="W24" s="354">
        <v>0</v>
      </c>
      <c r="X24" s="354">
        <v>0</v>
      </c>
      <c r="Y24" s="354">
        <v>0</v>
      </c>
      <c r="Z24" s="354">
        <v>0</v>
      </c>
      <c r="AA24" s="354">
        <v>0</v>
      </c>
      <c r="AB24" s="354">
        <v>0</v>
      </c>
      <c r="AC24" s="354">
        <v>0</v>
      </c>
      <c r="AD24" s="354">
        <v>0</v>
      </c>
      <c r="AE24" s="354">
        <v>0</v>
      </c>
      <c r="AF24" s="354">
        <v>0</v>
      </c>
      <c r="AG24" s="354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2032</v>
      </c>
      <c r="BH24" s="130">
        <f>IFERROR(VLOOKUP($O24,'Table 3 ID Wind_2030'!$B$10:$K$37,10,FALSE),0)</f>
        <v>142.62018853405155</v>
      </c>
      <c r="BI24" s="130">
        <f>IFERROR(VLOOKUP($O24,'Table 3 UT CP Wind_2023'!$B$10:$K$37,10,FALSE),0)</f>
        <v>147.92869565217393</v>
      </c>
      <c r="BJ24" s="130">
        <f>IFERROR(VLOOKUP($O24,'Table 3 WYAE Wind_2024'!$B$10:$L$37,11,FALSE),0)</f>
        <v>200.12010416666666</v>
      </c>
      <c r="BK24" s="130">
        <f>IFERROR(VLOOKUP($O24,'Table 3 YK Wind wS_2029'!$B$10:$K$37,10,FALSE),0)</f>
        <v>153.48469387755102</v>
      </c>
      <c r="BL24" s="356"/>
      <c r="BM24" s="130">
        <f>IFERROR(VLOOKUP($O24,'Table 3 ID Wind wS_2032'!$B$10:$K$38,10,FALSE),0)</f>
        <v>154.72594420529799</v>
      </c>
      <c r="BN24" s="130">
        <f>IFERROR(VLOOKUP($O24,'Table 3 PV wS YK_2024'!$B$10:$K$40,10,FALSE),0)</f>
        <v>112.04</v>
      </c>
      <c r="BO24" s="356"/>
      <c r="BP24" s="130">
        <f>IFERROR(VLOOKUP($O24,'Table 3 PV wS SO_2024'!$B$10:$K$40,10,FALSE),0)</f>
        <v>111.65</v>
      </c>
      <c r="BQ24" s="356"/>
      <c r="BR24" s="130">
        <f>IFERROR(VLOOKUP($O24,'Table 3 PV wS UTN_2024'!$B$10:$K$43,10,FALSE),0)</f>
        <v>110.7</v>
      </c>
      <c r="BS24" s="130">
        <f>IFERROR(VLOOKUP($O24,'Table 3 PV wS JB_2024'!$B$10:$K$40,10,FALSE),0)</f>
        <v>107.48</v>
      </c>
      <c r="BT24" s="130">
        <f>IFERROR(VLOOKUP($O24,'Table 3 PV wS JB_2029'!$B$10:$K$40,10,FALSE),0)</f>
        <v>98.68</v>
      </c>
      <c r="BU24" s="356"/>
      <c r="BV24" s="130">
        <f>IFERROR(VLOOKUP($O24,'Table 3 PV wS UTS_2024'!$B$10:$K$38,10,FALSE),0)</f>
        <v>109.41</v>
      </c>
      <c r="BW24" s="130">
        <f>IFERROR(VLOOKUP($O24,'Table 3 PV wS UTS_2030'!$B$10:$K$38,10,FALSE),0)</f>
        <v>140.78</v>
      </c>
      <c r="BX24" s="355"/>
      <c r="BY24" s="130">
        <f>IFERROR(VLOOKUP($O24,'Table 3 185 MW (NTN) 2026)'!$B$13:$L$40,11,FALSE),0)</f>
        <v>127.53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13.154972326572643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13.154972326572643</v>
      </c>
      <c r="DA24">
        <f t="shared" si="37"/>
        <v>2032</v>
      </c>
      <c r="DB24" s="89">
        <f>IFERROR(VLOOKUP($DA24,'Table 3 TransCost'!$B$10:$E$40,4,FALSE),0)</f>
        <v>57.27</v>
      </c>
      <c r="DC24" s="174">
        <f t="shared" si="41"/>
        <v>0</v>
      </c>
    </row>
    <row r="25" spans="2:107">
      <c r="B25" s="15">
        <f t="shared" si="38"/>
        <v>2033</v>
      </c>
      <c r="C25" s="9">
        <f t="shared" si="17"/>
        <v>134.57207635259681</v>
      </c>
      <c r="D25" s="45"/>
      <c r="E25" s="9">
        <f t="shared" ca="1" si="39"/>
        <v>30.295704896266653</v>
      </c>
      <c r="F25" s="37"/>
      <c r="G25" s="14">
        <f t="shared" ca="1" si="42"/>
        <v>45.657814068937519</v>
      </c>
      <c r="H25" s="36"/>
      <c r="I25" s="174"/>
      <c r="J25" s="174"/>
      <c r="M25" s="112"/>
      <c r="O25">
        <f t="shared" si="18"/>
        <v>2033</v>
      </c>
      <c r="P25">
        <v>0</v>
      </c>
      <c r="Q25">
        <v>0</v>
      </c>
      <c r="R25">
        <v>0</v>
      </c>
      <c r="S25" s="354">
        <v>0</v>
      </c>
      <c r="T25" s="354">
        <v>0</v>
      </c>
      <c r="U25" s="174">
        <v>0</v>
      </c>
      <c r="V25" s="354">
        <v>0</v>
      </c>
      <c r="W25" s="354">
        <v>0</v>
      </c>
      <c r="X25" s="354">
        <v>0</v>
      </c>
      <c r="Y25" s="354">
        <v>0</v>
      </c>
      <c r="Z25" s="354">
        <v>0</v>
      </c>
      <c r="AA25" s="354">
        <v>0</v>
      </c>
      <c r="AB25" s="354">
        <v>0</v>
      </c>
      <c r="AC25" s="354">
        <v>0</v>
      </c>
      <c r="AD25" s="354">
        <v>0</v>
      </c>
      <c r="AE25" s="354">
        <v>0</v>
      </c>
      <c r="AF25" s="354">
        <v>0</v>
      </c>
      <c r="AG25" s="354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2033</v>
      </c>
      <c r="BH25" s="130">
        <f>IFERROR(VLOOKUP($O25,'Table 3 ID Wind_2030'!$B$10:$K$37,10,FALSE),0)</f>
        <v>145.88957291265871</v>
      </c>
      <c r="BI25" s="130">
        <f>IFERROR(VLOOKUP($O25,'Table 3 UT CP Wind_2023'!$B$10:$K$37,10,FALSE),0)</f>
        <v>151.3172463768116</v>
      </c>
      <c r="BJ25" s="130">
        <f>IFERROR(VLOOKUP($O25,'Table 3 WYAE Wind_2024'!$B$10:$L$37,11,FALSE),0)</f>
        <v>204.72010416666666</v>
      </c>
      <c r="BK25" s="130">
        <f>IFERROR(VLOOKUP($O25,'Table 3 YK Wind wS_2029'!$B$10:$K$37,10,FALSE),0)</f>
        <v>157.00693877551021</v>
      </c>
      <c r="BL25" s="356"/>
      <c r="BM25" s="130">
        <f>IFERROR(VLOOKUP($O25,'Table 3 ID Wind wS_2032'!$B$10:$K$38,10,FALSE),0)</f>
        <v>158.27788079470199</v>
      </c>
      <c r="BN25" s="130">
        <f>IFERROR(VLOOKUP($O25,'Table 3 PV wS YK_2024'!$B$10:$K$40,10,FALSE),0)</f>
        <v>114.61</v>
      </c>
      <c r="BO25" s="356"/>
      <c r="BP25" s="130">
        <f>IFERROR(VLOOKUP($O25,'Table 3 PV wS SO_2024'!$B$10:$K$40,10,FALSE),0)</f>
        <v>114.21000000000001</v>
      </c>
      <c r="BQ25" s="356"/>
      <c r="BR25" s="130">
        <f>IFERROR(VLOOKUP($O25,'Table 3 PV wS UTN_2024'!$B$10:$K$43,10,FALSE),0)</f>
        <v>113.24</v>
      </c>
      <c r="BS25" s="130">
        <f>IFERROR(VLOOKUP($O25,'Table 3 PV wS JB_2024'!$B$10:$K$40,10,FALSE),0)</f>
        <v>109.95</v>
      </c>
      <c r="BT25" s="130">
        <f>IFERROR(VLOOKUP($O25,'Table 3 PV wS JB_2029'!$B$10:$K$40,10,FALSE),0)</f>
        <v>100.95</v>
      </c>
      <c r="BU25" s="356"/>
      <c r="BV25" s="130">
        <f>IFERROR(VLOOKUP($O25,'Table 3 PV wS UTS_2024'!$B$10:$K$38,10,FALSE),0)</f>
        <v>111.92</v>
      </c>
      <c r="BW25" s="130">
        <f>IFERROR(VLOOKUP($O25,'Table 3 PV wS UTS_2030'!$B$10:$K$38,10,FALSE),0)</f>
        <v>144.01</v>
      </c>
      <c r="BX25" s="355"/>
      <c r="BY25" s="130">
        <f>IFERROR(VLOOKUP($O25,'Table 3 185 MW (NTN) 2026)'!$B$13:$L$40,11,FALSE),0)</f>
        <v>130.45999999999998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13.45720763525968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13.45720763525968</v>
      </c>
      <c r="DA25">
        <f t="shared" si="37"/>
        <v>2033</v>
      </c>
      <c r="DB25" s="89">
        <f>IFERROR(VLOOKUP($DA25,'Table 3 TransCost'!$B$10:$E$40,4,FALSE),0)</f>
        <v>58.59</v>
      </c>
      <c r="DC25" s="174">
        <f t="shared" si="41"/>
        <v>0</v>
      </c>
    </row>
    <row r="26" spans="2:107">
      <c r="B26" s="15">
        <f t="shared" si="38"/>
        <v>2034</v>
      </c>
      <c r="C26" s="9">
        <f t="shared" si="17"/>
        <v>137.6666358272081</v>
      </c>
      <c r="D26" s="45"/>
      <c r="E26" s="9">
        <f t="shared" ca="1" si="39"/>
        <v>31.648551805079698</v>
      </c>
      <c r="F26" s="37"/>
      <c r="G26" s="14">
        <f t="shared" ca="1" si="42"/>
        <v>47.363921191747281</v>
      </c>
      <c r="H26" s="36"/>
      <c r="I26" s="174"/>
      <c r="J26" s="174"/>
      <c r="M26" s="112"/>
      <c r="O26">
        <f t="shared" si="18"/>
        <v>2034</v>
      </c>
      <c r="P26">
        <v>0</v>
      </c>
      <c r="Q26">
        <v>0</v>
      </c>
      <c r="R26">
        <v>0</v>
      </c>
      <c r="S26" s="354">
        <v>0</v>
      </c>
      <c r="T26" s="354">
        <v>0</v>
      </c>
      <c r="U26" s="174">
        <v>0</v>
      </c>
      <c r="V26" s="354">
        <v>0</v>
      </c>
      <c r="W26" s="354">
        <v>0</v>
      </c>
      <c r="X26" s="354">
        <v>0</v>
      </c>
      <c r="Y26" s="354">
        <v>0</v>
      </c>
      <c r="Z26" s="354">
        <v>0</v>
      </c>
      <c r="AA26" s="354">
        <v>0</v>
      </c>
      <c r="AB26" s="354">
        <v>0</v>
      </c>
      <c r="AC26" s="354">
        <v>0</v>
      </c>
      <c r="AD26" s="354">
        <v>0</v>
      </c>
      <c r="AE26" s="354">
        <v>0</v>
      </c>
      <c r="AF26" s="354">
        <v>0</v>
      </c>
      <c r="AG26" s="354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2034</v>
      </c>
      <c r="BH26" s="130">
        <f>IFERROR(VLOOKUP($O26,'Table 3 ID Wind_2030'!$B$10:$K$37,10,FALSE),0)</f>
        <v>149.24011927664486</v>
      </c>
      <c r="BI26" s="130">
        <f>IFERROR(VLOOKUP($O26,'Table 3 UT CP Wind_2023'!$B$10:$K$37,10,FALSE),0)</f>
        <v>154.79478260869564</v>
      </c>
      <c r="BJ26" s="130">
        <f>IFERROR(VLOOKUP($O26,'Table 3 WYAE Wind_2024'!$B$10:$L$37,11,FALSE),0)</f>
        <v>209.41989583333333</v>
      </c>
      <c r="BK26" s="130">
        <f>IFERROR(VLOOKUP($O26,'Table 3 YK Wind wS_2029'!$B$10:$K$37,10,FALSE),0)</f>
        <v>160.59918367346941</v>
      </c>
      <c r="BL26" s="356"/>
      <c r="BM26" s="130">
        <f>IFERROR(VLOOKUP($O26,'Table 3 ID Wind wS_2032'!$B$10:$K$38,10,FALSE),0)</f>
        <v>161.91701986754967</v>
      </c>
      <c r="BN26" s="130">
        <f>IFERROR(VLOOKUP($O26,'Table 3 PV wS YK_2024'!$B$10:$K$40,10,FALSE),0)</f>
        <v>117.24</v>
      </c>
      <c r="BO26" s="356"/>
      <c r="BP26" s="130">
        <f>IFERROR(VLOOKUP($O26,'Table 3 PV wS SO_2024'!$B$10:$K$40,10,FALSE),0)</f>
        <v>116.83</v>
      </c>
      <c r="BQ26" s="356"/>
      <c r="BR26" s="130">
        <f>IFERROR(VLOOKUP($O26,'Table 3 PV wS UTN_2024'!$B$10:$K$43,10,FALSE),0)</f>
        <v>115.84</v>
      </c>
      <c r="BS26" s="130">
        <f>IFERROR(VLOOKUP($O26,'Table 3 PV wS JB_2024'!$B$10:$K$40,10,FALSE),0)</f>
        <v>112.48</v>
      </c>
      <c r="BT26" s="130">
        <f>IFERROR(VLOOKUP($O26,'Table 3 PV wS JB_2029'!$B$10:$K$40,10,FALSE),0)</f>
        <v>103.27</v>
      </c>
      <c r="BU26" s="356"/>
      <c r="BV26" s="130">
        <f>IFERROR(VLOOKUP($O26,'Table 3 PV wS UTS_2024'!$B$10:$K$38,10,FALSE),0)</f>
        <v>114.49</v>
      </c>
      <c r="BW26" s="130">
        <f>IFERROR(VLOOKUP($O26,'Table 3 PV wS UTS_2030'!$B$10:$K$38,10,FALSE),0)</f>
        <v>147.32</v>
      </c>
      <c r="BX26" s="355"/>
      <c r="BY26" s="130">
        <f>IFERROR(VLOOKUP($O26,'Table 3 185 MW (NTN) 2026)'!$B$13:$L$40,11,FALSE),0)</f>
        <v>133.45999999999998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13.76666358272081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13.76666358272081</v>
      </c>
      <c r="DA26">
        <f t="shared" si="37"/>
        <v>2034</v>
      </c>
      <c r="DB26" s="89">
        <f>IFERROR(VLOOKUP($DA26,'Table 3 TransCost'!$B$10:$E$40,4,FALSE),0)</f>
        <v>59.94</v>
      </c>
      <c r="DC26" s="174">
        <f t="shared" si="41"/>
        <v>0</v>
      </c>
    </row>
    <row r="27" spans="2:107">
      <c r="B27" s="15">
        <f t="shared" si="38"/>
        <v>2035</v>
      </c>
      <c r="C27" s="9">
        <f t="shared" si="17"/>
        <v>140.83340168956036</v>
      </c>
      <c r="D27" s="45"/>
      <c r="E27" s="9">
        <f t="shared" ca="1" si="39"/>
        <v>33.186398129629083</v>
      </c>
      <c r="F27" s="37"/>
      <c r="G27" s="14">
        <f t="shared" ca="1" si="42"/>
        <v>49.26327046862</v>
      </c>
      <c r="H27" s="36"/>
      <c r="I27" s="174"/>
      <c r="J27" s="174"/>
      <c r="M27" s="112"/>
      <c r="O27">
        <f t="shared" si="18"/>
        <v>2035</v>
      </c>
      <c r="P27">
        <v>0</v>
      </c>
      <c r="Q27">
        <v>0</v>
      </c>
      <c r="R27">
        <v>0</v>
      </c>
      <c r="S27" s="354">
        <v>0</v>
      </c>
      <c r="T27" s="354">
        <v>0</v>
      </c>
      <c r="U27" s="174">
        <v>0</v>
      </c>
      <c r="V27" s="354">
        <v>0</v>
      </c>
      <c r="W27" s="354">
        <v>0</v>
      </c>
      <c r="X27" s="354">
        <v>0</v>
      </c>
      <c r="Y27" s="354">
        <v>0</v>
      </c>
      <c r="Z27" s="354">
        <v>0</v>
      </c>
      <c r="AA27" s="354">
        <v>0</v>
      </c>
      <c r="AB27" s="354">
        <v>0</v>
      </c>
      <c r="AC27" s="354">
        <v>0</v>
      </c>
      <c r="AD27" s="354">
        <v>0</v>
      </c>
      <c r="AE27" s="354">
        <v>0</v>
      </c>
      <c r="AF27" s="354">
        <v>0</v>
      </c>
      <c r="AG27" s="354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2035</v>
      </c>
      <c r="BH27" s="130">
        <f>IFERROR(VLOOKUP($O27,'Table 3 ID Wind_2030'!$B$10:$K$37,10,FALSE),0)</f>
        <v>152.65990380915738</v>
      </c>
      <c r="BI27" s="130">
        <f>IFERROR(VLOOKUP($O27,'Table 3 UT CP Wind_2023'!$B$10:$K$37,10,FALSE),0)</f>
        <v>158.33681159420289</v>
      </c>
      <c r="BJ27" s="130">
        <f>IFERROR(VLOOKUP($O27,'Table 3 WYAE Wind_2024'!$B$10:$L$37,11,FALSE),0)</f>
        <v>214.23</v>
      </c>
      <c r="BK27" s="130">
        <f>IFERROR(VLOOKUP($O27,'Table 3 YK Wind wS_2029'!$B$10:$K$37,10,FALSE),0)</f>
        <v>164.26142857142858</v>
      </c>
      <c r="BL27" s="356"/>
      <c r="BM27" s="130">
        <f>IFERROR(VLOOKUP($O27,'Table 3 ID Wind wS_2032'!$B$10:$K$38,10,FALSE),0)</f>
        <v>165.62615894039737</v>
      </c>
      <c r="BN27" s="130">
        <f>IFERROR(VLOOKUP($O27,'Table 3 PV wS YK_2024'!$B$10:$K$40,10,FALSE),0)</f>
        <v>119.94</v>
      </c>
      <c r="BO27" s="356"/>
      <c r="BP27" s="130">
        <f>IFERROR(VLOOKUP($O27,'Table 3 PV wS SO_2024'!$B$10:$K$40,10,FALSE),0)</f>
        <v>119.52000000000001</v>
      </c>
      <c r="BQ27" s="356"/>
      <c r="BR27" s="130">
        <f>IFERROR(VLOOKUP($O27,'Table 3 PV wS UTN_2024'!$B$10:$K$43,10,FALSE),0)</f>
        <v>118.49999999999999</v>
      </c>
      <c r="BS27" s="130">
        <f>IFERROR(VLOOKUP($O27,'Table 3 PV wS JB_2024'!$B$10:$K$40,10,FALSE),0)</f>
        <v>115.07</v>
      </c>
      <c r="BT27" s="130">
        <f>IFERROR(VLOOKUP($O27,'Table 3 PV wS JB_2029'!$B$10:$K$40,10,FALSE),0)</f>
        <v>105.65</v>
      </c>
      <c r="BU27" s="356"/>
      <c r="BV27" s="130">
        <f>IFERROR(VLOOKUP($O27,'Table 3 PV wS UTS_2024'!$B$10:$K$38,10,FALSE),0)</f>
        <v>117.11999999999999</v>
      </c>
      <c r="BW27" s="130">
        <f>IFERROR(VLOOKUP($O27,'Table 3 PV wS UTS_2030'!$B$10:$K$38,10,FALSE),0)</f>
        <v>150.70999999999998</v>
      </c>
      <c r="BX27" s="355"/>
      <c r="BY27" s="130">
        <f>IFERROR(VLOOKUP($O27,'Table 3 185 MW (NTN) 2026)'!$B$13:$L$40,11,FALSE),0)</f>
        <v>136.53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14.083340168956036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14.083340168956036</v>
      </c>
      <c r="DA27">
        <f t="shared" si="37"/>
        <v>2035</v>
      </c>
      <c r="DB27" s="89">
        <f>IFERROR(VLOOKUP($DA27,'Table 3 TransCost'!$B$10:$E$40,4,FALSE),0)</f>
        <v>61.32</v>
      </c>
      <c r="DC27" s="174">
        <f t="shared" si="41"/>
        <v>0</v>
      </c>
    </row>
    <row r="28" spans="2:107" hidden="1">
      <c r="B28" s="15">
        <f t="shared" si="38"/>
        <v>2036</v>
      </c>
      <c r="C28" s="9">
        <f t="shared" si="17"/>
        <v>144.04142834490739</v>
      </c>
      <c r="D28" s="45"/>
      <c r="E28" s="9">
        <f t="shared" ca="1" si="39"/>
        <v>34.953521525833317</v>
      </c>
      <c r="F28" s="37"/>
      <c r="G28" s="14">
        <f t="shared" ca="1" si="42"/>
        <v>51.351680490417486</v>
      </c>
      <c r="H28" s="36"/>
      <c r="I28" s="174"/>
      <c r="J28" s="174"/>
      <c r="M28" s="112"/>
      <c r="O28">
        <f t="shared" si="18"/>
        <v>2036</v>
      </c>
      <c r="P28">
        <v>0</v>
      </c>
      <c r="Q28">
        <v>0</v>
      </c>
      <c r="R28">
        <v>0</v>
      </c>
      <c r="S28" s="354">
        <v>0</v>
      </c>
      <c r="T28" s="354">
        <v>0</v>
      </c>
      <c r="U28" s="174">
        <v>0</v>
      </c>
      <c r="V28" s="354">
        <v>0</v>
      </c>
      <c r="W28" s="354">
        <v>0</v>
      </c>
      <c r="X28" s="354">
        <v>0</v>
      </c>
      <c r="Y28" s="354">
        <v>0</v>
      </c>
      <c r="Z28" s="354">
        <v>0</v>
      </c>
      <c r="AA28" s="354">
        <v>0</v>
      </c>
      <c r="AB28" s="354">
        <v>0</v>
      </c>
      <c r="AC28" s="354">
        <v>0</v>
      </c>
      <c r="AD28" s="354">
        <v>0</v>
      </c>
      <c r="AE28" s="354">
        <v>0</v>
      </c>
      <c r="AF28" s="354">
        <v>0</v>
      </c>
      <c r="AG28" s="354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2036</v>
      </c>
      <c r="BH28" s="130">
        <f>IFERROR(VLOOKUP($O28,'Table 3 ID Wind_2030'!$B$10:$K$37,10,FALSE),0)</f>
        <v>156.16950750288572</v>
      </c>
      <c r="BI28" s="130">
        <f>IFERROR(VLOOKUP($O28,'Table 3 UT CP Wind_2023'!$B$10:$K$37,10,FALSE),0)</f>
        <v>161.96782608695653</v>
      </c>
      <c r="BJ28" s="130">
        <f>IFERROR(VLOOKUP($O28,'Table 3 WYAE Wind_2024'!$B$10:$L$37,11,FALSE),0)</f>
        <v>219.15979166666665</v>
      </c>
      <c r="BK28" s="130">
        <f>IFERROR(VLOOKUP($O28,'Table 3 YK Wind wS_2029'!$B$10:$K$37,10,FALSE),0)</f>
        <v>167.99367346938777</v>
      </c>
      <c r="BL28" s="356"/>
      <c r="BM28" s="130">
        <f>IFERROR(VLOOKUP($O28,'Table 3 ID Wind wS_2032'!$B$10:$K$38,10,FALSE),0)</f>
        <v>169.42185430463576</v>
      </c>
      <c r="BN28" s="130">
        <f>IFERROR(VLOOKUP($O28,'Table 3 PV wS YK_2024'!$B$10:$K$40,10,FALSE),0)</f>
        <v>122.7</v>
      </c>
      <c r="BO28" s="356"/>
      <c r="BP28" s="130">
        <f>IFERROR(VLOOKUP($O28,'Table 3 PV wS SO_2024'!$B$10:$K$40,10,FALSE),0)</f>
        <v>122.27000000000001</v>
      </c>
      <c r="BQ28" s="356"/>
      <c r="BR28" s="130">
        <f>IFERROR(VLOOKUP($O28,'Table 3 PV wS UTN_2024'!$B$10:$K$43,10,FALSE),0)</f>
        <v>121.22999999999999</v>
      </c>
      <c r="BS28" s="130">
        <f>IFERROR(VLOOKUP($O28,'Table 3 PV wS JB_2024'!$B$10:$K$40,10,FALSE),0)</f>
        <v>117.72</v>
      </c>
      <c r="BT28" s="130">
        <f>IFERROR(VLOOKUP($O28,'Table 3 PV wS JB_2029'!$B$10:$K$40,10,FALSE),0)</f>
        <v>108.08000000000001</v>
      </c>
      <c r="BU28" s="356"/>
      <c r="BV28" s="130">
        <f>IFERROR(VLOOKUP($O28,'Table 3 PV wS UTS_2024'!$B$10:$K$38,10,FALSE),0)</f>
        <v>119.80999999999999</v>
      </c>
      <c r="BW28" s="130">
        <f>IFERROR(VLOOKUP($O28,'Table 3 PV wS UTS_2030'!$B$10:$K$38,10,FALSE),0)</f>
        <v>154.17999999999998</v>
      </c>
      <c r="BX28" s="355"/>
      <c r="BY28" s="130">
        <f>IFERROR(VLOOKUP($O28,'Table 3 185 MW (NTN) 2026)'!$B$13:$L$40,11,FALSE),0)</f>
        <v>139.63999999999999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14.404142834490738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14.404142834490738</v>
      </c>
      <c r="DA28">
        <f t="shared" si="37"/>
        <v>2036</v>
      </c>
      <c r="DB28" s="89">
        <f>IFERROR(VLOOKUP($DA28,'Table 3 TransCost'!$B$10:$E$40,4,FALSE),0)</f>
        <v>62.73</v>
      </c>
      <c r="DC28" s="174">
        <f t="shared" si="41"/>
        <v>0</v>
      </c>
    </row>
    <row r="29" spans="2:107" hidden="1">
      <c r="B29" s="15">
        <f t="shared" si="38"/>
        <v>2037</v>
      </c>
      <c r="C29" s="9">
        <f t="shared" si="17"/>
        <v>147.35260698274149</v>
      </c>
      <c r="D29" s="45"/>
      <c r="E29" s="9">
        <f t="shared" ca="1" si="39"/>
        <v>36.814045022993021</v>
      </c>
      <c r="F29" s="37"/>
      <c r="G29" s="14">
        <f t="shared" ca="1" si="42"/>
        <v>53.635118879470369</v>
      </c>
      <c r="H29" s="36"/>
      <c r="I29" s="174"/>
      <c r="J29" s="174"/>
      <c r="M29" s="112"/>
      <c r="O29">
        <f t="shared" si="18"/>
        <v>2037</v>
      </c>
      <c r="P29">
        <v>0</v>
      </c>
      <c r="Q29">
        <v>0</v>
      </c>
      <c r="R29">
        <v>0</v>
      </c>
      <c r="S29" s="354">
        <v>0</v>
      </c>
      <c r="T29" s="354">
        <v>0</v>
      </c>
      <c r="U29" s="174">
        <v>0</v>
      </c>
      <c r="V29" s="354">
        <v>0</v>
      </c>
      <c r="W29" s="354">
        <v>0</v>
      </c>
      <c r="X29" s="354">
        <v>0</v>
      </c>
      <c r="Y29" s="354">
        <v>0</v>
      </c>
      <c r="Z29" s="354">
        <v>0</v>
      </c>
      <c r="AA29" s="354">
        <v>0</v>
      </c>
      <c r="AB29" s="354">
        <v>0</v>
      </c>
      <c r="AC29" s="354">
        <v>0</v>
      </c>
      <c r="AD29" s="354">
        <v>0</v>
      </c>
      <c r="AE29" s="354">
        <v>0</v>
      </c>
      <c r="AF29" s="354">
        <v>0</v>
      </c>
      <c r="AG29" s="354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2037</v>
      </c>
      <c r="BH29" s="130">
        <f>IFERROR(VLOOKUP($O29,'Table 3 ID Wind_2030'!$B$10:$K$37,10,FALSE),0)</f>
        <v>159.7496921893036</v>
      </c>
      <c r="BI29" s="130">
        <f>IFERROR(VLOOKUP($O29,'Table 3 UT CP Wind_2023'!$B$10:$K$37,10,FALSE),0)</f>
        <v>165.68333333333334</v>
      </c>
      <c r="BJ29" s="130">
        <f>IFERROR(VLOOKUP($O29,'Table 3 WYAE Wind_2024'!$B$10:$L$37,11,FALSE),0)</f>
        <v>224.18</v>
      </c>
      <c r="BK29" s="130">
        <f>IFERROR(VLOOKUP($O29,'Table 3 YK Wind wS_2029'!$B$10:$K$37,10,FALSE),0)</f>
        <v>171.89795918367346</v>
      </c>
      <c r="BL29" s="356"/>
      <c r="BM29" s="130">
        <f>IFERROR(VLOOKUP($O29,'Table 3 ID Wind wS_2032'!$B$10:$K$38,10,FALSE),0)</f>
        <v>173.33066225165564</v>
      </c>
      <c r="BN29" s="130">
        <f>IFERROR(VLOOKUP($O29,'Table 3 PV wS YK_2024'!$B$10:$K$40,10,FALSE),0)</f>
        <v>125.52</v>
      </c>
      <c r="BO29" s="356"/>
      <c r="BP29" s="130">
        <f>IFERROR(VLOOKUP($O29,'Table 3 PV wS SO_2024'!$B$10:$K$40,10,FALSE),0)</f>
        <v>125.09</v>
      </c>
      <c r="BQ29" s="356"/>
      <c r="BR29" s="130">
        <f>IFERROR(VLOOKUP($O29,'Table 3 PV wS UTN_2024'!$B$10:$K$43,10,FALSE),0)</f>
        <v>124.02</v>
      </c>
      <c r="BS29" s="130">
        <f>IFERROR(VLOOKUP($O29,'Table 3 PV wS JB_2024'!$B$10:$K$40,10,FALSE),0)</f>
        <v>120.43</v>
      </c>
      <c r="BT29" s="130">
        <f>IFERROR(VLOOKUP($O29,'Table 3 PV wS JB_2029'!$B$10:$K$40,10,FALSE),0)</f>
        <v>110.57</v>
      </c>
      <c r="BU29" s="356"/>
      <c r="BV29" s="130">
        <f>IFERROR(VLOOKUP($O29,'Table 3 PV wS UTS_2024'!$B$10:$K$38,10,FALSE),0)</f>
        <v>122.57000000000001</v>
      </c>
      <c r="BW29" s="130">
        <f>IFERROR(VLOOKUP($O29,'Table 3 PV wS UTS_2030'!$B$10:$K$38,10,FALSE),0)</f>
        <v>157.73000000000002</v>
      </c>
      <c r="BX29" s="355"/>
      <c r="BY29" s="130">
        <f>IFERROR(VLOOKUP($O29,'Table 3 185 MW (NTN) 2026)'!$B$13:$L$40,11,FALSE),0)</f>
        <v>142.85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14.73526069827415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14.73526069827415</v>
      </c>
      <c r="DA29">
        <f t="shared" si="37"/>
        <v>2037</v>
      </c>
      <c r="DB29" s="89">
        <f>IFERROR(VLOOKUP($DA29,'Table 3 TransCost'!$B$10:$E$40,4,FALSE),0)</f>
        <v>64.17</v>
      </c>
      <c r="DC29" s="174">
        <f t="shared" si="41"/>
        <v>0</v>
      </c>
    </row>
    <row r="30" spans="2:107" hidden="1">
      <c r="B30" s="15">
        <f t="shared" si="38"/>
        <v>2038</v>
      </c>
      <c r="C30" s="9">
        <f t="shared" si="17"/>
        <v>150.74630720656521</v>
      </c>
      <c r="D30" s="45"/>
      <c r="E30" s="9">
        <f t="shared" ca="1" si="39"/>
        <v>39.147248205450197</v>
      </c>
      <c r="F30" s="37"/>
      <c r="G30" s="14">
        <f t="shared" ca="1" si="42"/>
        <v>56.355730763277279</v>
      </c>
      <c r="H30" s="36"/>
      <c r="I30" s="174"/>
      <c r="J30" s="174"/>
      <c r="M30" s="112"/>
      <c r="O30">
        <f t="shared" si="18"/>
        <v>2038</v>
      </c>
      <c r="P30">
        <v>0</v>
      </c>
      <c r="Q30">
        <v>0</v>
      </c>
      <c r="R30">
        <v>0</v>
      </c>
      <c r="S30" s="354">
        <v>0</v>
      </c>
      <c r="T30" s="354">
        <v>0</v>
      </c>
      <c r="U30" s="174">
        <v>0</v>
      </c>
      <c r="V30" s="354">
        <v>0</v>
      </c>
      <c r="W30" s="354">
        <v>0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0</v>
      </c>
      <c r="AD30" s="354">
        <v>0</v>
      </c>
      <c r="AE30" s="354">
        <v>0</v>
      </c>
      <c r="AF30" s="354">
        <v>0</v>
      </c>
      <c r="AG30" s="354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2038</v>
      </c>
      <c r="BH30" s="130">
        <f>IFERROR(VLOOKUP($O30,'Table 3 ID Wind_2030'!$B$10:$K$37,10,FALSE),0)</f>
        <v>163.42065794536359</v>
      </c>
      <c r="BI30" s="130">
        <f>IFERROR(VLOOKUP($O30,'Table 3 UT CP Wind_2023'!$B$10:$K$37,10,FALSE),0)</f>
        <v>169.48782608695652</v>
      </c>
      <c r="BJ30" s="130">
        <f>IFERROR(VLOOKUP($O30,'Table 3 WYAE Wind_2024'!$B$10:$L$37,11,FALSE),0)</f>
        <v>229.32989583333332</v>
      </c>
      <c r="BK30" s="130">
        <f>IFERROR(VLOOKUP($O30,'Table 3 YK Wind wS_2029'!$B$10:$K$37,10,FALSE),0)</f>
        <v>175.87224489795918</v>
      </c>
      <c r="BL30" s="356"/>
      <c r="BM30" s="130">
        <f>IFERROR(VLOOKUP($O30,'Table 3 ID Wind wS_2032'!$B$10:$K$38,10,FALSE),0)</f>
        <v>177.30947019867548</v>
      </c>
      <c r="BN30" s="130">
        <f>IFERROR(VLOOKUP($O30,'Table 3 PV wS YK_2024'!$B$10:$K$40,10,FALSE),0)</f>
        <v>128.41</v>
      </c>
      <c r="BO30" s="356"/>
      <c r="BP30" s="130">
        <f>IFERROR(VLOOKUP($O30,'Table 3 PV wS SO_2024'!$B$10:$K$40,10,FALSE),0)</f>
        <v>127.97</v>
      </c>
      <c r="BQ30" s="356"/>
      <c r="BR30" s="130">
        <f>IFERROR(VLOOKUP($O30,'Table 3 PV wS UTN_2024'!$B$10:$K$43,10,FALSE),0)</f>
        <v>126.88000000000001</v>
      </c>
      <c r="BS30" s="130">
        <f>IFERROR(VLOOKUP($O30,'Table 3 PV wS JB_2024'!$B$10:$K$40,10,FALSE),0)</f>
        <v>123.2</v>
      </c>
      <c r="BT30" s="130">
        <f>IFERROR(VLOOKUP($O30,'Table 3 PV wS JB_2029'!$B$10:$K$40,10,FALSE),0)</f>
        <v>113.12</v>
      </c>
      <c r="BU30" s="356"/>
      <c r="BV30" s="130">
        <f>IFERROR(VLOOKUP($O30,'Table 3 PV wS UTS_2024'!$B$10:$K$38,10,FALSE),0)</f>
        <v>125.4</v>
      </c>
      <c r="BW30" s="130">
        <f>IFERROR(VLOOKUP($O30,'Table 3 PV wS UTS_2030'!$B$10:$K$38,10,FALSE),0)</f>
        <v>161.36000000000001</v>
      </c>
      <c r="BX30" s="355"/>
      <c r="BY30" s="130">
        <f>IFERROR(VLOOKUP($O30,'Table 3 185 MW (NTN) 2026)'!$B$13:$L$40,11,FALSE),0)</f>
        <v>146.13999999999999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15.074630720656522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15.074630720656522</v>
      </c>
      <c r="DA30">
        <f t="shared" si="37"/>
        <v>2038</v>
      </c>
      <c r="DB30" s="89">
        <f>IFERROR(VLOOKUP($DA30,'Table 3 TransCost'!$B$10:$E$40,4,FALSE),0)</f>
        <v>65.650000000000006</v>
      </c>
      <c r="DC30" s="174">
        <f t="shared" si="41"/>
        <v>0</v>
      </c>
    </row>
    <row r="31" spans="2:107" hidden="1">
      <c r="B31" s="15">
        <f t="shared" si="38"/>
        <v>2039</v>
      </c>
      <c r="C31" s="9">
        <f t="shared" si="17"/>
        <v>154.21221381812987</v>
      </c>
      <c r="D31" s="45"/>
      <c r="E31" s="9" t="e">
        <f t="shared" ca="1" si="39"/>
        <v>#DIV/0!</v>
      </c>
      <c r="F31" s="37"/>
      <c r="G31" s="14" t="e">
        <f t="shared" ca="1" si="42"/>
        <v>#DIV/0!</v>
      </c>
      <c r="H31" s="36"/>
      <c r="I31" s="174"/>
      <c r="J31" s="174"/>
      <c r="M31" s="112"/>
      <c r="O31">
        <f t="shared" si="18"/>
        <v>2039</v>
      </c>
      <c r="P31">
        <v>0</v>
      </c>
      <c r="Q31">
        <v>0</v>
      </c>
      <c r="R31">
        <v>0</v>
      </c>
      <c r="S31" s="354">
        <v>0</v>
      </c>
      <c r="T31" s="354">
        <v>0</v>
      </c>
      <c r="U31" s="174">
        <v>0</v>
      </c>
      <c r="V31" s="354">
        <v>0</v>
      </c>
      <c r="W31" s="354">
        <v>0</v>
      </c>
      <c r="X31" s="354">
        <v>0</v>
      </c>
      <c r="Y31" s="354">
        <v>0</v>
      </c>
      <c r="Z31" s="354">
        <v>0</v>
      </c>
      <c r="AA31" s="354">
        <v>0</v>
      </c>
      <c r="AB31" s="354">
        <v>0</v>
      </c>
      <c r="AC31" s="354">
        <v>0</v>
      </c>
      <c r="AD31" s="354">
        <v>0</v>
      </c>
      <c r="AE31" s="354">
        <v>0</v>
      </c>
      <c r="AF31" s="354">
        <v>0</v>
      </c>
      <c r="AG31" s="354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2039</v>
      </c>
      <c r="BH31" s="130">
        <f>IFERROR(VLOOKUP($O31,'Table 3 ID Wind_2030'!$B$10:$K$37,10,FALSE),0)</f>
        <v>167.18</v>
      </c>
      <c r="BI31" s="130">
        <f>IFERROR(VLOOKUP($O31,'Table 3 UT CP Wind_2023'!$B$10:$K$37,10,FALSE),0)</f>
        <v>173.39000000000001</v>
      </c>
      <c r="BJ31" s="130">
        <f>IFERROR(VLOOKUP($O31,'Table 3 WYAE Wind_2024'!$B$10:$L$37,11,FALSE),0)</f>
        <v>234.6</v>
      </c>
      <c r="BK31" s="130">
        <f>IFERROR(VLOOKUP($O31,'Table 3 YK Wind wS_2029'!$B$10:$K$37,10,FALSE),0)</f>
        <v>179.92</v>
      </c>
      <c r="BL31" s="356"/>
      <c r="BM31" s="130">
        <f>IFERROR(VLOOKUP($O31,'Table 3 ID Wind wS_2032'!$B$10:$K$38,10,FALSE),0)</f>
        <v>181.38</v>
      </c>
      <c r="BN31" s="130">
        <f>IFERROR(VLOOKUP($O31,'Table 3 PV wS YK_2024'!$B$10:$K$40,10,FALSE),0)</f>
        <v>131.36999999999998</v>
      </c>
      <c r="BO31" s="356"/>
      <c r="BP31" s="130">
        <f>IFERROR(VLOOKUP($O31,'Table 3 PV wS SO_2024'!$B$10:$K$40,10,FALSE),0)</f>
        <v>130.91999999999999</v>
      </c>
      <c r="BQ31" s="356"/>
      <c r="BR31" s="130">
        <f>IFERROR(VLOOKUP($O31,'Table 3 PV wS UTN_2024'!$B$10:$K$43,10,FALSE),0)</f>
        <v>129.80000000000001</v>
      </c>
      <c r="BS31" s="130">
        <f>IFERROR(VLOOKUP($O31,'Table 3 PV wS JB_2024'!$B$10:$K$40,10,FALSE),0)</f>
        <v>126.03999999999999</v>
      </c>
      <c r="BT31" s="130">
        <f>IFERROR(VLOOKUP($O31,'Table 3 PV wS JB_2029'!$B$10:$K$40,10,FALSE),0)</f>
        <v>115.72999999999999</v>
      </c>
      <c r="BU31" s="356"/>
      <c r="BV31" s="130">
        <f>IFERROR(VLOOKUP($O31,'Table 3 PV wS UTS_2024'!$B$10:$K$38,10,FALSE),0)</f>
        <v>128.29000000000002</v>
      </c>
      <c r="BW31" s="130">
        <f>IFERROR(VLOOKUP($O31,'Table 3 PV wS UTS_2030'!$B$10:$K$38,10,FALSE),0)</f>
        <v>165.07999999999998</v>
      </c>
      <c r="BX31" s="355"/>
      <c r="BY31" s="130">
        <f>IFERROR(VLOOKUP($O31,'Table 3 185 MW (NTN) 2026)'!$B$13:$L$40,11,FALSE),0)</f>
        <v>149.5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15.421221381812988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15.421221381812988</v>
      </c>
      <c r="DA31">
        <f t="shared" ref="DA31:DA32" si="64">O31</f>
        <v>2039</v>
      </c>
      <c r="DB31" s="89">
        <f>IFERROR(VLOOKUP($DA31,'Table 3 TransCost'!$B$10:$E$40,4,FALSE),0)</f>
        <v>67.16</v>
      </c>
      <c r="DC31" s="174">
        <f t="shared" ref="DC31:DC32" si="65">$DB$5*DB31/1000</f>
        <v>0</v>
      </c>
    </row>
    <row r="32" spans="2:107" hidden="1">
      <c r="B32" s="15">
        <f t="shared" si="38"/>
        <v>2040</v>
      </c>
      <c r="C32" s="9">
        <f t="shared" si="17"/>
        <v>157.76064201568417</v>
      </c>
      <c r="D32" s="45"/>
      <c r="E32" s="9" t="e">
        <f t="shared" ca="1" si="39"/>
        <v>#DIV/0!</v>
      </c>
      <c r="F32" s="37"/>
      <c r="G32" s="14" t="e">
        <f t="shared" ca="1" si="42"/>
        <v>#DIV/0!</v>
      </c>
      <c r="H32" s="36"/>
      <c r="I32" s="174"/>
      <c r="J32" s="174"/>
      <c r="M32" s="112"/>
      <c r="O32">
        <f t="shared" si="18"/>
        <v>2040</v>
      </c>
      <c r="P32" s="368">
        <v>0</v>
      </c>
      <c r="Q32" s="368">
        <v>0</v>
      </c>
      <c r="R32" s="368">
        <v>0</v>
      </c>
      <c r="S32" s="368">
        <v>0</v>
      </c>
      <c r="T32" s="368">
        <v>0</v>
      </c>
      <c r="U32" s="368">
        <v>0</v>
      </c>
      <c r="V32" s="368">
        <v>0</v>
      </c>
      <c r="W32" s="368">
        <v>0</v>
      </c>
      <c r="X32" s="368">
        <v>0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8">
        <v>0</v>
      </c>
      <c r="AF32" s="368">
        <v>0</v>
      </c>
      <c r="AG32" s="368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2040</v>
      </c>
      <c r="BH32" s="130">
        <f>IFERROR(VLOOKUP($O32,'Table 3 ID Wind_2030'!$B$10:$K$37,10,FALSE),0)</f>
        <v>171.02</v>
      </c>
      <c r="BI32" s="130">
        <f>IFERROR(VLOOKUP($O32,'Table 3 UT CP Wind_2023'!$B$10:$K$37,10,FALSE),0)</f>
        <v>177.38</v>
      </c>
      <c r="BJ32" s="130">
        <f>IFERROR(VLOOKUP($O32,'Table 3 WYAE Wind_2024'!$B$10:$L$37,11,FALSE),0)</f>
        <v>239.99</v>
      </c>
      <c r="BK32" s="130">
        <f>IFERROR(VLOOKUP($O32,'Table 3 YK Wind wS_2029'!$B$10:$K$37,10,FALSE),0)</f>
        <v>184.06</v>
      </c>
      <c r="BL32" s="356"/>
      <c r="BM32" s="130">
        <f>IFERROR(VLOOKUP($O32,'Table 3 ID Wind wS_2032'!$B$10:$K$38,10,FALSE),0)</f>
        <v>185.55</v>
      </c>
      <c r="BN32" s="130">
        <f>IFERROR(VLOOKUP($O32,'Table 3 PV wS YK_2024'!$B$10:$K$40,10,FALSE),0)</f>
        <v>134.39000000000001</v>
      </c>
      <c r="BO32" s="356"/>
      <c r="BP32" s="130">
        <f>IFERROR(VLOOKUP($O32,'Table 3 PV wS SO_2024'!$B$10:$K$40,10,FALSE),0)</f>
        <v>133.94</v>
      </c>
      <c r="BQ32" s="356"/>
      <c r="BR32" s="130">
        <f>IFERROR(VLOOKUP($O32,'Table 3 PV wS UTN_2024'!$B$10:$K$43,10,FALSE),0)</f>
        <v>132.79</v>
      </c>
      <c r="BS32" s="130">
        <f>IFERROR(VLOOKUP($O32,'Table 3 PV wS JB_2024'!$B$10:$K$40,10,FALSE),0)</f>
        <v>128.94</v>
      </c>
      <c r="BT32" s="130">
        <f>IFERROR(VLOOKUP($O32,'Table 3 PV wS JB_2029'!$B$10:$K$40,10,FALSE),0)</f>
        <v>118.4</v>
      </c>
      <c r="BU32" s="356"/>
      <c r="BV32" s="130">
        <f>IFERROR(VLOOKUP($O32,'Table 3 PV wS UTS_2024'!$B$10:$K$38,10,FALSE),0)</f>
        <v>131.25</v>
      </c>
      <c r="BW32" s="130">
        <f>IFERROR(VLOOKUP($O32,'Table 3 PV wS UTS_2030'!$B$10:$K$38,10,FALSE),0)</f>
        <v>168.88</v>
      </c>
      <c r="BX32" s="355"/>
      <c r="BY32" s="130">
        <f>IFERROR(VLOOKUP($O32,'Table 3 185 MW (NTN) 2026)'!$B$13:$L$40,11,FALSE),0)</f>
        <v>152.94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15.776064201568417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15.776064201568417</v>
      </c>
      <c r="DA32">
        <f t="shared" si="64"/>
        <v>2040</v>
      </c>
      <c r="DB32" s="89">
        <f>IFERROR(VLOOKUP($DA32,'Table 3 TransCost'!$B$10:$E$40,4,FALSE),0)</f>
        <v>68.7</v>
      </c>
      <c r="DC32" s="174">
        <f t="shared" si="65"/>
        <v>0</v>
      </c>
    </row>
    <row r="33" spans="1:107" hidden="1">
      <c r="B33" s="15">
        <f t="shared" si="38"/>
        <v>2041</v>
      </c>
      <c r="C33" s="9">
        <f t="shared" si="17"/>
        <v>161.4019069974768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4"/>
      <c r="J33" s="174"/>
      <c r="M33" s="112"/>
      <c r="O33">
        <f t="shared" ref="O33" si="66">B33</f>
        <v>2041</v>
      </c>
      <c r="P33" s="368">
        <v>0</v>
      </c>
      <c r="Q33" s="368">
        <v>0</v>
      </c>
      <c r="R33" s="368">
        <v>0</v>
      </c>
      <c r="S33" s="368">
        <v>0</v>
      </c>
      <c r="T33" s="368">
        <v>0</v>
      </c>
      <c r="U33" s="368">
        <v>0</v>
      </c>
      <c r="V33" s="368">
        <v>0</v>
      </c>
      <c r="W33" s="368">
        <v>0</v>
      </c>
      <c r="X33" s="368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8">
        <v>0</v>
      </c>
      <c r="AF33" s="368">
        <v>0</v>
      </c>
      <c r="AG33" s="368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2041</v>
      </c>
      <c r="BH33" s="130">
        <f>IFERROR(VLOOKUP($O33,'Table 3 ID Wind_2030'!$B$10:$K$37,10,FALSE),0)</f>
        <v>174.96</v>
      </c>
      <c r="BI33" s="130">
        <f>IFERROR(VLOOKUP($O33,'Table 3 UT CP Wind_2023'!$B$10:$K$37,10,FALSE),0)</f>
        <v>181.46</v>
      </c>
      <c r="BJ33" s="130">
        <f>IFERROR(VLOOKUP($O33,'Table 3 WYAE Wind_2024'!$B$10:$L$37,11,FALSE),0)</f>
        <v>245.51</v>
      </c>
      <c r="BK33" s="130">
        <f>IFERROR(VLOOKUP($O33,'Table 3 YK Wind wS_2029'!$B$10:$K$37,10,FALSE),0)</f>
        <v>188.29</v>
      </c>
      <c r="BL33" s="356"/>
      <c r="BM33" s="130">
        <f>IFERROR(VLOOKUP($O33,'Table 3 ID Wind wS_2032'!$B$10:$K$38,10,FALSE),0)</f>
        <v>189.82000000000002</v>
      </c>
      <c r="BN33" s="130">
        <f>IFERROR(VLOOKUP($O33,'Table 3 PV wS YK_2024'!$B$10:$K$40,10,FALSE),0)</f>
        <v>137.48000000000002</v>
      </c>
      <c r="BO33" s="356"/>
      <c r="BP33" s="130">
        <f>IFERROR(VLOOKUP($O33,'Table 3 PV wS SO_2024'!$B$10:$K$40,10,FALSE),0)</f>
        <v>137.03</v>
      </c>
      <c r="BQ33" s="356"/>
      <c r="BR33" s="130">
        <f>IFERROR(VLOOKUP($O33,'Table 3 PV wS UTN_2024'!$B$10:$K$43,10,FALSE),0)</f>
        <v>135.85</v>
      </c>
      <c r="BS33" s="130">
        <f>IFERROR(VLOOKUP($O33,'Table 3 PV wS JB_2024'!$B$10:$K$40,10,FALSE),0)</f>
        <v>131.91</v>
      </c>
      <c r="BT33" s="130">
        <f>IFERROR(VLOOKUP($O33,'Table 3 PV wS JB_2029'!$B$10:$K$40,10,FALSE),0)</f>
        <v>121.13</v>
      </c>
      <c r="BU33" s="356"/>
      <c r="BV33" s="130">
        <f>IFERROR(VLOOKUP($O33,'Table 3 PV wS UTS_2024'!$B$10:$K$38,10,FALSE),0)</f>
        <v>134.27000000000001</v>
      </c>
      <c r="BW33" s="130">
        <f>IFERROR(VLOOKUP($O33,'Table 3 PV wS UTS_2030'!$B$10:$K$38,10,FALSE),0)</f>
        <v>172.77</v>
      </c>
      <c r="BX33" s="355"/>
      <c r="BY33" s="130">
        <f>IFERROR(VLOOKUP($O33,'Table 3 185 MW (NTN) 2026)'!$B$13:$L$40,11,FALSE),0)</f>
        <v>156.47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16.140190699747681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16.140190699747681</v>
      </c>
      <c r="DA33">
        <f t="shared" ref="DA33:DA38" si="69">O33</f>
        <v>2041</v>
      </c>
      <c r="DB33" s="89">
        <f>IFERROR(VLOOKUP($DA33,'Table 3 TransCost'!$B$10:$E$40,4,FALSE),0)</f>
        <v>70.28</v>
      </c>
      <c r="DC33" s="174">
        <f t="shared" ref="DC33:DC38" si="70">$DB$5*DB33/1000</f>
        <v>0</v>
      </c>
    </row>
    <row r="34" spans="1:107" hidden="1">
      <c r="B34" s="15">
        <f t="shared" si="38"/>
        <v>2042</v>
      </c>
      <c r="C34" s="9">
        <f t="shared" si="17"/>
        <v>165.10506316876166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4"/>
      <c r="J34" s="174"/>
      <c r="M34" s="112"/>
      <c r="O34">
        <f t="shared" ref="O34" si="72">B34</f>
        <v>2042</v>
      </c>
      <c r="P34" s="368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0</v>
      </c>
      <c r="AF34" s="368">
        <v>0</v>
      </c>
      <c r="AG34" s="368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2042</v>
      </c>
      <c r="BH34" s="130">
        <f>IFERROR(VLOOKUP($O34,'Table 3 ID Wind_2030'!$B$10:$K$37,10,FALSE),0)</f>
        <v>178.98000000000002</v>
      </c>
      <c r="BI34" s="130">
        <f>IFERROR(VLOOKUP($O34,'Table 3 UT CP Wind_2023'!$B$10:$K$37,10,FALSE),0)</f>
        <v>185.64</v>
      </c>
      <c r="BJ34" s="130">
        <f>IFERROR(VLOOKUP($O34,'Table 3 WYAE Wind_2024'!$B$10:$L$37,11,FALSE),0)</f>
        <v>251.16</v>
      </c>
      <c r="BK34" s="130">
        <f>IFERROR(VLOOKUP($O34,'Table 3 YK Wind wS_2029'!$B$10:$K$37,10,FALSE),0)</f>
        <v>192.60999999999999</v>
      </c>
      <c r="BL34" s="356"/>
      <c r="BM34" s="130">
        <f>IFERROR(VLOOKUP($O34,'Table 3 ID Wind wS_2032'!$B$10:$K$38,10,FALSE),0)</f>
        <v>194.19</v>
      </c>
      <c r="BN34" s="130">
        <f>IFERROR(VLOOKUP($O34,'Table 3 PV wS YK_2024'!$B$10:$K$40,10,FALSE),0)</f>
        <v>140.63999999999999</v>
      </c>
      <c r="BO34" s="356"/>
      <c r="BP34" s="130">
        <f>IFERROR(VLOOKUP($O34,'Table 3 PV wS SO_2024'!$B$10:$K$40,10,FALSE),0)</f>
        <v>140.19</v>
      </c>
      <c r="BQ34" s="356"/>
      <c r="BR34" s="130">
        <f>IFERROR(VLOOKUP($O34,'Table 3 PV wS UTN_2024'!$B$10:$K$43,10,FALSE),0)</f>
        <v>138.97999999999999</v>
      </c>
      <c r="BS34" s="130">
        <f>IFERROR(VLOOKUP($O34,'Table 3 PV wS JB_2024'!$B$10:$K$40,10,FALSE),0)</f>
        <v>134.94999999999999</v>
      </c>
      <c r="BT34" s="130">
        <f>IFERROR(VLOOKUP($O34,'Table 3 PV wS JB_2029'!$B$10:$K$40,10,FALSE),0)</f>
        <v>123.91999999999999</v>
      </c>
      <c r="BU34" s="356"/>
      <c r="BV34" s="130">
        <f>IFERROR(VLOOKUP($O34,'Table 3 PV wS UTS_2024'!$B$10:$K$38,10,FALSE),0)</f>
        <v>137.35999999999999</v>
      </c>
      <c r="BW34" s="130">
        <f>IFERROR(VLOOKUP($O34,'Table 3 PV wS UTS_2030'!$B$10:$K$38,10,FALSE),0)</f>
        <v>176.75</v>
      </c>
      <c r="BX34" s="355"/>
      <c r="BY34" s="130">
        <f>IFERROR(VLOOKUP($O34,'Table 3 185 MW (NTN) 2026)'!$B$13:$L$40,11,FALSE),0)</f>
        <v>160.06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16.510506316876167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16.510506316876167</v>
      </c>
      <c r="DA34">
        <f t="shared" si="69"/>
        <v>2042</v>
      </c>
      <c r="DB34" s="89">
        <f>IFERROR(VLOOKUP($DA34,'Table 3 TransCost'!$B$10:$E$40,4,FALSE),0)</f>
        <v>71.900000000000006</v>
      </c>
      <c r="DC34" s="174">
        <f t="shared" si="70"/>
        <v>0</v>
      </c>
    </row>
    <row r="35" spans="1:107" hidden="1">
      <c r="B35" s="15">
        <f t="shared" si="38"/>
        <v>2043</v>
      </c>
      <c r="C35" s="9">
        <f t="shared" si="17"/>
        <v>0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/>
      <c r="I35" s="174"/>
      <c r="J35" s="174"/>
      <c r="M35" s="112"/>
      <c r="O35">
        <f t="shared" ref="O35:O38" si="75">B35</f>
        <v>2043</v>
      </c>
      <c r="P35" s="368">
        <v>0</v>
      </c>
      <c r="Q35" s="368">
        <v>0</v>
      </c>
      <c r="R35" s="368">
        <v>0</v>
      </c>
      <c r="S35" s="368">
        <v>0</v>
      </c>
      <c r="T35" s="368">
        <v>0</v>
      </c>
      <c r="U35" s="368">
        <v>0</v>
      </c>
      <c r="V35" s="368">
        <v>0</v>
      </c>
      <c r="W35" s="368">
        <v>0</v>
      </c>
      <c r="X35" s="368">
        <v>0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8">
        <v>0</v>
      </c>
      <c r="AF35" s="368">
        <v>0</v>
      </c>
      <c r="AG35" s="368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2043</v>
      </c>
      <c r="BH35" s="130">
        <f>IFERROR(VLOOKUP($O35,'Table 3 ID Wind_2030'!$B$10:$K$37,10,FALSE),0)</f>
        <v>183.28</v>
      </c>
      <c r="BI35" s="130">
        <f>IFERROR(VLOOKUP($O35,'Table 3 UT CP Wind_2023'!$B$10:$K$37,10,FALSE),0)</f>
        <v>190.08999999999997</v>
      </c>
      <c r="BJ35" s="130">
        <f>IFERROR(VLOOKUP($O35,'Table 3 WYAE Wind_2024'!$B$10:$L$37,11,FALSE),0)</f>
        <v>257.19</v>
      </c>
      <c r="BK35" s="130">
        <f>IFERROR(VLOOKUP($O35,'Table 3 YK Wind wS_2029'!$B$10:$K$37,10,FALSE),0)</f>
        <v>197.22</v>
      </c>
      <c r="BL35" s="356"/>
      <c r="BM35" s="130">
        <f>IFERROR(VLOOKUP($O35,'Table 3 ID Wind wS_2032'!$B$10:$K$38,10,FALSE),0)</f>
        <v>198.85</v>
      </c>
      <c r="BN35" s="130">
        <f>IFERROR(VLOOKUP($O35,'Table 3 PV wS YK_2024'!$B$10:$K$40,10,FALSE),0)</f>
        <v>144.01000000000002</v>
      </c>
      <c r="BO35" s="356"/>
      <c r="BP35" s="130">
        <f>IFERROR(VLOOKUP($O35,'Table 3 PV wS SO_2024'!$B$10:$K$40,10,FALSE),0)</f>
        <v>143.56</v>
      </c>
      <c r="BQ35" s="356"/>
      <c r="BR35" s="130">
        <f>IFERROR(VLOOKUP($O35,'Table 3 PV wS UTN_2024'!$B$10:$K$43,10,FALSE),0)</f>
        <v>142.31</v>
      </c>
      <c r="BS35" s="130">
        <f>IFERROR(VLOOKUP($O35,'Table 3 PV wS JB_2024'!$B$10:$K$40,10,FALSE),0)</f>
        <v>138.19</v>
      </c>
      <c r="BT35" s="130">
        <f>IFERROR(VLOOKUP($O35,'Table 3 PV wS JB_2029'!$B$10:$K$40,10,FALSE),0)</f>
        <v>126.9</v>
      </c>
      <c r="BU35" s="356"/>
      <c r="BV35" s="130">
        <f>IFERROR(VLOOKUP($O35,'Table 3 PV wS UTS_2024'!$B$10:$K$38,10,FALSE),0)</f>
        <v>140.65</v>
      </c>
      <c r="BW35" s="130">
        <f>IFERROR(VLOOKUP($O35,'Table 3 PV wS UTS_2030'!$B$10:$K$38,10,FALSE),0)</f>
        <v>180.99</v>
      </c>
      <c r="BX35" s="355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0</v>
      </c>
      <c r="DA35">
        <f t="shared" si="69"/>
        <v>2043</v>
      </c>
      <c r="DB35" s="89">
        <f>IFERROR(VLOOKUP($DA35,'Table 3 TransCost'!$B$10:$E$40,4,FALSE),0)</f>
        <v>73.63</v>
      </c>
      <c r="DC35" s="174">
        <f t="shared" si="70"/>
        <v>0</v>
      </c>
    </row>
    <row r="36" spans="1:107" hidden="1">
      <c r="B36" s="15">
        <f t="shared" si="38"/>
        <v>2044</v>
      </c>
      <c r="C36" s="9">
        <f t="shared" si="17"/>
        <v>0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/>
      <c r="I36" s="174"/>
      <c r="J36" s="174"/>
      <c r="M36" s="112"/>
      <c r="O36">
        <f t="shared" si="75"/>
        <v>2044</v>
      </c>
      <c r="P36" s="368">
        <v>0</v>
      </c>
      <c r="Q36" s="368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8">
        <v>0</v>
      </c>
      <c r="AF36" s="368">
        <v>0</v>
      </c>
      <c r="AG36" s="368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2044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56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56"/>
      <c r="BP36" s="130">
        <f>IFERROR(VLOOKUP($O36,'Table 3 PV wS SO_2024'!$B$10:$K$40,10,FALSE),0)</f>
        <v>0</v>
      </c>
      <c r="BQ36" s="356"/>
      <c r="BR36" s="130">
        <f>IFERROR(VLOOKUP($O36,'Table 3 PV wS UTN_2024'!$B$10:$K$43,10,FALSE),0)</f>
        <v>142.31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56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55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0</v>
      </c>
      <c r="DA36">
        <f t="shared" si="69"/>
        <v>2044</v>
      </c>
      <c r="DB36" s="89">
        <f>IFERROR(VLOOKUP($DA36,'Table 3 TransCost'!$B$10:$E$40,4,FALSE),0)</f>
        <v>75.400000000000006</v>
      </c>
      <c r="DC36" s="174">
        <f t="shared" si="70"/>
        <v>0</v>
      </c>
    </row>
    <row r="37" spans="1:107" hidden="1">
      <c r="B37" s="15">
        <f t="shared" si="38"/>
        <v>2045</v>
      </c>
      <c r="C37" s="9">
        <f t="shared" si="17"/>
        <v>0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/>
      <c r="I37" s="174"/>
      <c r="J37" s="174"/>
      <c r="M37" s="112"/>
      <c r="O37">
        <f t="shared" si="75"/>
        <v>2045</v>
      </c>
      <c r="P37" s="368">
        <v>0</v>
      </c>
      <c r="Q37" s="368">
        <v>0</v>
      </c>
      <c r="R37" s="368">
        <v>0</v>
      </c>
      <c r="S37" s="368">
        <v>0</v>
      </c>
      <c r="T37" s="368">
        <v>0</v>
      </c>
      <c r="U37" s="368">
        <v>0</v>
      </c>
      <c r="V37" s="368">
        <v>0</v>
      </c>
      <c r="W37" s="368">
        <v>0</v>
      </c>
      <c r="X37" s="368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0</v>
      </c>
      <c r="AF37" s="368">
        <v>0</v>
      </c>
      <c r="AG37" s="368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2045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56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56"/>
      <c r="BP37" s="130">
        <f>IFERROR(VLOOKUP($O37,'Table 3 PV wS SO_2024'!$B$10:$K$40,10,FALSE),0)</f>
        <v>0</v>
      </c>
      <c r="BQ37" s="356"/>
      <c r="BR37" s="130">
        <f>IFERROR(VLOOKUP($O37,'Table 3 PV wS UTN_2024'!$B$10:$K$43,10,FALSE),0)</f>
        <v>142.31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56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55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2045</v>
      </c>
      <c r="DB37" s="89">
        <f>IFERROR(VLOOKUP($DA37,'Table 3 TransCost'!$B$10:$E$40,4,FALSE),0)</f>
        <v>77.209999999999994</v>
      </c>
      <c r="DC37" s="174">
        <f t="shared" si="70"/>
        <v>0</v>
      </c>
    </row>
    <row r="38" spans="1:107" hidden="1">
      <c r="B38" s="15">
        <f t="shared" si="38"/>
        <v>2046</v>
      </c>
      <c r="C38" s="9">
        <f t="shared" si="17"/>
        <v>0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/>
      <c r="I38" s="174"/>
      <c r="J38" s="174"/>
      <c r="M38" s="112"/>
      <c r="O38">
        <f t="shared" si="75"/>
        <v>2046</v>
      </c>
      <c r="P38" s="368">
        <v>0</v>
      </c>
      <c r="Q38" s="368">
        <v>0</v>
      </c>
      <c r="R38" s="368">
        <v>0</v>
      </c>
      <c r="S38" s="368">
        <v>0</v>
      </c>
      <c r="T38" s="368">
        <v>0</v>
      </c>
      <c r="U38" s="368">
        <v>0</v>
      </c>
      <c r="V38" s="368">
        <v>0</v>
      </c>
      <c r="W38" s="368">
        <v>0</v>
      </c>
      <c r="X38" s="368">
        <v>0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8">
        <v>0</v>
      </c>
      <c r="AF38" s="368">
        <v>0</v>
      </c>
      <c r="AG38" s="368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2046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56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56"/>
      <c r="BP38" s="130">
        <f>IFERROR(VLOOKUP($O38,'Table 3 PV wS SO_2024'!$B$10:$K$40,10,FALSE),0)</f>
        <v>0</v>
      </c>
      <c r="BQ38" s="356"/>
      <c r="BR38" s="130">
        <f>IFERROR(VLOOKUP($O38,'Table 3 PV wS UTN_2024'!$B$10:$K$43,10,FALSE),0)</f>
        <v>142.31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56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55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2046</v>
      </c>
      <c r="DB38" s="89">
        <f>IFERROR(VLOOKUP($DA38,'Table 3 TransCost'!$B$10:$E$40,4,FALSE),0)</f>
        <v>0</v>
      </c>
      <c r="DC38" s="174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11"/>
      <c r="B41" s="411"/>
      <c r="D41" s="9"/>
      <c r="F41" s="37"/>
      <c r="H41" s="36"/>
      <c r="I41"/>
      <c r="N41" t="s">
        <v>226</v>
      </c>
      <c r="P41" s="198">
        <v>0</v>
      </c>
      <c r="Q41" s="198"/>
      <c r="R41" s="198">
        <v>0</v>
      </c>
      <c r="S41" s="198">
        <v>0</v>
      </c>
      <c r="T41" s="198">
        <v>0</v>
      </c>
      <c r="U41" s="198">
        <v>0</v>
      </c>
      <c r="V41" s="198">
        <v>0</v>
      </c>
      <c r="W41" s="198">
        <v>0</v>
      </c>
      <c r="X41" s="198">
        <v>0</v>
      </c>
      <c r="Y41" s="198">
        <v>0</v>
      </c>
      <c r="Z41" s="198">
        <v>0</v>
      </c>
      <c r="AA41" s="198">
        <v>0</v>
      </c>
      <c r="AB41" s="198">
        <v>0</v>
      </c>
      <c r="AC41" s="198">
        <v>0</v>
      </c>
      <c r="AD41" s="198">
        <v>0</v>
      </c>
      <c r="AE41" s="198">
        <v>0</v>
      </c>
      <c r="AF41" s="198">
        <v>0</v>
      </c>
      <c r="AG41" s="198">
        <v>1</v>
      </c>
      <c r="AH41" s="198"/>
      <c r="AI41" s="198"/>
      <c r="AJ41" s="198"/>
    </row>
    <row r="42" spans="1:107">
      <c r="A42" s="180"/>
      <c r="B42" s="55"/>
      <c r="E42" s="5"/>
      <c r="I42" s="49" t="s">
        <v>160</v>
      </c>
      <c r="P42" s="169"/>
      <c r="Q42" s="169"/>
      <c r="R42" s="169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82"/>
      <c r="H44" s="36"/>
    </row>
    <row r="45" spans="1:107">
      <c r="A45" s="412"/>
      <c r="B45" s="412"/>
      <c r="E45" s="9"/>
      <c r="G45" s="182"/>
      <c r="H45" s="36"/>
      <c r="P45" t="s">
        <v>112</v>
      </c>
    </row>
    <row r="46" spans="1:107" ht="13.5" customHeight="1">
      <c r="A46" s="55"/>
      <c r="B46" s="55"/>
      <c r="E46" s="5"/>
      <c r="H46" s="36"/>
      <c r="P46" t="s">
        <v>111</v>
      </c>
      <c r="R46" s="269">
        <v>2.2799999999999997E-2</v>
      </c>
    </row>
    <row r="47" spans="1:107" ht="21" customHeight="1">
      <c r="A47" s="412" t="str">
        <f>'Table 5'!A9</f>
        <v>15 Year</v>
      </c>
      <c r="B47" s="412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69.315813749600082</v>
      </c>
      <c r="D49" s="9"/>
      <c r="H49" s="36"/>
      <c r="I49"/>
    </row>
    <row r="50" spans="1:19">
      <c r="B50" s="48" t="s">
        <v>31</v>
      </c>
      <c r="E50" s="9">
        <f ca="1">'Table 5'!$C$9/'Table 5'!$F$9</f>
        <v>23.718264268895872</v>
      </c>
      <c r="G50" s="182">
        <f ca="1">'Table 5'!$G$9</f>
        <v>31.631028395562545</v>
      </c>
      <c r="H50" s="36"/>
      <c r="I50" s="204"/>
      <c r="S50" s="174"/>
    </row>
    <row r="51" spans="1:19" ht="8.25" customHeight="1">
      <c r="A51" s="412"/>
      <c r="B51" s="412"/>
      <c r="E51" s="9"/>
      <c r="G51" s="108"/>
      <c r="H51" s="36"/>
    </row>
    <row r="52" spans="1:19">
      <c r="A52" s="412"/>
      <c r="B52" s="412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82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2"/>
      <c r="B61" s="412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2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17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#REF!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$31.67/MWH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34" customFormat="1" ht="18.75" customHeight="1">
      <c r="B4" s="415" t="s">
        <v>179</v>
      </c>
      <c r="C4" s="416"/>
      <c r="D4" s="416"/>
      <c r="E4" s="417"/>
      <c r="F4" s="118"/>
      <c r="G4" s="415" t="s">
        <v>184</v>
      </c>
      <c r="H4" s="416"/>
      <c r="I4" s="416"/>
      <c r="J4" s="417"/>
      <c r="K4" s="118"/>
      <c r="L4" s="418" t="s">
        <v>191</v>
      </c>
      <c r="M4" s="419"/>
      <c r="N4" s="419"/>
      <c r="O4" s="420"/>
      <c r="Q4" s="418" t="s">
        <v>182</v>
      </c>
      <c r="R4" s="419"/>
      <c r="S4" s="419"/>
      <c r="T4" s="420"/>
      <c r="U4" s="118"/>
      <c r="V4" s="415" t="s">
        <v>183</v>
      </c>
      <c r="W4" s="416"/>
      <c r="X4" s="416"/>
      <c r="Y4" s="417"/>
      <c r="Z4" s="118"/>
      <c r="AA4" s="415" t="s">
        <v>221</v>
      </c>
      <c r="AB4" s="416"/>
      <c r="AC4" s="416"/>
      <c r="AD4" s="417"/>
      <c r="AE4" s="118"/>
      <c r="AF4" s="415" t="s">
        <v>222</v>
      </c>
      <c r="AG4" s="416"/>
      <c r="AH4" s="416"/>
      <c r="AI4" s="417"/>
      <c r="AJ4" s="118"/>
      <c r="AK4" s="418" t="s">
        <v>187</v>
      </c>
      <c r="AL4" s="419"/>
      <c r="AM4" s="419"/>
      <c r="AN4" s="420"/>
      <c r="AO4" s="118"/>
      <c r="AP4" s="418" t="s">
        <v>193</v>
      </c>
      <c r="AQ4" s="419"/>
      <c r="AR4" s="419"/>
      <c r="AS4" s="420"/>
      <c r="AT4" s="118"/>
      <c r="AU4" s="418" t="s">
        <v>195</v>
      </c>
      <c r="AV4" s="419"/>
      <c r="AW4" s="419"/>
      <c r="AX4" s="420"/>
      <c r="AY4" s="118"/>
      <c r="AZ4" s="418" t="s">
        <v>219</v>
      </c>
      <c r="BA4" s="419"/>
      <c r="BB4" s="419"/>
      <c r="BC4" s="420"/>
      <c r="BD4" s="353"/>
      <c r="BE4" s="418" t="s">
        <v>220</v>
      </c>
      <c r="BF4" s="419"/>
      <c r="BG4" s="419"/>
      <c r="BH4" s="420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50" t="str">
        <f>B4</f>
        <v>Aeolus_Wyoming - to - Utah S, Expansion</v>
      </c>
      <c r="D9" s="119"/>
      <c r="E9" s="119"/>
      <c r="G9" s="350" t="str">
        <f>G4</f>
        <v>Goshen - to - Utah N, Expansion</v>
      </c>
      <c r="I9" s="119"/>
      <c r="J9" s="119"/>
      <c r="L9" s="350" t="str">
        <f>L4</f>
        <v>Yakima- to - Southern Oregon/California, Expansion</v>
      </c>
      <c r="N9" s="119"/>
      <c r="O9" s="119"/>
      <c r="Q9" s="350" t="str">
        <f>Q4</f>
        <v>Utah N, Transmission Integration</v>
      </c>
      <c r="S9" s="119"/>
      <c r="T9" s="119"/>
      <c r="V9" s="350" t="str">
        <f>V4</f>
        <v>Yakima, Transmission Integration</v>
      </c>
      <c r="X9" s="119"/>
      <c r="Y9" s="119"/>
      <c r="AA9" s="350" t="s">
        <v>185</v>
      </c>
      <c r="AC9" s="119"/>
      <c r="AD9" s="119"/>
      <c r="AF9" s="350" t="s">
        <v>186</v>
      </c>
      <c r="AH9" s="119"/>
      <c r="AI9" s="119"/>
      <c r="AK9" s="350" t="str">
        <f>AK4</f>
        <v>Southern Oregon/California, Transmission Integration</v>
      </c>
      <c r="AM9" s="119"/>
      <c r="AN9" s="119"/>
      <c r="AP9" s="350" t="str">
        <f>AP4</f>
        <v>Willamette Valley, Transmission Integration</v>
      </c>
      <c r="AR9" s="119"/>
      <c r="AS9" s="119"/>
      <c r="AU9" s="350" t="str">
        <f>AU4</f>
        <v>Wyoming SW, Transmission Integration</v>
      </c>
      <c r="AW9" s="119"/>
      <c r="AX9" s="119"/>
      <c r="AZ9" s="350" t="str">
        <f>AZ4</f>
        <v>Bridger - to - Bridger West, Recovered Transmission 2029</v>
      </c>
      <c r="BB9" s="119"/>
      <c r="BC9" s="119"/>
      <c r="BE9" s="350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41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41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41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41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41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48.88</v>
      </c>
      <c r="D12" s="135">
        <v>12</v>
      </c>
      <c r="E12" s="130">
        <f t="shared" si="0"/>
        <v>48.88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49.96</v>
      </c>
      <c r="D13" s="135">
        <v>12</v>
      </c>
      <c r="E13" s="130">
        <f t="shared" si="0"/>
        <v>49.96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1.56</v>
      </c>
      <c r="AC13" s="135">
        <v>12</v>
      </c>
      <c r="AD13" s="130">
        <f t="shared" si="5"/>
        <v>1.5599999999999998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51.11</v>
      </c>
      <c r="D14" s="135">
        <v>12</v>
      </c>
      <c r="E14" s="130">
        <f t="shared" si="0"/>
        <v>51.109999999999992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</v>
      </c>
      <c r="AC14" s="135">
        <v>12</v>
      </c>
      <c r="AD14" s="130">
        <f t="shared" si="5"/>
        <v>1.6000000000000003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75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52.29</v>
      </c>
      <c r="D15" s="135">
        <v>12</v>
      </c>
      <c r="E15" s="130">
        <f t="shared" si="0"/>
        <v>52.29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1.64</v>
      </c>
      <c r="AC15" s="135">
        <v>12</v>
      </c>
      <c r="AD15" s="130">
        <f t="shared" si="5"/>
        <v>1.64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53.49</v>
      </c>
      <c r="D16" s="135">
        <v>12</v>
      </c>
      <c r="E16" s="130">
        <f t="shared" si="0"/>
        <v>53.49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2.88</v>
      </c>
      <c r="S16" s="135">
        <v>12</v>
      </c>
      <c r="T16" s="130">
        <f t="shared" si="3"/>
        <v>2.8800000000000003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1.68</v>
      </c>
      <c r="AC16" s="135">
        <v>12</v>
      </c>
      <c r="AD16" s="130">
        <f t="shared" si="5"/>
        <v>1.68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41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54.72</v>
      </c>
      <c r="D17" s="135">
        <v>12</v>
      </c>
      <c r="E17" s="130">
        <f t="shared" si="0"/>
        <v>54.72</v>
      </c>
      <c r="F17" s="119"/>
      <c r="G17" s="341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2.95</v>
      </c>
      <c r="S17" s="135">
        <v>12</v>
      </c>
      <c r="T17" s="130">
        <f t="shared" si="3"/>
        <v>2.9500000000000006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1.72</v>
      </c>
      <c r="AC17" s="135">
        <v>12</v>
      </c>
      <c r="AD17" s="130">
        <f t="shared" si="5"/>
        <v>1.72</v>
      </c>
      <c r="AE17" s="119"/>
      <c r="AF17" s="341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55.98</v>
      </c>
      <c r="D18" s="135">
        <v>12</v>
      </c>
      <c r="E18" s="130">
        <f t="shared" si="0"/>
        <v>55.98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3.02</v>
      </c>
      <c r="S18" s="135">
        <v>12</v>
      </c>
      <c r="T18" s="130">
        <f t="shared" si="3"/>
        <v>3.02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1.76</v>
      </c>
      <c r="AC18" s="135">
        <v>12</v>
      </c>
      <c r="AD18" s="130">
        <f t="shared" si="5"/>
        <v>1.76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57.27</v>
      </c>
      <c r="D19" s="135">
        <v>12</v>
      </c>
      <c r="E19" s="130">
        <f t="shared" si="0"/>
        <v>57.27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3.09</v>
      </c>
      <c r="S19" s="135">
        <v>12</v>
      </c>
      <c r="T19" s="130">
        <f t="shared" si="3"/>
        <v>3.09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</v>
      </c>
      <c r="AC19" s="135">
        <v>12</v>
      </c>
      <c r="AD19" s="130">
        <f t="shared" si="5"/>
        <v>1.8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58.59</v>
      </c>
      <c r="D20" s="135">
        <v>12</v>
      </c>
      <c r="E20" s="130">
        <f t="shared" si="0"/>
        <v>58.59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3.16</v>
      </c>
      <c r="S20" s="135">
        <v>12</v>
      </c>
      <c r="T20" s="130">
        <f t="shared" si="3"/>
        <v>3.16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1.84</v>
      </c>
      <c r="AC20" s="135">
        <v>12</v>
      </c>
      <c r="AD20" s="130">
        <f t="shared" si="5"/>
        <v>1.84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41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59.94</v>
      </c>
      <c r="D21" s="135">
        <v>12</v>
      </c>
      <c r="E21" s="130">
        <f t="shared" si="0"/>
        <v>59.94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3.23</v>
      </c>
      <c r="S21" s="135">
        <v>12</v>
      </c>
      <c r="T21" s="130">
        <f t="shared" si="3"/>
        <v>3.23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1.88</v>
      </c>
      <c r="AC21" s="135">
        <v>12</v>
      </c>
      <c r="AD21" s="130">
        <f t="shared" si="5"/>
        <v>1.88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61.32</v>
      </c>
      <c r="D22" s="135">
        <v>12</v>
      </c>
      <c r="E22" s="130">
        <f t="shared" si="0"/>
        <v>61.32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</v>
      </c>
      <c r="S22" s="135">
        <v>12</v>
      </c>
      <c r="T22" s="130">
        <f t="shared" si="3"/>
        <v>3.2999999999999994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1.92</v>
      </c>
      <c r="AC22" s="135">
        <v>12</v>
      </c>
      <c r="AD22" s="130">
        <f t="shared" si="5"/>
        <v>1.92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62.73</v>
      </c>
      <c r="D23" s="135">
        <v>12</v>
      </c>
      <c r="E23" s="130">
        <f t="shared" si="0"/>
        <v>62.73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41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3.38</v>
      </c>
      <c r="S23" s="135">
        <v>12</v>
      </c>
      <c r="T23" s="130">
        <f t="shared" si="3"/>
        <v>3.3800000000000003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1.96</v>
      </c>
      <c r="AC23" s="135">
        <v>12</v>
      </c>
      <c r="AD23" s="130">
        <f t="shared" si="5"/>
        <v>1.96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64.17</v>
      </c>
      <c r="D24" s="135">
        <v>12</v>
      </c>
      <c r="E24" s="130">
        <f t="shared" si="0"/>
        <v>64.17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3.46</v>
      </c>
      <c r="S24" s="135">
        <v>12</v>
      </c>
      <c r="T24" s="130">
        <f t="shared" si="3"/>
        <v>3.4599999999999995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2.0099999999999998</v>
      </c>
      <c r="AC24" s="135">
        <v>12</v>
      </c>
      <c r="AD24" s="130">
        <f t="shared" si="5"/>
        <v>2.0099999999999998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41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41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65.650000000000006</v>
      </c>
      <c r="D25" s="135">
        <v>12</v>
      </c>
      <c r="E25" s="130">
        <f t="shared" si="0"/>
        <v>65.650000000000006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3.54</v>
      </c>
      <c r="S25" s="135">
        <v>12</v>
      </c>
      <c r="T25" s="130">
        <f t="shared" si="3"/>
        <v>3.5400000000000005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</v>
      </c>
      <c r="AC25" s="135">
        <v>12</v>
      </c>
      <c r="AD25" s="130">
        <f t="shared" si="5"/>
        <v>2.06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67.16</v>
      </c>
      <c r="D26" s="135">
        <v>12</v>
      </c>
      <c r="E26" s="130">
        <f t="shared" si="0"/>
        <v>67.16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3.62</v>
      </c>
      <c r="S26" s="135">
        <v>12</v>
      </c>
      <c r="T26" s="130">
        <f t="shared" si="3"/>
        <v>3.6199999999999997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2.11</v>
      </c>
      <c r="AC26" s="135">
        <v>12</v>
      </c>
      <c r="AD26" s="130">
        <f t="shared" si="5"/>
        <v>2.11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68.7</v>
      </c>
      <c r="D27" s="135">
        <v>12</v>
      </c>
      <c r="E27" s="130">
        <f t="shared" si="0"/>
        <v>68.7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</v>
      </c>
      <c r="S27" s="135">
        <v>12</v>
      </c>
      <c r="T27" s="130">
        <f t="shared" si="3"/>
        <v>3.7000000000000006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2.16</v>
      </c>
      <c r="AC27" s="135">
        <v>12</v>
      </c>
      <c r="AD27" s="130">
        <f t="shared" si="5"/>
        <v>2.16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70.28</v>
      </c>
      <c r="D28" s="135">
        <v>12</v>
      </c>
      <c r="E28" s="130">
        <f t="shared" si="0"/>
        <v>70.28</v>
      </c>
      <c r="F28" s="119"/>
      <c r="G28" s="135">
        <f t="shared" si="13"/>
        <v>2041</v>
      </c>
      <c r="H28" s="128">
        <f t="shared" si="25"/>
        <v>15.53</v>
      </c>
      <c r="I28" s="135">
        <v>12</v>
      </c>
      <c r="J28" s="130">
        <f t="shared" si="1"/>
        <v>15.53</v>
      </c>
      <c r="K28" s="119"/>
      <c r="L28" s="135">
        <f t="shared" si="14"/>
        <v>2041</v>
      </c>
      <c r="M28" s="128">
        <f t="shared" si="26"/>
        <v>34.840000000000003</v>
      </c>
      <c r="N28" s="135">
        <v>12</v>
      </c>
      <c r="O28" s="130">
        <f t="shared" si="2"/>
        <v>34.840000000000003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2.21</v>
      </c>
      <c r="AC28" s="135">
        <v>12</v>
      </c>
      <c r="AD28" s="130">
        <f t="shared" si="5"/>
        <v>2.21</v>
      </c>
      <c r="AE28" s="119"/>
      <c r="AF28" s="135">
        <f t="shared" si="18"/>
        <v>2041</v>
      </c>
      <c r="AG28" s="128">
        <f t="shared" si="30"/>
        <v>27.71</v>
      </c>
      <c r="AH28" s="135">
        <v>12</v>
      </c>
      <c r="AI28" s="130">
        <f t="shared" si="6"/>
        <v>27.709999999999997</v>
      </c>
      <c r="AJ28" s="119"/>
      <c r="AK28" s="135">
        <f t="shared" si="19"/>
        <v>2041</v>
      </c>
      <c r="AL28" s="128">
        <f t="shared" si="31"/>
        <v>13.5</v>
      </c>
      <c r="AM28" s="135">
        <v>12</v>
      </c>
      <c r="AN28" s="130">
        <f t="shared" si="7"/>
        <v>13.5</v>
      </c>
      <c r="AO28" s="119"/>
      <c r="AP28" s="135">
        <f t="shared" si="20"/>
        <v>2041</v>
      </c>
      <c r="AQ28" s="128">
        <f t="shared" si="32"/>
        <v>5.22</v>
      </c>
      <c r="AR28" s="135">
        <v>12</v>
      </c>
      <c r="AS28" s="130">
        <f t="shared" si="8"/>
        <v>5.22</v>
      </c>
      <c r="AT28" s="119"/>
      <c r="AU28" s="135">
        <f t="shared" si="21"/>
        <v>2041</v>
      </c>
      <c r="AV28" s="128">
        <f t="shared" si="33"/>
        <v>6.02</v>
      </c>
      <c r="AW28" s="135">
        <v>12</v>
      </c>
      <c r="AX28" s="130">
        <f t="shared" si="9"/>
        <v>6.02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71.900000000000006</v>
      </c>
      <c r="D29" s="135">
        <v>12</v>
      </c>
      <c r="E29" s="130">
        <f t="shared" si="0"/>
        <v>71.900000000000006</v>
      </c>
      <c r="F29" s="119"/>
      <c r="G29" s="135">
        <f t="shared" si="13"/>
        <v>2042</v>
      </c>
      <c r="H29" s="128">
        <f t="shared" si="25"/>
        <v>15.89</v>
      </c>
      <c r="I29" s="135">
        <v>12</v>
      </c>
      <c r="J29" s="130">
        <f t="shared" si="1"/>
        <v>15.89</v>
      </c>
      <c r="K29" s="119"/>
      <c r="L29" s="135">
        <f t="shared" si="14"/>
        <v>2042</v>
      </c>
      <c r="M29" s="128">
        <f t="shared" si="26"/>
        <v>35.64</v>
      </c>
      <c r="N29" s="135">
        <v>12</v>
      </c>
      <c r="O29" s="130">
        <f t="shared" si="2"/>
        <v>35.64</v>
      </c>
      <c r="Q29" s="135">
        <f t="shared" si="15"/>
        <v>2042</v>
      </c>
      <c r="R29" s="128">
        <f t="shared" si="27"/>
        <v>3.88</v>
      </c>
      <c r="S29" s="135">
        <v>12</v>
      </c>
      <c r="T29" s="130">
        <f t="shared" si="3"/>
        <v>3.8800000000000003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2.2599999999999998</v>
      </c>
      <c r="AC29" s="135">
        <v>12</v>
      </c>
      <c r="AD29" s="130">
        <f t="shared" si="5"/>
        <v>2.2599999999999998</v>
      </c>
      <c r="AE29" s="119"/>
      <c r="AF29" s="135">
        <f t="shared" si="18"/>
        <v>2042</v>
      </c>
      <c r="AG29" s="128">
        <f t="shared" si="30"/>
        <v>28.35</v>
      </c>
      <c r="AH29" s="135">
        <v>12</v>
      </c>
      <c r="AI29" s="130">
        <f t="shared" si="6"/>
        <v>28.350000000000005</v>
      </c>
      <c r="AJ29" s="119"/>
      <c r="AK29" s="135">
        <f t="shared" si="19"/>
        <v>2042</v>
      </c>
      <c r="AL29" s="128">
        <f t="shared" si="31"/>
        <v>13.81</v>
      </c>
      <c r="AM29" s="135">
        <v>12</v>
      </c>
      <c r="AN29" s="130">
        <f t="shared" si="7"/>
        <v>13.81</v>
      </c>
      <c r="AO29" s="119"/>
      <c r="AP29" s="135">
        <f t="shared" si="20"/>
        <v>2042</v>
      </c>
      <c r="AQ29" s="128">
        <f t="shared" si="32"/>
        <v>5.34</v>
      </c>
      <c r="AR29" s="135">
        <v>12</v>
      </c>
      <c r="AS29" s="130">
        <f t="shared" si="8"/>
        <v>5.34</v>
      </c>
      <c r="AT29" s="119"/>
      <c r="AU29" s="135">
        <f t="shared" si="21"/>
        <v>2042</v>
      </c>
      <c r="AV29" s="128">
        <f t="shared" si="33"/>
        <v>6.16</v>
      </c>
      <c r="AW29" s="135">
        <v>12</v>
      </c>
      <c r="AX29" s="130">
        <f t="shared" si="9"/>
        <v>6.16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73.63</v>
      </c>
      <c r="D30" s="135">
        <v>12</v>
      </c>
      <c r="E30" s="130">
        <f t="shared" si="0"/>
        <v>73.63</v>
      </c>
      <c r="F30" s="119"/>
      <c r="G30" s="135">
        <f t="shared" si="13"/>
        <v>2043</v>
      </c>
      <c r="H30" s="128">
        <f t="shared" si="25"/>
        <v>16.27</v>
      </c>
      <c r="I30" s="135">
        <v>12</v>
      </c>
      <c r="J30" s="130">
        <f t="shared" si="1"/>
        <v>16.27</v>
      </c>
      <c r="K30" s="119"/>
      <c r="L30" s="135">
        <f t="shared" si="14"/>
        <v>2043</v>
      </c>
      <c r="M30" s="128">
        <f t="shared" si="26"/>
        <v>36.5</v>
      </c>
      <c r="N30" s="135">
        <v>12</v>
      </c>
      <c r="O30" s="130">
        <f t="shared" si="2"/>
        <v>36.5</v>
      </c>
      <c r="Q30" s="135">
        <f t="shared" si="15"/>
        <v>2043</v>
      </c>
      <c r="R30" s="128">
        <f t="shared" si="27"/>
        <v>3.97</v>
      </c>
      <c r="S30" s="135">
        <v>12</v>
      </c>
      <c r="T30" s="130">
        <f t="shared" si="3"/>
        <v>3.97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</v>
      </c>
      <c r="AC30" s="135">
        <v>12</v>
      </c>
      <c r="AD30" s="130">
        <f t="shared" si="5"/>
        <v>2.31</v>
      </c>
      <c r="AE30" s="119"/>
      <c r="AF30" s="135">
        <f t="shared" si="18"/>
        <v>2043</v>
      </c>
      <c r="AG30" s="128">
        <f t="shared" si="30"/>
        <v>29.03</v>
      </c>
      <c r="AH30" s="135">
        <v>12</v>
      </c>
      <c r="AI30" s="130">
        <f t="shared" si="6"/>
        <v>29.03</v>
      </c>
      <c r="AJ30" s="119"/>
      <c r="AK30" s="135">
        <f t="shared" si="19"/>
        <v>2043</v>
      </c>
      <c r="AL30" s="128">
        <f t="shared" si="31"/>
        <v>14.14</v>
      </c>
      <c r="AM30" s="135">
        <v>12</v>
      </c>
      <c r="AN30" s="130">
        <f t="shared" si="7"/>
        <v>14.14</v>
      </c>
      <c r="AO30" s="119"/>
      <c r="AP30" s="135">
        <f t="shared" si="20"/>
        <v>2043</v>
      </c>
      <c r="AQ30" s="128">
        <f t="shared" si="32"/>
        <v>5.47</v>
      </c>
      <c r="AR30" s="135">
        <v>12</v>
      </c>
      <c r="AS30" s="130">
        <f t="shared" si="8"/>
        <v>5.47</v>
      </c>
      <c r="AT30" s="119"/>
      <c r="AU30" s="135">
        <f t="shared" si="21"/>
        <v>2043</v>
      </c>
      <c r="AV30" s="128">
        <f t="shared" si="33"/>
        <v>6.31</v>
      </c>
      <c r="AW30" s="135">
        <v>12</v>
      </c>
      <c r="AX30" s="130">
        <f t="shared" si="9"/>
        <v>6.31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75.400000000000006</v>
      </c>
      <c r="D31" s="135">
        <v>12</v>
      </c>
      <c r="E31" s="130">
        <f t="shared" si="0"/>
        <v>75.400000000000006</v>
      </c>
      <c r="F31" s="119"/>
      <c r="G31" s="135">
        <f t="shared" si="13"/>
        <v>2044</v>
      </c>
      <c r="H31" s="128">
        <f t="shared" si="25"/>
        <v>16.66</v>
      </c>
      <c r="I31" s="135">
        <v>12</v>
      </c>
      <c r="J31" s="130">
        <f t="shared" si="1"/>
        <v>16.66</v>
      </c>
      <c r="K31" s="119"/>
      <c r="L31" s="135">
        <f t="shared" si="14"/>
        <v>2044</v>
      </c>
      <c r="M31" s="128">
        <f t="shared" si="26"/>
        <v>37.380000000000003</v>
      </c>
      <c r="N31" s="135">
        <v>12</v>
      </c>
      <c r="O31" s="130">
        <f t="shared" si="2"/>
        <v>37.380000000000003</v>
      </c>
      <c r="Q31" s="135">
        <f t="shared" si="15"/>
        <v>2044</v>
      </c>
      <c r="R31" s="128">
        <f t="shared" si="27"/>
        <v>4.07</v>
      </c>
      <c r="S31" s="135">
        <v>12</v>
      </c>
      <c r="T31" s="130">
        <f t="shared" si="3"/>
        <v>4.07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29.73</v>
      </c>
      <c r="AH31" s="135">
        <v>12</v>
      </c>
      <c r="AI31" s="130">
        <f t="shared" si="6"/>
        <v>29.73</v>
      </c>
      <c r="AJ31" s="119"/>
      <c r="AK31" s="135">
        <f t="shared" si="19"/>
        <v>2044</v>
      </c>
      <c r="AL31" s="128">
        <f t="shared" si="31"/>
        <v>14.48</v>
      </c>
      <c r="AM31" s="135">
        <v>12</v>
      </c>
      <c r="AN31" s="130">
        <f t="shared" si="7"/>
        <v>14.479999999999999</v>
      </c>
      <c r="AO31" s="119"/>
      <c r="AP31" s="135">
        <f t="shared" si="20"/>
        <v>2044</v>
      </c>
      <c r="AQ31" s="128">
        <f t="shared" si="32"/>
        <v>5.6</v>
      </c>
      <c r="AR31" s="135">
        <v>12</v>
      </c>
      <c r="AS31" s="130">
        <f t="shared" si="8"/>
        <v>5.5999999999999988</v>
      </c>
      <c r="AT31" s="119"/>
      <c r="AU31" s="135">
        <f t="shared" si="21"/>
        <v>2044</v>
      </c>
      <c r="AV31" s="128">
        <f t="shared" si="33"/>
        <v>6.46</v>
      </c>
      <c r="AW31" s="135">
        <v>12</v>
      </c>
      <c r="AX31" s="130">
        <f t="shared" si="9"/>
        <v>6.46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77.209999999999994</v>
      </c>
      <c r="D32" s="135">
        <v>12</v>
      </c>
      <c r="E32" s="130">
        <f t="shared" si="0"/>
        <v>77.209999999999994</v>
      </c>
      <c r="F32" s="119"/>
      <c r="G32" s="135">
        <f t="shared" si="13"/>
        <v>2045</v>
      </c>
      <c r="H32" s="128">
        <f t="shared" si="25"/>
        <v>17.059999999999999</v>
      </c>
      <c r="I32" s="135">
        <v>12</v>
      </c>
      <c r="J32" s="130">
        <f t="shared" si="1"/>
        <v>17.059999999999999</v>
      </c>
      <c r="K32" s="119"/>
      <c r="L32" s="135">
        <f t="shared" si="14"/>
        <v>2045</v>
      </c>
      <c r="M32" s="128">
        <f t="shared" si="26"/>
        <v>38.28</v>
      </c>
      <c r="N32" s="135">
        <v>12</v>
      </c>
      <c r="O32" s="130">
        <f t="shared" si="2"/>
        <v>38.28</v>
      </c>
      <c r="Q32" s="135">
        <f t="shared" si="15"/>
        <v>2045</v>
      </c>
      <c r="R32" s="128">
        <f t="shared" si="27"/>
        <v>4.17</v>
      </c>
      <c r="S32" s="135">
        <v>12</v>
      </c>
      <c r="T32" s="130">
        <f t="shared" si="3"/>
        <v>4.17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2.4300000000000002</v>
      </c>
      <c r="AC32" s="135">
        <v>12</v>
      </c>
      <c r="AD32" s="130">
        <f t="shared" si="5"/>
        <v>2.4300000000000002</v>
      </c>
      <c r="AE32" s="119"/>
      <c r="AF32" s="135">
        <f t="shared" si="18"/>
        <v>2045</v>
      </c>
      <c r="AG32" s="128">
        <f t="shared" si="30"/>
        <v>30.44</v>
      </c>
      <c r="AH32" s="135">
        <v>12</v>
      </c>
      <c r="AI32" s="130">
        <f t="shared" si="6"/>
        <v>30.44</v>
      </c>
      <c r="AJ32" s="119"/>
      <c r="AK32" s="135">
        <f t="shared" si="19"/>
        <v>2045</v>
      </c>
      <c r="AL32" s="128">
        <f t="shared" si="31"/>
        <v>14.83</v>
      </c>
      <c r="AM32" s="135">
        <v>12</v>
      </c>
      <c r="AN32" s="130">
        <f t="shared" si="7"/>
        <v>14.83</v>
      </c>
      <c r="AO32" s="119"/>
      <c r="AP32" s="135">
        <f t="shared" si="20"/>
        <v>2045</v>
      </c>
      <c r="AQ32" s="128">
        <f t="shared" si="32"/>
        <v>5.73</v>
      </c>
      <c r="AR32" s="135">
        <v>12</v>
      </c>
      <c r="AS32" s="130">
        <f t="shared" si="8"/>
        <v>5.73</v>
      </c>
      <c r="AT32" s="119"/>
      <c r="AU32" s="135">
        <f t="shared" si="21"/>
        <v>2045</v>
      </c>
      <c r="AV32" s="128">
        <f t="shared" si="33"/>
        <v>6.62</v>
      </c>
      <c r="AW32" s="135">
        <v>12</v>
      </c>
      <c r="AX32" s="130">
        <f t="shared" si="9"/>
        <v>6.62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49">
        <v>2024</v>
      </c>
      <c r="H35" s="128" t="s">
        <v>103</v>
      </c>
      <c r="I35" s="349">
        <v>2030</v>
      </c>
      <c r="M35" s="128" t="s">
        <v>103</v>
      </c>
      <c r="N35" s="349">
        <v>2036</v>
      </c>
      <c r="R35" s="128" t="s">
        <v>103</v>
      </c>
      <c r="S35" s="349">
        <v>2024</v>
      </c>
      <c r="W35" s="128" t="s">
        <v>103</v>
      </c>
      <c r="X35" s="349">
        <v>2024</v>
      </c>
      <c r="AB35" s="128" t="s">
        <v>103</v>
      </c>
      <c r="AC35" s="349">
        <v>2023</v>
      </c>
      <c r="AG35" s="128" t="s">
        <v>103</v>
      </c>
      <c r="AH35" s="351">
        <v>2030</v>
      </c>
      <c r="AL35" s="128" t="s">
        <v>103</v>
      </c>
      <c r="AM35" s="349">
        <v>2033</v>
      </c>
      <c r="AQ35" s="128" t="s">
        <v>103</v>
      </c>
      <c r="AR35" s="349">
        <v>2037</v>
      </c>
      <c r="AV35" s="128" t="s">
        <v>103</v>
      </c>
      <c r="AW35" s="349">
        <v>2037</v>
      </c>
      <c r="BA35" s="128" t="s">
        <v>103</v>
      </c>
      <c r="BB35" s="351">
        <v>2029</v>
      </c>
      <c r="BF35" s="128" t="s">
        <v>103</v>
      </c>
      <c r="BG35" s="351">
        <v>2024</v>
      </c>
    </row>
    <row r="36" spans="2:60">
      <c r="C36" s="176" t="s">
        <v>84</v>
      </c>
      <c r="D36" s="349">
        <v>1920</v>
      </c>
      <c r="H36" s="176" t="s">
        <v>84</v>
      </c>
      <c r="I36" s="349">
        <v>1100</v>
      </c>
      <c r="M36" s="176" t="s">
        <v>84</v>
      </c>
      <c r="N36" s="349">
        <v>430</v>
      </c>
      <c r="R36" s="176" t="s">
        <v>84</v>
      </c>
      <c r="S36" s="349">
        <v>600</v>
      </c>
      <c r="W36" s="176" t="s">
        <v>84</v>
      </c>
      <c r="X36" s="349">
        <v>405</v>
      </c>
      <c r="AB36" s="176" t="s">
        <v>84</v>
      </c>
      <c r="AC36" s="349">
        <v>300</v>
      </c>
      <c r="AG36" s="176" t="s">
        <v>84</v>
      </c>
      <c r="AH36" s="351">
        <v>500</v>
      </c>
      <c r="AL36" s="176" t="s">
        <v>84</v>
      </c>
      <c r="AM36" s="349">
        <v>475</v>
      </c>
      <c r="AQ36" s="176" t="s">
        <v>84</v>
      </c>
      <c r="AR36" s="349">
        <v>442.8</v>
      </c>
      <c r="AV36" s="176" t="s">
        <v>84</v>
      </c>
      <c r="AW36" s="349">
        <v>369.8</v>
      </c>
      <c r="BA36" s="176" t="s">
        <v>84</v>
      </c>
      <c r="BB36" s="351">
        <v>359.4</v>
      </c>
      <c r="BF36" s="176" t="s">
        <v>84</v>
      </c>
      <c r="BG36" s="351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52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52">
        <v>0</v>
      </c>
      <c r="BE37" s="129"/>
      <c r="BF37" s="128" t="s">
        <v>177</v>
      </c>
      <c r="BG37" s="352">
        <v>0</v>
      </c>
    </row>
    <row r="38" spans="2:60">
      <c r="B38" s="129"/>
      <c r="C38" s="128" t="s">
        <v>178</v>
      </c>
      <c r="D38" s="347">
        <v>5.9603158827233105E-2</v>
      </c>
      <c r="G38" s="129"/>
      <c r="H38" s="128" t="s">
        <v>178</v>
      </c>
      <c r="I38" s="347">
        <v>5.9603158827233105E-2</v>
      </c>
      <c r="L38" s="129"/>
      <c r="M38" s="128" t="s">
        <v>178</v>
      </c>
      <c r="N38" s="347">
        <v>5.9603158827233105E-2</v>
      </c>
      <c r="Q38" s="129"/>
      <c r="R38" s="128" t="s">
        <v>178</v>
      </c>
      <c r="S38" s="347">
        <v>5.9603158827233105E-2</v>
      </c>
      <c r="V38" s="129"/>
      <c r="W38" s="128" t="s">
        <v>178</v>
      </c>
      <c r="X38" s="347">
        <v>5.9603158827233105E-2</v>
      </c>
      <c r="AA38" s="129"/>
      <c r="AB38" s="128" t="s">
        <v>178</v>
      </c>
      <c r="AC38" s="347">
        <v>5.9603158827233105E-2</v>
      </c>
      <c r="AF38" s="129"/>
      <c r="AG38" s="128" t="s">
        <v>178</v>
      </c>
      <c r="AH38" s="347">
        <v>5.9603158827233105E-2</v>
      </c>
      <c r="AK38" s="129"/>
      <c r="AL38" s="128" t="s">
        <v>178</v>
      </c>
      <c r="AM38" s="347">
        <v>5.9603158827233105E-2</v>
      </c>
      <c r="AP38" s="129"/>
      <c r="AQ38" s="128" t="s">
        <v>178</v>
      </c>
      <c r="AR38" s="347">
        <v>5.9603158827233105E-2</v>
      </c>
      <c r="AU38" s="129"/>
      <c r="AV38" s="128" t="s">
        <v>178</v>
      </c>
      <c r="AW38" s="347">
        <v>5.9603158827233105E-2</v>
      </c>
      <c r="AZ38" s="129"/>
      <c r="BA38" s="128" t="s">
        <v>178</v>
      </c>
      <c r="BB38" s="347">
        <v>5.9603158827233105E-2</v>
      </c>
      <c r="BE38" s="129"/>
      <c r="BF38" s="128" t="s">
        <v>178</v>
      </c>
      <c r="BG38" s="347">
        <v>5.9603158827233105E-2</v>
      </c>
    </row>
    <row r="39" spans="2:60" ht="41.25" customHeight="1">
      <c r="B39" s="414" t="s">
        <v>176</v>
      </c>
      <c r="C39" s="414"/>
      <c r="D39" s="348">
        <f>D37*1000000*D38/(D36*1000)</f>
        <v>47.870308055404152</v>
      </c>
      <c r="G39" s="414" t="s">
        <v>190</v>
      </c>
      <c r="H39" s="414"/>
      <c r="I39" s="348">
        <f>I37*1000000*I38/(I36*1000)</f>
        <v>12.097273854334603</v>
      </c>
      <c r="L39" s="414" t="s">
        <v>192</v>
      </c>
      <c r="M39" s="414"/>
      <c r="N39" s="348">
        <f>N37*1000000*N38/(N36*1000)</f>
        <v>31.092888780208423</v>
      </c>
      <c r="Q39" s="414" t="s">
        <v>176</v>
      </c>
      <c r="R39" s="414"/>
      <c r="S39" s="348">
        <f>S37*1000000*S38/(S36*1000)</f>
        <v>2.5818101631996475</v>
      </c>
      <c r="V39" s="414" t="s">
        <v>176</v>
      </c>
      <c r="W39" s="414"/>
      <c r="X39" s="348">
        <f>X37*1000000*X38/(X36*1000)</f>
        <v>0.39132049215213044</v>
      </c>
      <c r="AA39" s="414" t="s">
        <v>181</v>
      </c>
      <c r="AB39" s="414"/>
      <c r="AC39" s="348">
        <f>AC37*1000000*AC38/(AC36*1000)</f>
        <v>1.4680258019147514</v>
      </c>
      <c r="AF39" s="414" t="s">
        <v>190</v>
      </c>
      <c r="AG39" s="414"/>
      <c r="AH39" s="348">
        <f>AH37*1000000*AH38/(AH36*1000)</f>
        <v>21.577297145999619</v>
      </c>
      <c r="AK39" s="414" t="s">
        <v>189</v>
      </c>
      <c r="AL39" s="414"/>
      <c r="AM39" s="348">
        <f>AM37*1000000*AM38/(AM36*1000)</f>
        <v>11.261107127981489</v>
      </c>
      <c r="AP39" s="414" t="s">
        <v>194</v>
      </c>
      <c r="AQ39" s="414"/>
      <c r="AR39" s="348">
        <f>AR37*1000000*AR38/(AR36*1000)</f>
        <v>4.7728292811563495</v>
      </c>
      <c r="AU39" s="414" t="s">
        <v>194</v>
      </c>
      <c r="AV39" s="414"/>
      <c r="AW39" s="348">
        <f>AW37*1000000*AW38/(AW36*1000)</f>
        <v>5.4972551057881001</v>
      </c>
      <c r="AZ39" s="414" t="s">
        <v>188</v>
      </c>
      <c r="BA39" s="414"/>
      <c r="BB39" s="348">
        <f>BB37*1000000*BB38/(BB36*1000)</f>
        <v>0</v>
      </c>
      <c r="BE39" s="414" t="s">
        <v>176</v>
      </c>
      <c r="BF39" s="414"/>
      <c r="BG39" s="348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December 31, 2020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1.9E-2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0.02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2.3E-2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0.02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2.3E-2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2.1000000000000001E-2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2.4E-2</v>
      </c>
      <c r="BG50" s="164"/>
    </row>
    <row r="51" spans="2:59" s="119" customFormat="1">
      <c r="C51" s="87">
        <f t="shared" si="36"/>
        <v>2026</v>
      </c>
      <c r="D51" s="41">
        <v>2.1999999999999999E-2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2.4E-2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2.4E-2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1" customFormat="1" ht="15.75" hidden="1">
      <c r="B1" s="1" t="s">
        <v>35</v>
      </c>
      <c r="C1" s="1"/>
      <c r="D1" s="1"/>
      <c r="E1" s="1"/>
      <c r="F1" s="1"/>
      <c r="G1" s="208"/>
      <c r="H1" s="1"/>
      <c r="I1" s="1"/>
      <c r="J1" s="1"/>
      <c r="K1" s="1"/>
      <c r="L1" s="209"/>
      <c r="M1" s="210"/>
      <c r="N1" s="210"/>
      <c r="O1" s="210"/>
      <c r="P1" s="210"/>
    </row>
    <row r="2" spans="2:16" s="211" customFormat="1" ht="5.25" customHeight="1">
      <c r="B2" s="1"/>
      <c r="C2" s="1"/>
      <c r="D2" s="1"/>
      <c r="E2" s="1"/>
      <c r="F2" s="1"/>
      <c r="G2" s="208"/>
      <c r="H2" s="1"/>
      <c r="I2" s="1"/>
      <c r="J2" s="1"/>
      <c r="K2" s="1"/>
      <c r="L2" s="209"/>
      <c r="M2" s="210"/>
      <c r="N2" s="210"/>
      <c r="O2" s="210"/>
      <c r="P2" s="210"/>
    </row>
    <row r="3" spans="2:16" s="211" customFormat="1" ht="15.75">
      <c r="B3" s="1" t="s">
        <v>94</v>
      </c>
      <c r="C3" s="1"/>
      <c r="D3" s="1"/>
      <c r="E3" s="1"/>
      <c r="F3" s="1"/>
      <c r="G3" s="208"/>
      <c r="H3" s="1"/>
      <c r="I3" s="1"/>
      <c r="J3" s="1"/>
      <c r="K3" s="1"/>
      <c r="L3" s="209"/>
      <c r="M3" s="210"/>
      <c r="N3" s="210"/>
      <c r="O3" s="210"/>
      <c r="P3" s="210"/>
    </row>
    <row r="4" spans="2:16" s="213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12"/>
      <c r="N4" s="212"/>
      <c r="O4" s="212"/>
      <c r="P4" s="212"/>
    </row>
    <row r="5" spans="2:16" s="213" customFormat="1" ht="15">
      <c r="B5" s="4" t="str">
        <f ca="1">'Table 1'!B5</f>
        <v>Utah 2020.Q4 - 100.0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3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12"/>
      <c r="N6" s="212"/>
      <c r="O6" s="212"/>
      <c r="P6" s="212"/>
    </row>
    <row r="7" spans="2:16">
      <c r="D7" s="214"/>
      <c r="E7" s="214"/>
      <c r="F7" s="214"/>
      <c r="G7" s="215"/>
      <c r="H7" s="215"/>
      <c r="I7" s="215"/>
      <c r="J7" s="215"/>
      <c r="K7" s="215"/>
      <c r="L7" s="215"/>
      <c r="M7" s="216"/>
    </row>
    <row r="8" spans="2:16">
      <c r="B8" s="217"/>
      <c r="C8" s="217"/>
      <c r="D8" s="218" t="s">
        <v>96</v>
      </c>
      <c r="E8" s="219"/>
      <c r="F8" s="219"/>
      <c r="G8" s="218"/>
      <c r="H8" s="218"/>
      <c r="I8" s="220" t="s">
        <v>97</v>
      </c>
      <c r="J8" s="221"/>
      <c r="K8" s="221"/>
      <c r="L8" s="222"/>
      <c r="M8" s="223" t="s">
        <v>96</v>
      </c>
      <c r="N8" s="224"/>
      <c r="O8" s="225"/>
    </row>
    <row r="9" spans="2:16">
      <c r="B9" s="226" t="s">
        <v>0</v>
      </c>
      <c r="C9" s="226" t="s">
        <v>249</v>
      </c>
      <c r="D9" s="227" t="s">
        <v>250</v>
      </c>
      <c r="E9" s="228" t="s">
        <v>251</v>
      </c>
      <c r="F9" s="228" t="s">
        <v>252</v>
      </c>
      <c r="G9" s="228" t="s">
        <v>253</v>
      </c>
      <c r="H9" s="229" t="s">
        <v>254</v>
      </c>
      <c r="I9" s="171" t="s">
        <v>255</v>
      </c>
      <c r="J9" s="171" t="s">
        <v>256</v>
      </c>
      <c r="K9" s="171" t="s">
        <v>257</v>
      </c>
      <c r="L9" s="171" t="s">
        <v>258</v>
      </c>
      <c r="M9" s="227" t="s">
        <v>259</v>
      </c>
      <c r="N9" s="228" t="s">
        <v>260</v>
      </c>
      <c r="O9" s="229" t="s">
        <v>261</v>
      </c>
    </row>
    <row r="10" spans="2:16" ht="12.75" customHeight="1">
      <c r="B10" s="207"/>
      <c r="C10" s="207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5"/>
    </row>
    <row r="11" spans="2:16" ht="12.75" customHeight="1">
      <c r="B11" s="231" t="s">
        <v>98</v>
      </c>
      <c r="C11" s="231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5"/>
    </row>
    <row r="12" spans="2:16" ht="12.75" hidden="1" customHeight="1">
      <c r="B12" s="232"/>
      <c r="C12" s="233"/>
      <c r="D12" s="8"/>
      <c r="E12" s="8"/>
      <c r="F12" s="8"/>
      <c r="G12" s="8"/>
      <c r="H12" s="13"/>
      <c r="I12" s="234"/>
      <c r="J12" s="235"/>
      <c r="K12" s="235"/>
      <c r="L12" s="236"/>
      <c r="M12" s="234"/>
      <c r="N12" s="235"/>
      <c r="O12" s="236"/>
    </row>
    <row r="13" spans="2:16" ht="12.75" customHeight="1">
      <c r="B13" s="237">
        <v>2021</v>
      </c>
      <c r="C13" s="238">
        <v>20.325671693500045</v>
      </c>
      <c r="D13" s="239">
        <v>23.144989988670474</v>
      </c>
      <c r="E13" s="239">
        <v>17.691559551950721</v>
      </c>
      <c r="F13" s="239">
        <v>16.314077853590891</v>
      </c>
      <c r="G13" s="239">
        <v>14.872595823543767</v>
      </c>
      <c r="H13" s="240">
        <v>13.924408751431132</v>
      </c>
      <c r="I13" s="241">
        <v>15.860525476483421</v>
      </c>
      <c r="J13" s="239">
        <v>37.411480432440356</v>
      </c>
      <c r="K13" s="239">
        <v>28.865035844394555</v>
      </c>
      <c r="L13" s="240">
        <v>20.345056833188568</v>
      </c>
      <c r="M13" s="241">
        <v>16.930096266652829</v>
      </c>
      <c r="N13" s="239">
        <v>17.882281038259052</v>
      </c>
      <c r="O13" s="240">
        <v>20.012902008903122</v>
      </c>
    </row>
    <row r="14" spans="2:16" ht="12.75" customHeight="1">
      <c r="B14" s="254">
        <v>2022</v>
      </c>
      <c r="C14" s="242">
        <v>21.183415987436902</v>
      </c>
      <c r="D14" s="243">
        <v>28.285689915953785</v>
      </c>
      <c r="E14" s="243">
        <v>20.042059775067802</v>
      </c>
      <c r="F14" s="243">
        <v>18.278781610724906</v>
      </c>
      <c r="G14" s="243">
        <v>14.923278533334948</v>
      </c>
      <c r="H14" s="244">
        <v>14.372081912265269</v>
      </c>
      <c r="I14" s="245">
        <v>16.880064053492205</v>
      </c>
      <c r="J14" s="243">
        <v>36.749014328428977</v>
      </c>
      <c r="K14" s="243">
        <v>27.131493703842324</v>
      </c>
      <c r="L14" s="244">
        <v>20.899909034940933</v>
      </c>
      <c r="M14" s="245">
        <v>17.556778906649079</v>
      </c>
      <c r="N14" s="243">
        <v>17.951616003035877</v>
      </c>
      <c r="O14" s="244">
        <v>20.565615524344587</v>
      </c>
    </row>
    <row r="15" spans="2:16" ht="12.75" customHeight="1">
      <c r="B15" s="254">
        <v>2023</v>
      </c>
      <c r="C15" s="242">
        <v>20.14529440936732</v>
      </c>
      <c r="D15" s="243">
        <v>19.54987721873988</v>
      </c>
      <c r="E15" s="243">
        <v>19.734645400146864</v>
      </c>
      <c r="F15" s="243">
        <v>17.310281229011554</v>
      </c>
      <c r="G15" s="243">
        <v>14.763562229492598</v>
      </c>
      <c r="H15" s="244">
        <v>14.576040419882904</v>
      </c>
      <c r="I15" s="245">
        <v>15.829165202030913</v>
      </c>
      <c r="J15" s="243">
        <v>34.782692978203059</v>
      </c>
      <c r="K15" s="243">
        <v>27.450395341057693</v>
      </c>
      <c r="L15" s="244">
        <v>21.133736096240579</v>
      </c>
      <c r="M15" s="245">
        <v>17.252265172365814</v>
      </c>
      <c r="N15" s="243">
        <v>18.557543443283066</v>
      </c>
      <c r="O15" s="244">
        <v>20.431421159559722</v>
      </c>
    </row>
    <row r="16" spans="2:16" ht="12.75" customHeight="1">
      <c r="B16" s="254">
        <v>2024</v>
      </c>
      <c r="C16" s="242">
        <v>17.273119242281698</v>
      </c>
      <c r="D16" s="243">
        <v>19.332973936541826</v>
      </c>
      <c r="E16" s="243">
        <v>14.963709441630447</v>
      </c>
      <c r="F16" s="243">
        <v>10.548953772006175</v>
      </c>
      <c r="G16" s="243">
        <v>9.9742380112548261</v>
      </c>
      <c r="H16" s="244">
        <v>11.196242293494363</v>
      </c>
      <c r="I16" s="245">
        <v>12.964584151818107</v>
      </c>
      <c r="J16" s="243">
        <v>44.179845397813466</v>
      </c>
      <c r="K16" s="243">
        <v>25.584934847008999</v>
      </c>
      <c r="L16" s="244">
        <v>15.497012430512656</v>
      </c>
      <c r="M16" s="245">
        <v>12.175916686733004</v>
      </c>
      <c r="N16" s="243">
        <v>13.421058337538607</v>
      </c>
      <c r="O16" s="244">
        <v>16.732980838470279</v>
      </c>
    </row>
    <row r="17" spans="2:15" ht="12.75" customHeight="1">
      <c r="B17" s="254">
        <v>2025</v>
      </c>
      <c r="C17" s="242">
        <v>20.44254098918476</v>
      </c>
      <c r="D17" s="243">
        <v>22.613098526869411</v>
      </c>
      <c r="E17" s="243">
        <v>16.819515605871786</v>
      </c>
      <c r="F17" s="243">
        <v>13.654887181151738</v>
      </c>
      <c r="G17" s="243">
        <v>12.534336546987088</v>
      </c>
      <c r="H17" s="244">
        <v>12.782327580159951</v>
      </c>
      <c r="I17" s="245">
        <v>15.711261962661727</v>
      </c>
      <c r="J17" s="243">
        <v>52.822904667200177</v>
      </c>
      <c r="K17" s="243">
        <v>31.866007030724639</v>
      </c>
      <c r="L17" s="244">
        <v>17.04152587075076</v>
      </c>
      <c r="M17" s="245">
        <v>13.986179529680239</v>
      </c>
      <c r="N17" s="243">
        <v>15.399702405557244</v>
      </c>
      <c r="O17" s="244">
        <v>19.048021952254519</v>
      </c>
    </row>
    <row r="18" spans="2:15" ht="12.75" customHeight="1">
      <c r="B18" s="254">
        <v>2026</v>
      </c>
      <c r="C18" s="242">
        <v>21.089680983485426</v>
      </c>
      <c r="D18" s="243">
        <v>18.457893763307322</v>
      </c>
      <c r="E18" s="243">
        <v>19.057480221042365</v>
      </c>
      <c r="F18" s="243">
        <v>15.384190656676568</v>
      </c>
      <c r="G18" s="243">
        <v>12.435996487372037</v>
      </c>
      <c r="H18" s="244">
        <v>14.262506692142937</v>
      </c>
      <c r="I18" s="245">
        <v>23.795961034896266</v>
      </c>
      <c r="J18" s="243">
        <v>30.106316983164039</v>
      </c>
      <c r="K18" s="243">
        <v>30.346604314729653</v>
      </c>
      <c r="L18" s="244">
        <v>24.209237567606898</v>
      </c>
      <c r="M18" s="245">
        <v>20.451677023217641</v>
      </c>
      <c r="N18" s="243">
        <v>18.690138403051016</v>
      </c>
      <c r="O18" s="244">
        <v>25.51287856660603</v>
      </c>
    </row>
    <row r="19" spans="2:15" ht="12.75" customHeight="1">
      <c r="B19" s="254">
        <v>2027</v>
      </c>
      <c r="C19" s="242">
        <v>22.431118832885403</v>
      </c>
      <c r="D19" s="243">
        <v>23.028287596153795</v>
      </c>
      <c r="E19" s="243">
        <v>20.436582890805301</v>
      </c>
      <c r="F19" s="243">
        <v>17.581634912566553</v>
      </c>
      <c r="G19" s="243">
        <v>14.939026195590902</v>
      </c>
      <c r="H19" s="244">
        <v>15.390337442254188</v>
      </c>
      <c r="I19" s="245">
        <v>24.800909005553358</v>
      </c>
      <c r="J19" s="243">
        <v>30.749093584989907</v>
      </c>
      <c r="K19" s="243">
        <v>31.200595725536427</v>
      </c>
      <c r="L19" s="244">
        <v>24.919143861959792</v>
      </c>
      <c r="M19" s="245">
        <v>23.591018169930063</v>
      </c>
      <c r="N19" s="243">
        <v>19.33559430131254</v>
      </c>
      <c r="O19" s="244">
        <v>22.823350379147556</v>
      </c>
    </row>
    <row r="20" spans="2:15" ht="12.75" customHeight="1">
      <c r="B20" s="254">
        <v>2028</v>
      </c>
      <c r="C20" s="242">
        <v>25.550016399237627</v>
      </c>
      <c r="D20" s="243">
        <v>23.979057513478221</v>
      </c>
      <c r="E20" s="243">
        <v>24.942095451168502</v>
      </c>
      <c r="F20" s="243">
        <v>20.830120031375198</v>
      </c>
      <c r="G20" s="243">
        <v>17.803113984780385</v>
      </c>
      <c r="H20" s="244">
        <v>18.345563821497585</v>
      </c>
      <c r="I20" s="245">
        <v>27.082592915227842</v>
      </c>
      <c r="J20" s="243">
        <v>33.726937277303826</v>
      </c>
      <c r="K20" s="243">
        <v>34.32575315607852</v>
      </c>
      <c r="L20" s="244">
        <v>28.662458015929079</v>
      </c>
      <c r="M20" s="245">
        <v>26.141075320941226</v>
      </c>
      <c r="N20" s="243">
        <v>23.191693991207</v>
      </c>
      <c r="O20" s="244">
        <v>27.354378905871542</v>
      </c>
    </row>
    <row r="21" spans="2:15" ht="12.75" customHeight="1">
      <c r="B21" s="254">
        <v>2029</v>
      </c>
      <c r="C21" s="242">
        <v>27.598395648925543</v>
      </c>
      <c r="D21" s="243">
        <v>26.191542597438698</v>
      </c>
      <c r="E21" s="243">
        <v>26.405364107107744</v>
      </c>
      <c r="F21" s="243">
        <v>21.82697962983341</v>
      </c>
      <c r="G21" s="243">
        <v>20.76994729211285</v>
      </c>
      <c r="H21" s="244">
        <v>18.441604889231304</v>
      </c>
      <c r="I21" s="245">
        <v>27.166457907694909</v>
      </c>
      <c r="J21" s="243">
        <v>36.788412275587518</v>
      </c>
      <c r="K21" s="243">
        <v>37.524613577155094</v>
      </c>
      <c r="L21" s="244">
        <v>30.895804932501168</v>
      </c>
      <c r="M21" s="245">
        <v>28.67485008201011</v>
      </c>
      <c r="N21" s="243">
        <v>26.208581062006662</v>
      </c>
      <c r="O21" s="244">
        <v>29.998464078724343</v>
      </c>
    </row>
    <row r="22" spans="2:15" ht="12.75" customHeight="1">
      <c r="B22" s="254">
        <v>2030</v>
      </c>
      <c r="C22" s="242">
        <v>26.283585448493422</v>
      </c>
      <c r="D22" s="243">
        <v>24.124904720225643</v>
      </c>
      <c r="E22" s="243">
        <v>25.526935274188098</v>
      </c>
      <c r="F22" s="243">
        <v>19.508671338848611</v>
      </c>
      <c r="G22" s="243">
        <v>17.147172593921216</v>
      </c>
      <c r="H22" s="244">
        <v>15.052020425549157</v>
      </c>
      <c r="I22" s="245">
        <v>26.792221630383491</v>
      </c>
      <c r="J22" s="243">
        <v>37.444234618195686</v>
      </c>
      <c r="K22" s="243">
        <v>38.223927613967852</v>
      </c>
      <c r="L22" s="244">
        <v>29.136241227287385</v>
      </c>
      <c r="M22" s="245">
        <v>27.504246428093563</v>
      </c>
      <c r="N22" s="243">
        <v>24.916826638757563</v>
      </c>
      <c r="O22" s="244">
        <v>29.72201544583605</v>
      </c>
    </row>
    <row r="23" spans="2:15" ht="12.75" customHeight="1">
      <c r="B23" s="254">
        <v>2031</v>
      </c>
      <c r="C23" s="242">
        <v>27.795305982034499</v>
      </c>
      <c r="D23" s="243">
        <v>27.511577500283959</v>
      </c>
      <c r="E23" s="243">
        <v>27.483833759670102</v>
      </c>
      <c r="F23" s="243">
        <v>21.443118724161458</v>
      </c>
      <c r="G23" s="243">
        <v>17.546536728887094</v>
      </c>
      <c r="H23" s="244">
        <v>14.901436504472088</v>
      </c>
      <c r="I23" s="245">
        <v>28.334338717964169</v>
      </c>
      <c r="J23" s="243">
        <v>38.810421483157782</v>
      </c>
      <c r="K23" s="243">
        <v>39.823437119014159</v>
      </c>
      <c r="L23" s="244">
        <v>28.491093879325938</v>
      </c>
      <c r="M23" s="245">
        <v>27.936126703297298</v>
      </c>
      <c r="N23" s="243">
        <v>25.83292513445268</v>
      </c>
      <c r="O23" s="244">
        <v>35.044607912482675</v>
      </c>
    </row>
    <row r="24" spans="2:15" ht="12.75" customHeight="1">
      <c r="B24" s="254">
        <v>2032</v>
      </c>
      <c r="C24" s="242">
        <v>29.727025302074484</v>
      </c>
      <c r="D24" s="243">
        <v>29.964462637962193</v>
      </c>
      <c r="E24" s="243">
        <v>28.433230482491439</v>
      </c>
      <c r="F24" s="243">
        <v>22.044844761358235</v>
      </c>
      <c r="G24" s="243">
        <v>20.288313748623143</v>
      </c>
      <c r="H24" s="244">
        <v>15.759839943418459</v>
      </c>
      <c r="I24" s="245">
        <v>29.13520888345316</v>
      </c>
      <c r="J24" s="243">
        <v>40.053373249026556</v>
      </c>
      <c r="K24" s="243">
        <v>40.730934217705205</v>
      </c>
      <c r="L24" s="244">
        <v>30.209755965722724</v>
      </c>
      <c r="M24" s="245">
        <v>31.102475896269805</v>
      </c>
      <c r="N24" s="243">
        <v>32.400744070572365</v>
      </c>
      <c r="O24" s="244">
        <v>36.295904665735939</v>
      </c>
    </row>
    <row r="25" spans="2:15" ht="12.75" customHeight="1">
      <c r="B25" s="254">
        <v>2033</v>
      </c>
      <c r="C25" s="242">
        <v>30.295704896266603</v>
      </c>
      <c r="D25" s="243">
        <v>30.963593170446174</v>
      </c>
      <c r="E25" s="243">
        <v>30.305884982599387</v>
      </c>
      <c r="F25" s="243">
        <v>22.957766349381735</v>
      </c>
      <c r="G25" s="243">
        <v>18.198745349297507</v>
      </c>
      <c r="H25" s="244">
        <v>16.536449566417403</v>
      </c>
      <c r="I25" s="245">
        <v>29.430671438850464</v>
      </c>
      <c r="J25" s="243">
        <v>40.161069745404589</v>
      </c>
      <c r="K25" s="243">
        <v>41.486797345084767</v>
      </c>
      <c r="L25" s="244">
        <v>31.527940572415169</v>
      </c>
      <c r="M25" s="245">
        <v>33.233679350432489</v>
      </c>
      <c r="N25" s="243">
        <v>31.09752325663198</v>
      </c>
      <c r="O25" s="244">
        <v>37.296808637629354</v>
      </c>
    </row>
    <row r="26" spans="2:15" ht="12.75" customHeight="1">
      <c r="B26" s="254">
        <v>2034</v>
      </c>
      <c r="C26" s="242">
        <v>31.648551805080071</v>
      </c>
      <c r="D26" s="243">
        <v>32.742930841988894</v>
      </c>
      <c r="E26" s="243">
        <v>31.693227674137535</v>
      </c>
      <c r="F26" s="243">
        <v>24.632769801979986</v>
      </c>
      <c r="G26" s="243">
        <v>18.792878112759649</v>
      </c>
      <c r="H26" s="244">
        <v>17.288488955282837</v>
      </c>
      <c r="I26" s="245">
        <v>31.694312580368997</v>
      </c>
      <c r="J26" s="243">
        <v>42.051196758292853</v>
      </c>
      <c r="K26" s="243">
        <v>43.15382636100054</v>
      </c>
      <c r="L26" s="244">
        <v>32.017107783230848</v>
      </c>
      <c r="M26" s="245">
        <v>34.159545401132476</v>
      </c>
      <c r="N26" s="243">
        <v>32.247995154464206</v>
      </c>
      <c r="O26" s="244">
        <v>38.930668494952343</v>
      </c>
    </row>
    <row r="27" spans="2:15" ht="12.75" customHeight="1">
      <c r="B27" s="254">
        <v>2035</v>
      </c>
      <c r="C27" s="242">
        <v>33.186398129629218</v>
      </c>
      <c r="D27" s="243">
        <v>33.985465628695621</v>
      </c>
      <c r="E27" s="243">
        <v>32.749756345170148</v>
      </c>
      <c r="F27" s="243">
        <v>26.176169395891208</v>
      </c>
      <c r="G27" s="243">
        <v>21.200236519148781</v>
      </c>
      <c r="H27" s="244">
        <v>17.505262997847613</v>
      </c>
      <c r="I27" s="245">
        <v>29.05535405256537</v>
      </c>
      <c r="J27" s="243">
        <v>43.236288848562587</v>
      </c>
      <c r="K27" s="243">
        <v>44.509011317486724</v>
      </c>
      <c r="L27" s="244">
        <v>34.043864228354977</v>
      </c>
      <c r="M27" s="245">
        <v>35.81496121067854</v>
      </c>
      <c r="N27" s="243">
        <v>39.449616827233797</v>
      </c>
      <c r="O27" s="244">
        <v>40.178324176023601</v>
      </c>
    </row>
    <row r="28" spans="2:15" ht="12.75" customHeight="1">
      <c r="B28" s="254">
        <v>2036</v>
      </c>
      <c r="C28" s="242">
        <v>34.953521525832961</v>
      </c>
      <c r="D28" s="243">
        <v>36.965211671731005</v>
      </c>
      <c r="E28" s="243">
        <v>34.834421511697528</v>
      </c>
      <c r="F28" s="243">
        <v>27.060547858471832</v>
      </c>
      <c r="G28" s="243">
        <v>20.706208097302873</v>
      </c>
      <c r="H28" s="244">
        <v>18.330915466572648</v>
      </c>
      <c r="I28" s="245">
        <v>31.865657328308249</v>
      </c>
      <c r="J28" s="243">
        <v>45.662624241245851</v>
      </c>
      <c r="K28" s="243">
        <v>47.11324360646708</v>
      </c>
      <c r="L28" s="244">
        <v>37.560469286294243</v>
      </c>
      <c r="M28" s="245">
        <v>38.149067113570752</v>
      </c>
      <c r="N28" s="243">
        <v>36.879600601556611</v>
      </c>
      <c r="O28" s="244">
        <v>43.893635048776545</v>
      </c>
    </row>
    <row r="29" spans="2:15" ht="12.75" customHeight="1">
      <c r="B29" s="254">
        <v>2037</v>
      </c>
      <c r="C29" s="242">
        <v>36.814045022992786</v>
      </c>
      <c r="D29" s="243">
        <v>41.303316880157318</v>
      </c>
      <c r="E29" s="243">
        <v>38.300364187879801</v>
      </c>
      <c r="F29" s="243">
        <v>30.403086319155392</v>
      </c>
      <c r="G29" s="243">
        <v>22.926233985014882</v>
      </c>
      <c r="H29" s="244">
        <v>20.756625085705192</v>
      </c>
      <c r="I29" s="245">
        <v>32.637085275869197</v>
      </c>
      <c r="J29" s="243">
        <v>46.684456913443981</v>
      </c>
      <c r="K29" s="243">
        <v>48.312477794568387</v>
      </c>
      <c r="L29" s="244">
        <v>37.229572045080985</v>
      </c>
      <c r="M29" s="245">
        <v>37.465305460926785</v>
      </c>
      <c r="N29" s="243">
        <v>40.284034703644409</v>
      </c>
      <c r="O29" s="244">
        <v>45.152423670027929</v>
      </c>
    </row>
    <row r="30" spans="2:15" ht="12.75" customHeight="1">
      <c r="B30" s="255">
        <v>2038</v>
      </c>
      <c r="C30" s="247">
        <v>39.147248205450573</v>
      </c>
      <c r="D30" s="248">
        <v>44.801133882516332</v>
      </c>
      <c r="E30" s="248">
        <v>39.384563119236738</v>
      </c>
      <c r="F30" s="248">
        <v>31.430375548946039</v>
      </c>
      <c r="G30" s="248">
        <v>25.783913178110495</v>
      </c>
      <c r="H30" s="249">
        <v>21.767308265530176</v>
      </c>
      <c r="I30" s="250">
        <v>32.619596218006066</v>
      </c>
      <c r="J30" s="248">
        <v>50.303169144919565</v>
      </c>
      <c r="K30" s="248">
        <v>52.216790930682855</v>
      </c>
      <c r="L30" s="249">
        <v>36.369254901738628</v>
      </c>
      <c r="M30" s="250">
        <v>40.931112861689783</v>
      </c>
      <c r="N30" s="248">
        <v>42.876364957222926</v>
      </c>
      <c r="O30" s="249">
        <v>50.695398075339455</v>
      </c>
    </row>
    <row r="31" spans="2:15" ht="12.75" hidden="1" customHeight="1">
      <c r="B31" s="15"/>
      <c r="C31" s="242"/>
      <c r="D31" s="243"/>
      <c r="E31" s="243"/>
      <c r="F31" s="243"/>
      <c r="G31" s="243"/>
      <c r="H31" s="244"/>
      <c r="I31" s="245"/>
      <c r="J31" s="243"/>
      <c r="K31" s="243"/>
      <c r="L31" s="244"/>
      <c r="M31" s="245"/>
      <c r="N31" s="243"/>
      <c r="O31" s="244"/>
    </row>
    <row r="32" spans="2:15" ht="12.75" hidden="1" customHeight="1">
      <c r="B32" s="246"/>
      <c r="C32" s="247"/>
      <c r="D32" s="248"/>
      <c r="E32" s="248"/>
      <c r="F32" s="248"/>
      <c r="G32" s="248"/>
      <c r="H32" s="249"/>
      <c r="I32" s="250"/>
      <c r="J32" s="248"/>
      <c r="K32" s="248"/>
      <c r="L32" s="249"/>
      <c r="M32" s="250"/>
      <c r="N32" s="248"/>
      <c r="O32" s="249"/>
    </row>
    <row r="33" spans="2:16" ht="12.75" customHeight="1">
      <c r="D33" s="10"/>
      <c r="E33" s="10"/>
      <c r="F33" s="10"/>
      <c r="M33" s="251"/>
    </row>
    <row r="34" spans="2:16">
      <c r="B34" s="252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8" spans="2:16" hidden="1">
      <c r="C38" s="253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3"/>
    </row>
    <row r="40" spans="2:16">
      <c r="C40" s="253"/>
    </row>
    <row r="41" spans="2:16">
      <c r="C41" s="253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D24" sqref="D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2020.Q4 - 100.0 MW and 100.0% CF</v>
      </c>
      <c r="C5" s="1"/>
      <c r="D5" s="1"/>
      <c r="H5" s="96">
        <v>44196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12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2.74</v>
      </c>
      <c r="D19" s="27">
        <f t="shared" si="1"/>
        <v>2.75</v>
      </c>
      <c r="E19" s="27">
        <f t="shared" si="2"/>
        <v>2.78</v>
      </c>
      <c r="F19" s="27">
        <f t="shared" si="3"/>
        <v>2.4500000000000002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2.6</v>
      </c>
      <c r="D20" s="27">
        <f t="shared" si="1"/>
        <v>2.61</v>
      </c>
      <c r="E20" s="27">
        <f t="shared" si="2"/>
        <v>2.62</v>
      </c>
      <c r="F20" s="27">
        <f t="shared" si="3"/>
        <v>2.36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2.44</v>
      </c>
      <c r="D21" s="27">
        <f t="shared" si="1"/>
        <v>2.4500000000000002</v>
      </c>
      <c r="E21" s="27">
        <f t="shared" si="2"/>
        <v>2.4700000000000002</v>
      </c>
      <c r="F21" s="27">
        <f t="shared" si="3"/>
        <v>2.2599999999999998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2.91</v>
      </c>
      <c r="D22" s="27">
        <f t="shared" si="1"/>
        <v>2.92</v>
      </c>
      <c r="E22" s="27">
        <f t="shared" si="2"/>
        <v>2.85</v>
      </c>
      <c r="F22" s="27">
        <f t="shared" si="3"/>
        <v>2.73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3.43</v>
      </c>
      <c r="D23" s="27">
        <f t="shared" si="1"/>
        <v>3.44</v>
      </c>
      <c r="E23" s="27">
        <f t="shared" si="2"/>
        <v>3.25</v>
      </c>
      <c r="F23" s="27">
        <f t="shared" si="3"/>
        <v>3.24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3.58</v>
      </c>
      <c r="D24" s="27">
        <f t="shared" si="1"/>
        <v>3.59</v>
      </c>
      <c r="E24" s="27">
        <f t="shared" si="2"/>
        <v>3.4</v>
      </c>
      <c r="F24" s="27">
        <f t="shared" si="3"/>
        <v>3.39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3.67</v>
      </c>
      <c r="D25" s="27">
        <f t="shared" si="1"/>
        <v>3.68</v>
      </c>
      <c r="E25" s="27">
        <f t="shared" si="2"/>
        <v>3.53</v>
      </c>
      <c r="F25" s="27">
        <f t="shared" si="3"/>
        <v>3.47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3.86</v>
      </c>
      <c r="D26" s="27">
        <f t="shared" si="1"/>
        <v>3.87</v>
      </c>
      <c r="E26" s="27">
        <f t="shared" si="2"/>
        <v>3.7</v>
      </c>
      <c r="F26" s="27">
        <f t="shared" si="3"/>
        <v>3.67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4.13</v>
      </c>
      <c r="D27" s="27">
        <f t="shared" si="1"/>
        <v>4.1399999999999997</v>
      </c>
      <c r="E27" s="27">
        <f t="shared" si="2"/>
        <v>4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4.43</v>
      </c>
      <c r="D28" s="27">
        <f t="shared" si="1"/>
        <v>4.4400000000000004</v>
      </c>
      <c r="E28" s="27">
        <f t="shared" si="2"/>
        <v>4.3099999999999996</v>
      </c>
      <c r="F28" s="27">
        <f t="shared" si="3"/>
        <v>4.2300000000000004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4.62</v>
      </c>
      <c r="D29" s="27">
        <f t="shared" si="1"/>
        <v>4.63</v>
      </c>
      <c r="E29" s="27">
        <f t="shared" si="2"/>
        <v>4.45</v>
      </c>
      <c r="F29" s="27">
        <f t="shared" si="3"/>
        <v>4.42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4.66</v>
      </c>
      <c r="D30" s="27">
        <f t="shared" si="1"/>
        <v>4.67</v>
      </c>
      <c r="E30" s="27">
        <f t="shared" si="2"/>
        <v>4.5199999999999996</v>
      </c>
      <c r="F30" s="27">
        <f t="shared" si="3"/>
        <v>4.46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4.79</v>
      </c>
      <c r="D31" s="27">
        <f t="shared" si="1"/>
        <v>4.8</v>
      </c>
      <c r="E31" s="27">
        <f t="shared" si="2"/>
        <v>4.67</v>
      </c>
      <c r="F31" s="27">
        <f t="shared" si="3"/>
        <v>4.58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4.95</v>
      </c>
      <c r="D32" s="27">
        <f t="shared" si="1"/>
        <v>4.96</v>
      </c>
      <c r="E32" s="27">
        <f t="shared" si="2"/>
        <v>4.78</v>
      </c>
      <c r="F32" s="27">
        <f t="shared" si="3"/>
        <v>4.74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5.08</v>
      </c>
      <c r="D33" s="27">
        <f t="shared" si="1"/>
        <v>5.09</v>
      </c>
      <c r="E33" s="27">
        <f t="shared" si="2"/>
        <v>4.91</v>
      </c>
      <c r="F33" s="27">
        <f t="shared" si="3"/>
        <v>4.87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5.24</v>
      </c>
      <c r="D34" s="27">
        <f t="shared" si="1"/>
        <v>5.25</v>
      </c>
      <c r="E34" s="27">
        <f t="shared" si="2"/>
        <v>5.1100000000000003</v>
      </c>
      <c r="F34" s="27">
        <f t="shared" si="3"/>
        <v>5.03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5.26</v>
      </c>
      <c r="D35" s="27">
        <f t="shared" si="1"/>
        <v>5.27</v>
      </c>
      <c r="E35" s="27">
        <f t="shared" si="2"/>
        <v>5.16</v>
      </c>
      <c r="F35" s="27">
        <f t="shared" si="3"/>
        <v>5.05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5.65</v>
      </c>
      <c r="D36" s="27">
        <f t="shared" si="1"/>
        <v>5.66</v>
      </c>
      <c r="E36" s="27">
        <f t="shared" si="2"/>
        <v>5.47</v>
      </c>
      <c r="F36" s="27">
        <f t="shared" si="3"/>
        <v>5.44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6.19</v>
      </c>
      <c r="D37" s="27">
        <f t="shared" si="1"/>
        <v>6.2</v>
      </c>
      <c r="E37" s="27">
        <f t="shared" si="2"/>
        <v>5.98</v>
      </c>
      <c r="F37" s="27">
        <f t="shared" si="3"/>
        <v>5.97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6.56</v>
      </c>
      <c r="D38" s="27">
        <f t="shared" si="1"/>
        <v>6.57</v>
      </c>
      <c r="E38" s="27">
        <f t="shared" si="2"/>
        <v>6.39</v>
      </c>
      <c r="F38" s="27">
        <f t="shared" si="3"/>
        <v>6.34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Dec 31,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3.2281411446821457</v>
      </c>
      <c r="J77" s="35">
        <v>3.2382800476528444</v>
      </c>
      <c r="K77" s="35">
        <v>3.1632786912315072</v>
      </c>
      <c r="L77" s="35">
        <v>2.4132387032018467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3.0040713890297073</v>
      </c>
      <c r="J78" s="35">
        <v>3.0142102920004059</v>
      </c>
      <c r="K78" s="35">
        <v>3.106578307258034</v>
      </c>
      <c r="L78" s="35">
        <v>2.4498742547425474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2.6461681141640474</v>
      </c>
      <c r="J79" s="35">
        <v>2.656307017134746</v>
      </c>
      <c r="K79" s="35">
        <v>2.7707774030863703</v>
      </c>
      <c r="L79" s="35">
        <v>2.3766031516611461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2.4454178353442155</v>
      </c>
      <c r="J80" s="35">
        <v>2.4555567383149146</v>
      </c>
      <c r="K80" s="35">
        <v>2.40908591262545</v>
      </c>
      <c r="L80" s="35">
        <v>2.3384620295091838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2.3308482317753216</v>
      </c>
      <c r="J81" s="35">
        <v>2.3409871347460207</v>
      </c>
      <c r="K81" s="35">
        <v>2.1626075311517226</v>
      </c>
      <c r="L81" s="35">
        <v>2.2225330924420352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2.3546746537564633</v>
      </c>
      <c r="J82" s="35">
        <v>2.364813556727162</v>
      </c>
      <c r="K82" s="35">
        <v>2.221896973754121</v>
      </c>
      <c r="L82" s="35">
        <v>2.2436110809996985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2.6122027892122071</v>
      </c>
      <c r="J83" s="35">
        <v>2.6223416921829057</v>
      </c>
      <c r="K83" s="35">
        <v>2.5755623824653728</v>
      </c>
      <c r="L83" s="35">
        <v>2.4207665562581551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2.6527584010950012</v>
      </c>
      <c r="J84" s="35">
        <v>2.6628973040657002</v>
      </c>
      <c r="K84" s="35">
        <v>2.6266703998003655</v>
      </c>
      <c r="L84" s="35">
        <v>2.455896537187594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2.6243694727770452</v>
      </c>
      <c r="J85" s="35">
        <v>2.6345083757477443</v>
      </c>
      <c r="K85" s="35">
        <v>2.6456223089641022</v>
      </c>
      <c r="L85" s="35">
        <v>2.47045038642979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2.6258903082226501</v>
      </c>
      <c r="J86" s="35">
        <v>2.6360292111933488</v>
      </c>
      <c r="K86" s="35">
        <v>2.7299738390945016</v>
      </c>
      <c r="L86" s="35">
        <v>2.492030231857874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2.9832866379397749</v>
      </c>
      <c r="J87" s="35">
        <v>2.9934255409104735</v>
      </c>
      <c r="K87" s="35">
        <v>3.223189507904848</v>
      </c>
      <c r="L87" s="35">
        <v>2.6601522834487601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3.4086136175605799</v>
      </c>
      <c r="J88" s="35">
        <v>3.418752520531279</v>
      </c>
      <c r="K88" s="35">
        <v>3.6790191701135075</v>
      </c>
      <c r="L88" s="35">
        <v>2.8779581652112816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3.4344678201358616</v>
      </c>
      <c r="J89" s="35">
        <v>3.4446067231065602</v>
      </c>
      <c r="K89" s="35">
        <v>3.5915089884558187</v>
      </c>
      <c r="L89" s="35">
        <v>2.9261364247716553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3.2752870434958941</v>
      </c>
      <c r="J90" s="35">
        <v>3.2854259464665927</v>
      </c>
      <c r="K90" s="35">
        <v>3.3829344253095641</v>
      </c>
      <c r="L90" s="35">
        <v>2.8112112014453476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2.7587099371388017</v>
      </c>
      <c r="J91" s="35">
        <v>2.7688488401095004</v>
      </c>
      <c r="K91" s="35">
        <v>2.8481902560912493</v>
      </c>
      <c r="L91" s="35">
        <v>2.4052089932751177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2.1524035394910275</v>
      </c>
      <c r="J92" s="35">
        <v>2.1625424424617261</v>
      </c>
      <c r="K92" s="35">
        <v>2.1052339919347296</v>
      </c>
      <c r="L92" s="35">
        <v>2.0659537488708217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2.089035395924161</v>
      </c>
      <c r="J93" s="35">
        <v>2.0991742988948601</v>
      </c>
      <c r="K93" s="35">
        <v>2.0127010365369244</v>
      </c>
      <c r="L93" s="35">
        <v>1.9505266686740941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2.1858619192943323</v>
      </c>
      <c r="J94" s="35">
        <v>2.1960008222650313</v>
      </c>
      <c r="K94" s="35">
        <v>2.0688836087846121</v>
      </c>
      <c r="L94" s="35">
        <v>2.0639463213891398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2.4317303163337725</v>
      </c>
      <c r="J95" s="35">
        <v>2.4418692193044715</v>
      </c>
      <c r="K95" s="35">
        <v>2.3109605905891657</v>
      </c>
      <c r="L95" s="35">
        <v>2.269707638261568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2.4449108901956809</v>
      </c>
      <c r="J96" s="35">
        <v>2.4550497931663799</v>
      </c>
      <c r="K96" s="35">
        <v>2.3354013040462238</v>
      </c>
      <c r="L96" s="35">
        <v>2.2576630733714746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2.4043552783128868</v>
      </c>
      <c r="J97" s="35">
        <v>2.4144941812835854</v>
      </c>
      <c r="K97" s="35">
        <v>2.3225077920741746</v>
      </c>
      <c r="L97" s="35">
        <v>2.2325702298504466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2.2984037422690862</v>
      </c>
      <c r="J98" s="35">
        <v>2.3085426452397853</v>
      </c>
      <c r="K98" s="35">
        <v>2.3061449415393636</v>
      </c>
      <c r="L98" s="35">
        <v>2.2079792431998393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2.6299458694109297</v>
      </c>
      <c r="J99" s="35">
        <v>2.6400847723816283</v>
      </c>
      <c r="K99" s="35">
        <v>2.8609802057181426</v>
      </c>
      <c r="L99" s="35">
        <v>2.3454880256950719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3.0694673131907129</v>
      </c>
      <c r="J100" s="35">
        <v>3.0796062161614115</v>
      </c>
      <c r="K100" s="35">
        <v>3.2504264046811469</v>
      </c>
      <c r="L100" s="35">
        <v>2.7404493827160494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3.1105298702220421</v>
      </c>
      <c r="J101" s="35">
        <v>3.1206687731927407</v>
      </c>
      <c r="K101" s="35">
        <v>3.2800452353960567</v>
      </c>
      <c r="L101" s="35">
        <v>2.8036833483890393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2.9974811020987531</v>
      </c>
      <c r="J102" s="35">
        <v>3.0076200050694517</v>
      </c>
      <c r="K102" s="35">
        <v>3.1134652032109771</v>
      </c>
      <c r="L102" s="35">
        <v>2.7294085315667971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2.6035847216871133</v>
      </c>
      <c r="J103" s="35">
        <v>2.6137236246578124</v>
      </c>
      <c r="K103" s="35">
        <v>2.7162518283611949</v>
      </c>
      <c r="L103" s="35">
        <v>2.3545214493626414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2.0560839612693904</v>
      </c>
      <c r="J104" s="35">
        <v>2.0662228642400895</v>
      </c>
      <c r="K104" s="35">
        <v>1.9971666847633702</v>
      </c>
      <c r="L104" s="35">
        <v>2.0082402087724582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2.0266811426543647</v>
      </c>
      <c r="J105" s="35">
        <v>2.0368200456250638</v>
      </c>
      <c r="K105" s="35">
        <v>1.9535151562796831</v>
      </c>
      <c r="L105" s="35">
        <v>1.8938168423165713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2.0636881384974144</v>
      </c>
      <c r="J106" s="35">
        <v>2.073827041468113</v>
      </c>
      <c r="K106" s="35">
        <v>1.9926099415764611</v>
      </c>
      <c r="L106" s="35">
        <v>1.9580545217304026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2.2451745016729192</v>
      </c>
      <c r="J107" s="35">
        <v>2.2553134046436178</v>
      </c>
      <c r="K107" s="35">
        <v>2.1417397186025817</v>
      </c>
      <c r="L107" s="35">
        <v>2.0599314664257755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2.2558203497921525</v>
      </c>
      <c r="J108" s="35">
        <v>2.2659592527628512</v>
      </c>
      <c r="K108" s="35">
        <v>2.1623486252888302</v>
      </c>
      <c r="L108" s="35">
        <v>2.0679611763525041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2.2335147632566152</v>
      </c>
      <c r="J109" s="35">
        <v>2.2436536662273143</v>
      </c>
      <c r="K109" s="35">
        <v>2.164160966329078</v>
      </c>
      <c r="L109" s="35">
        <v>2.0609351801666165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2.196507767413566</v>
      </c>
      <c r="J110" s="35">
        <v>2.2066466703842647</v>
      </c>
      <c r="K110" s="35">
        <v>2.1710478622820206</v>
      </c>
      <c r="L110" s="35">
        <v>2.1045967278932047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2.6203139115887657</v>
      </c>
      <c r="J111" s="35">
        <v>2.6304528145594648</v>
      </c>
      <c r="K111" s="35">
        <v>2.8129790587378598</v>
      </c>
      <c r="L111" s="35">
        <v>2.3986848539596504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2.920425439521444</v>
      </c>
      <c r="J112" s="35">
        <v>2.9305643424921426</v>
      </c>
      <c r="K112" s="35">
        <v>3.1576863245930276</v>
      </c>
      <c r="L112" s="35">
        <v>2.6556355716149755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3.027999200040556</v>
      </c>
      <c r="J113" s="35">
        <v>3.0381381030112546</v>
      </c>
      <c r="K113" s="35">
        <v>3.251565590477874</v>
      </c>
      <c r="L113" s="35">
        <v>2.7936462109806279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3.3435218604886954</v>
      </c>
      <c r="J114" s="35">
        <v>3.353660763459394</v>
      </c>
      <c r="K114" s="35">
        <v>3.3558528720510012</v>
      </c>
      <c r="L114" s="35">
        <v>3.0718756599417847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3.060342300517084</v>
      </c>
      <c r="J115" s="35">
        <v>3.0704812034877826</v>
      </c>
      <c r="K115" s="35">
        <v>2.9605036194140464</v>
      </c>
      <c r="L115" s="35">
        <v>2.8066944896115626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2.5990222153502991</v>
      </c>
      <c r="J116" s="35">
        <v>2.6091611183209977</v>
      </c>
      <c r="K116" s="35">
        <v>2.5129071636453704</v>
      </c>
      <c r="L116" s="35">
        <v>2.5457289169928736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2.5995291604988342</v>
      </c>
      <c r="J117" s="35">
        <v>2.6096680634695328</v>
      </c>
      <c r="K117" s="35">
        <v>2.4833401141030391</v>
      </c>
      <c r="L117" s="35">
        <v>2.4609151058917997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2.6382597698469024</v>
      </c>
      <c r="J118" s="35">
        <v>2.648398672817601</v>
      </c>
      <c r="K118" s="35">
        <v>2.5028616161651387</v>
      </c>
      <c r="L118" s="35">
        <v>2.5268590986650605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2.8051461127446009</v>
      </c>
      <c r="J119" s="35">
        <v>2.8152850157153</v>
      </c>
      <c r="K119" s="35">
        <v>2.5903717978228271</v>
      </c>
      <c r="L119" s="35">
        <v>2.6142825654923212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2.8205572452600629</v>
      </c>
      <c r="J120" s="35">
        <v>2.8306961482307615</v>
      </c>
      <c r="K120" s="35">
        <v>2.6213887201973574</v>
      </c>
      <c r="L120" s="35">
        <v>2.6270297300010035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2.7941960975362465</v>
      </c>
      <c r="J121" s="35">
        <v>2.8043350005069452</v>
      </c>
      <c r="K121" s="35">
        <v>2.6145018242444151</v>
      </c>
      <c r="L121" s="35">
        <v>2.6159888788517511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2.7554654881881779</v>
      </c>
      <c r="J122" s="35">
        <v>2.765604391158877</v>
      </c>
      <c r="K122" s="35">
        <v>2.6282756161503</v>
      </c>
      <c r="L122" s="35">
        <v>2.6578437418448257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3.1142812643212006</v>
      </c>
      <c r="J123" s="35">
        <v>3.1244201672918992</v>
      </c>
      <c r="K123" s="35">
        <v>3.1305012089893078</v>
      </c>
      <c r="L123" s="35">
        <v>2.8877945598715242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3.4063830589070263</v>
      </c>
      <c r="J124" s="35">
        <v>3.4165219618777249</v>
      </c>
      <c r="K124" s="35">
        <v>3.4918820124147576</v>
      </c>
      <c r="L124" s="35">
        <v>3.1367155676001204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3.4601192446517284</v>
      </c>
      <c r="J125" s="35">
        <v>3.4702581476224275</v>
      </c>
      <c r="K125" s="35">
        <v>3.5491519892865941</v>
      </c>
      <c r="L125" s="35">
        <v>3.2214290073271101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3.6894612298489302</v>
      </c>
      <c r="J126" s="35">
        <v>3.6996001328196289</v>
      </c>
      <c r="K126" s="35">
        <v>3.5982405408910254</v>
      </c>
      <c r="L126" s="35">
        <v>3.414443159690856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3.5170998793470547</v>
      </c>
      <c r="J127" s="35">
        <v>3.5272387823177533</v>
      </c>
      <c r="K127" s="35">
        <v>3.2047036292943187</v>
      </c>
      <c r="L127" s="35">
        <v>3.2588675298604839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3.1419604694312078</v>
      </c>
      <c r="J128" s="35">
        <v>3.1520993724019064</v>
      </c>
      <c r="K128" s="35">
        <v>3.0286476425273707</v>
      </c>
      <c r="L128" s="35">
        <v>3.083217625213289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3.1723771783433032</v>
      </c>
      <c r="J129" s="35">
        <v>3.1825160813140023</v>
      </c>
      <c r="K129" s="35">
        <v>3.0131132907538167</v>
      </c>
      <c r="L129" s="35">
        <v>3.0280133694670281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3.2129327902260978</v>
      </c>
      <c r="J130" s="35">
        <v>3.2230716931967964</v>
      </c>
      <c r="K130" s="35">
        <v>3.0131132907538167</v>
      </c>
      <c r="L130" s="35">
        <v>3.095764046973803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3.365016334786576</v>
      </c>
      <c r="J131" s="35">
        <v>3.3751552377572751</v>
      </c>
      <c r="K131" s="35">
        <v>3.0390038770430734</v>
      </c>
      <c r="L131" s="35">
        <v>3.1685332931847836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3.3852941407279733</v>
      </c>
      <c r="J132" s="35">
        <v>3.3954330436986719</v>
      </c>
      <c r="K132" s="35">
        <v>3.080428815105885</v>
      </c>
      <c r="L132" s="35">
        <v>3.1860982836495029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3.3548774318158778</v>
      </c>
      <c r="J133" s="35">
        <v>3.3650163347865765</v>
      </c>
      <c r="K133" s="35">
        <v>3.0648944633323305</v>
      </c>
      <c r="L133" s="35">
        <v>3.1710425775368862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3.3143218199330833</v>
      </c>
      <c r="J134" s="35">
        <v>3.3244607229037824</v>
      </c>
      <c r="K134" s="35">
        <v>3.0856069323637363</v>
      </c>
      <c r="L134" s="35">
        <v>3.2111911271705309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3.608350006083342</v>
      </c>
      <c r="J135" s="35">
        <v>3.6184889090540406</v>
      </c>
      <c r="K135" s="35">
        <v>3.4480751404133345</v>
      </c>
      <c r="L135" s="35">
        <v>3.3768038944093144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3.8922392892629016</v>
      </c>
      <c r="J136" s="35">
        <v>3.9023781922336007</v>
      </c>
      <c r="K136" s="35">
        <v>3.8260777002364872</v>
      </c>
      <c r="L136" s="35">
        <v>3.6176951922111815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3.8922392892629016</v>
      </c>
      <c r="J137" s="35">
        <v>3.9023781922336007</v>
      </c>
      <c r="K137" s="35">
        <v>3.8467901692678934</v>
      </c>
      <c r="L137" s="35">
        <v>3.6492118036735923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3.8415447744094093</v>
      </c>
      <c r="J138" s="35">
        <v>3.851683677380108</v>
      </c>
      <c r="K138" s="35">
        <v>3.7794746449158247</v>
      </c>
      <c r="L138" s="35">
        <v>3.5650002208170228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3.6184889090540402</v>
      </c>
      <c r="J139" s="35">
        <v>3.6286278120247393</v>
      </c>
      <c r="K139" s="35">
        <v>3.360047147029861</v>
      </c>
      <c r="L139" s="35">
        <v>3.3592389039445947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3.2636273050795901</v>
      </c>
      <c r="J140" s="35">
        <v>3.2737662080502892</v>
      </c>
      <c r="K140" s="35">
        <v>3.1581005739736558</v>
      </c>
      <c r="L140" s="35">
        <v>3.2036632741142226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3.2839051110209874</v>
      </c>
      <c r="J141" s="35">
        <v>3.2940440139916864</v>
      </c>
      <c r="K141" s="35">
        <v>3.1011412841372903</v>
      </c>
      <c r="L141" s="35">
        <v>3.1384218809595503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3.3345996258744806</v>
      </c>
      <c r="J142" s="35">
        <v>3.3447385288451792</v>
      </c>
      <c r="K142" s="35">
        <v>3.1063194013951416</v>
      </c>
      <c r="L142" s="35">
        <v>3.2162096958747366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3.5170998793470547</v>
      </c>
      <c r="J143" s="35">
        <v>3.5272387823177533</v>
      </c>
      <c r="K143" s="35">
        <v>3.1425662222001018</v>
      </c>
      <c r="L143" s="35">
        <v>3.3190903543109505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3.5373776852884515</v>
      </c>
      <c r="J144" s="35">
        <v>3.5475165882591506</v>
      </c>
      <c r="K144" s="35">
        <v>3.2202379810678727</v>
      </c>
      <c r="L144" s="35">
        <v>3.3366553447756697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3.4866831704349592</v>
      </c>
      <c r="J145" s="35">
        <v>3.4968220734056579</v>
      </c>
      <c r="K145" s="35">
        <v>3.1581005739736558</v>
      </c>
      <c r="L145" s="35">
        <v>3.3015253638462312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3.4461275585521647</v>
      </c>
      <c r="J146" s="35">
        <v>3.4562664615228633</v>
      </c>
      <c r="K146" s="35">
        <v>3.183991160262913</v>
      </c>
      <c r="L146" s="35">
        <v>3.3416739134798754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3.7502946476731216</v>
      </c>
      <c r="J147" s="35">
        <v>3.7604335506438207</v>
      </c>
      <c r="K147" s="35">
        <v>3.7380497068530136</v>
      </c>
      <c r="L147" s="35">
        <v>3.5173238181270698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4.0443228338233803</v>
      </c>
      <c r="J148" s="35">
        <v>4.054461736794079</v>
      </c>
      <c r="K148" s="35">
        <v>4.0280242732926927</v>
      </c>
      <c r="L148" s="35">
        <v>3.7682522533373479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4.0341839308526817</v>
      </c>
      <c r="J149" s="35">
        <v>4.0443228338233803</v>
      </c>
      <c r="K149" s="35">
        <v>4.0539148595819494</v>
      </c>
      <c r="L149" s="35">
        <v>3.7897317273913478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3.9530727070870935</v>
      </c>
      <c r="J150" s="35">
        <v>3.9632116100577921</v>
      </c>
      <c r="K150" s="35">
        <v>3.903749459104259</v>
      </c>
      <c r="L150" s="35">
        <v>3.6754087323095455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3.6996001328196289</v>
      </c>
      <c r="J151" s="35">
        <v>3.7097390357903279</v>
      </c>
      <c r="K151" s="35">
        <v>3.6448435962116879</v>
      </c>
      <c r="L151" s="35">
        <v>3.4395360032118836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3.3345996258744806</v>
      </c>
      <c r="J152" s="35">
        <v>3.3447385288451792</v>
      </c>
      <c r="K152" s="35">
        <v>3.3496909125141583</v>
      </c>
      <c r="L152" s="35">
        <v>3.2739232359731001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3.3447385288451787</v>
      </c>
      <c r="J153" s="35">
        <v>3.3548774318158778</v>
      </c>
      <c r="K153" s="35">
        <v>3.1632786912315076</v>
      </c>
      <c r="L153" s="35">
        <v>3.1986447054100169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3.3852941407279733</v>
      </c>
      <c r="J154" s="35">
        <v>3.3954330436986719</v>
      </c>
      <c r="K154" s="35">
        <v>3.1529224567158045</v>
      </c>
      <c r="L154" s="35">
        <v>3.2663953829167922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3.5677943942005479</v>
      </c>
      <c r="J155" s="35">
        <v>3.5779332971712465</v>
      </c>
      <c r="K155" s="35">
        <v>3.183991160262913</v>
      </c>
      <c r="L155" s="35">
        <v>3.3692760413530061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3.5982111031126434</v>
      </c>
      <c r="J156" s="35">
        <v>3.608350006083342</v>
      </c>
      <c r="K156" s="35">
        <v>3.2720191536463874</v>
      </c>
      <c r="L156" s="35">
        <v>3.3968781692261363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3.5576554912298488</v>
      </c>
      <c r="J157" s="35">
        <v>3.5677943942005479</v>
      </c>
      <c r="K157" s="35">
        <v>3.2513066846149812</v>
      </c>
      <c r="L157" s="35">
        <v>3.3717853257051087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3.5170998793470547</v>
      </c>
      <c r="J158" s="35">
        <v>3.5272387823177533</v>
      </c>
      <c r="K158" s="35">
        <v>3.3496909125141583</v>
      </c>
      <c r="L158" s="35">
        <v>3.4119338753387534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3.8618225803508062</v>
      </c>
      <c r="J159" s="35">
        <v>3.8719614833215052</v>
      </c>
      <c r="K159" s="35">
        <v>3.8623245210414474</v>
      </c>
      <c r="L159" s="35">
        <v>3.627732329619592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4.1558507665010644</v>
      </c>
      <c r="J160" s="35">
        <v>4.1659896694717631</v>
      </c>
      <c r="K160" s="35">
        <v>4.1367647357075716</v>
      </c>
      <c r="L160" s="35">
        <v>3.8786607648298701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4.1558507665010644</v>
      </c>
      <c r="J161" s="35">
        <v>4.1659896694717631</v>
      </c>
      <c r="K161" s="35">
        <v>4.1678334392546805</v>
      </c>
      <c r="L161" s="35">
        <v>3.9101773762922813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4.0848784457061749</v>
      </c>
      <c r="J162" s="35">
        <v>4.0950173486768735</v>
      </c>
      <c r="K162" s="35">
        <v>4.0280242732926927</v>
      </c>
      <c r="L162" s="35">
        <v>3.80589151861889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3.8516836773801075</v>
      </c>
      <c r="J163" s="35">
        <v>3.8618225803508062</v>
      </c>
      <c r="K163" s="35">
        <v>3.7846527621736765</v>
      </c>
      <c r="L163" s="35">
        <v>3.5900930643380509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3.5069609763763561</v>
      </c>
      <c r="J164" s="35">
        <v>3.5170998793470551</v>
      </c>
      <c r="K164" s="35">
        <v>3.375581498803415</v>
      </c>
      <c r="L164" s="35">
        <v>3.4445545719160897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3.4866831704349592</v>
      </c>
      <c r="J165" s="35">
        <v>3.4968220734056579</v>
      </c>
      <c r="K165" s="35">
        <v>3.2823753881620901</v>
      </c>
      <c r="L165" s="35">
        <v>3.3391646291277728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3.5475165882591506</v>
      </c>
      <c r="J166" s="35">
        <v>3.5576554912298493</v>
      </c>
      <c r="K166" s="35">
        <v>3.3289784434827525</v>
      </c>
      <c r="L166" s="35">
        <v>3.42698958145137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3.7908502595559161</v>
      </c>
      <c r="J167" s="35">
        <v>3.8009891625266148</v>
      </c>
      <c r="K167" s="35">
        <v>3.3704033815455636</v>
      </c>
      <c r="L167" s="35">
        <v>3.5900930643380509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3.811128065497313</v>
      </c>
      <c r="J168" s="35">
        <v>3.8212669684680121</v>
      </c>
      <c r="K168" s="35">
        <v>3.4895000784761461</v>
      </c>
      <c r="L168" s="35">
        <v>3.6076580548027701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3.7908502595559161</v>
      </c>
      <c r="J169" s="35">
        <v>3.8009891625266148</v>
      </c>
      <c r="K169" s="35">
        <v>3.4532532576711858</v>
      </c>
      <c r="L169" s="35">
        <v>3.6026394860985644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3.7502946476731216</v>
      </c>
      <c r="J170" s="35">
        <v>3.7604335506438207</v>
      </c>
      <c r="K170" s="35">
        <v>3.5930624236331741</v>
      </c>
      <c r="L170" s="35">
        <v>3.6427880357322091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4.1152951546182699</v>
      </c>
      <c r="J171" s="35">
        <v>4.1254340575889685</v>
      </c>
      <c r="K171" s="35">
        <v>4.1160522666761663</v>
      </c>
      <c r="L171" s="35">
        <v>3.8786607648298701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4.4296011467099268</v>
      </c>
      <c r="J172" s="35">
        <v>4.4397400496806245</v>
      </c>
      <c r="K172" s="35">
        <v>4.4267393021472508</v>
      </c>
      <c r="L172" s="35">
        <v>4.149663474856971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4.4296011467099268</v>
      </c>
      <c r="J173" s="35">
        <v>4.4397400496806245</v>
      </c>
      <c r="K173" s="35">
        <v>4.4422736539208048</v>
      </c>
      <c r="L173" s="35">
        <v>4.1811800863193813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4.3789066318564336</v>
      </c>
      <c r="J174" s="35">
        <v>4.3890455348271322</v>
      </c>
      <c r="K174" s="35">
        <v>4.3490675432794799</v>
      </c>
      <c r="L174" s="35">
        <v>4.0969685034628123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4.1152951546182699</v>
      </c>
      <c r="J175" s="35">
        <v>4.1254340575889685</v>
      </c>
      <c r="K175" s="35">
        <v>4.0332023905505441</v>
      </c>
      <c r="L175" s="35">
        <v>3.8510586369567399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3.7502946476731216</v>
      </c>
      <c r="J176" s="35">
        <v>3.7604335506438207</v>
      </c>
      <c r="K176" s="35">
        <v>3.727693472337311</v>
      </c>
      <c r="L176" s="35">
        <v>3.6854458697179564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3.7604335506438207</v>
      </c>
      <c r="J177" s="35">
        <v>3.7705724536145193</v>
      </c>
      <c r="K177" s="35">
        <v>3.5827061891174719</v>
      </c>
      <c r="L177" s="35">
        <v>3.6101673391548728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3.8212669684680121</v>
      </c>
      <c r="J178" s="35">
        <v>3.8314058714387107</v>
      </c>
      <c r="K178" s="35">
        <v>3.6085967754067285</v>
      </c>
      <c r="L178" s="35">
        <v>3.6979922914784704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4.1152951546182699</v>
      </c>
      <c r="J179" s="35">
        <v>4.1254340575889685</v>
      </c>
      <c r="K179" s="35">
        <v>3.7535840586265681</v>
      </c>
      <c r="L179" s="35">
        <v>3.9112814614072065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4.1355729605596681</v>
      </c>
      <c r="J180" s="35">
        <v>4.1457118635303658</v>
      </c>
      <c r="K180" s="35">
        <v>3.8571464037835956</v>
      </c>
      <c r="L180" s="35">
        <v>3.9288464518719262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4.1355729605596681</v>
      </c>
      <c r="J181" s="35">
        <v>4.1457118635303658</v>
      </c>
      <c r="K181" s="35">
        <v>3.815721465720785</v>
      </c>
      <c r="L181" s="35">
        <v>3.9439021579845424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3.9125170952042989</v>
      </c>
      <c r="J182" s="35">
        <v>3.922655998174998</v>
      </c>
      <c r="K182" s="35">
        <v>3.7898308794315279</v>
      </c>
      <c r="L182" s="35">
        <v>3.8033822342667869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4.3282121170029404</v>
      </c>
      <c r="J183" s="35">
        <v>4.3383510199736381</v>
      </c>
      <c r="K183" s="35">
        <v>4.333533191505925</v>
      </c>
      <c r="L183" s="35">
        <v>4.0894406504065035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4.6932126239480887</v>
      </c>
      <c r="J184" s="35">
        <v>4.7033515269187873</v>
      </c>
      <c r="K184" s="35">
        <v>4.6701108132662661</v>
      </c>
      <c r="L184" s="35">
        <v>4.41062904747566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4.7439071388015819</v>
      </c>
      <c r="J185" s="35">
        <v>4.7540460417722796</v>
      </c>
      <c r="K185" s="35">
        <v>4.7270701031026325</v>
      </c>
      <c r="L185" s="35">
        <v>4.4923313459801255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4.6323792061238978</v>
      </c>
      <c r="J186" s="35">
        <v>4.6425181090945964</v>
      </c>
      <c r="K186" s="35">
        <v>4.6286858752034554</v>
      </c>
      <c r="L186" s="35">
        <v>4.3478969386730908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4.4701567585927204</v>
      </c>
      <c r="J187" s="35">
        <v>4.4802956615634191</v>
      </c>
      <c r="K187" s="35">
        <v>4.3956705986001428</v>
      </c>
      <c r="L187" s="35">
        <v>4.2023584462511288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4.1355729605596681</v>
      </c>
      <c r="J188" s="35">
        <v>4.1457118635303658</v>
      </c>
      <c r="K188" s="35">
        <v>4.0280242732926927</v>
      </c>
      <c r="L188" s="35">
        <v>4.066857091237579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4.0950173486768735</v>
      </c>
      <c r="J189" s="35">
        <v>4.1051562516475721</v>
      </c>
      <c r="K189" s="35">
        <v>3.9451743971670692</v>
      </c>
      <c r="L189" s="35">
        <v>3.9413928736324397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4.0950173486768735</v>
      </c>
      <c r="J190" s="35">
        <v>4.1051562516475721</v>
      </c>
      <c r="K190" s="35">
        <v>3.9141056936199616</v>
      </c>
      <c r="L190" s="35">
        <v>3.9689950015055708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4.3180732140322418</v>
      </c>
      <c r="J191" s="35">
        <v>4.3282121170029404</v>
      </c>
      <c r="K191" s="35">
        <v>4.0539148595819494</v>
      </c>
      <c r="L191" s="35">
        <v>4.1120242095754289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4.3586288259150363</v>
      </c>
      <c r="J192" s="35">
        <v>4.3687677288857341</v>
      </c>
      <c r="K192" s="35">
        <v>4.1212303839340176</v>
      </c>
      <c r="L192" s="35">
        <v>4.149663474856971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4.3079343110615431</v>
      </c>
      <c r="J193" s="35">
        <v>4.3180732140322418</v>
      </c>
      <c r="K193" s="35">
        <v>4.0280242732926927</v>
      </c>
      <c r="L193" s="35">
        <v>4.1145334939275315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4.3079343110615431</v>
      </c>
      <c r="J194" s="35">
        <v>4.3180732140322418</v>
      </c>
      <c r="K194" s="35">
        <v>4.1522990874811256</v>
      </c>
      <c r="L194" s="35">
        <v>4.1948305931948209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4.6830737209773909</v>
      </c>
      <c r="J195" s="35">
        <v>4.6932126239480887</v>
      </c>
      <c r="K195" s="35">
        <v>4.7374263376183361</v>
      </c>
      <c r="L195" s="35">
        <v>4.4407404597008933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4.997379713069046</v>
      </c>
      <c r="J196" s="35">
        <v>5.0075186160397447</v>
      </c>
      <c r="K196" s="35">
        <v>4.9963322005109054</v>
      </c>
      <c r="L196" s="35">
        <v>4.7117431697279937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5.0582131308932379</v>
      </c>
      <c r="J197" s="35">
        <v>5.0683520338639365</v>
      </c>
      <c r="K197" s="35">
        <v>5.0429352558315692</v>
      </c>
      <c r="L197" s="35">
        <v>4.8034826056408715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4.9264073922741565</v>
      </c>
      <c r="J198" s="35">
        <v>4.9365462952448551</v>
      </c>
      <c r="K198" s="35">
        <v>4.9290166761588372</v>
      </c>
      <c r="L198" s="35">
        <v>4.6389739235170131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4.7844627506843755</v>
      </c>
      <c r="J199" s="35">
        <v>4.7946016536550742</v>
      </c>
      <c r="K199" s="35">
        <v>4.6960013995555245</v>
      </c>
      <c r="L199" s="35">
        <v>4.5135097059118738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4.3586288259150363</v>
      </c>
      <c r="J200" s="35">
        <v>4.3687677288857341</v>
      </c>
      <c r="K200" s="35">
        <v>4.1937240255439372</v>
      </c>
      <c r="L200" s="35">
        <v>4.2876741142226233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4.3180732140322418</v>
      </c>
      <c r="J201" s="35">
        <v>4.3282121170029404</v>
      </c>
      <c r="K201" s="35">
        <v>4.1056960321604636</v>
      </c>
      <c r="L201" s="35">
        <v>4.1622098966174841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4.3282121170029404</v>
      </c>
      <c r="J202" s="35">
        <v>4.3383510199736381</v>
      </c>
      <c r="K202" s="35">
        <v>4.0539148595819494</v>
      </c>
      <c r="L202" s="35">
        <v>4.1998491618990261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4.4904345645341177</v>
      </c>
      <c r="J203" s="35">
        <v>4.5005734675048155</v>
      </c>
      <c r="K203" s="35">
        <v>4.0746273286133547</v>
      </c>
      <c r="L203" s="35">
        <v>4.2826555455184181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4.5309901764169114</v>
      </c>
      <c r="J204" s="35">
        <v>4.54112907938761</v>
      </c>
      <c r="K204" s="35">
        <v>4.1781896737703832</v>
      </c>
      <c r="L204" s="35">
        <v>4.3202948107999601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4.4296011467099268</v>
      </c>
      <c r="J205" s="35">
        <v>4.4397400496806245</v>
      </c>
      <c r="K205" s="35">
        <v>4.110874149418315</v>
      </c>
      <c r="L205" s="35">
        <v>4.2349791428284655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4.4498789526513232</v>
      </c>
      <c r="J206" s="35">
        <v>4.4600178556220218</v>
      </c>
      <c r="K206" s="35">
        <v>4.2506833153803028</v>
      </c>
      <c r="L206" s="35">
        <v>4.3353505169125759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4.7540460417722796</v>
      </c>
      <c r="J207" s="35">
        <v>4.7641849447429783</v>
      </c>
      <c r="K207" s="35">
        <v>4.7736731584232954</v>
      </c>
      <c r="L207" s="35">
        <v>4.5110004215597712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5.0176575190104433</v>
      </c>
      <c r="J208" s="35">
        <v>5.027796421981142</v>
      </c>
      <c r="K208" s="35">
        <v>5.006688435026609</v>
      </c>
      <c r="L208" s="35">
        <v>4.7318174445448165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5.0582131308932379</v>
      </c>
      <c r="J209" s="35">
        <v>5.0683520338639365</v>
      </c>
      <c r="K209" s="35">
        <v>5.0481133730894205</v>
      </c>
      <c r="L209" s="35">
        <v>4.8034826056408715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4.8452961685085683</v>
      </c>
      <c r="J210" s="35">
        <v>4.855435071479266</v>
      </c>
      <c r="K210" s="35">
        <v>4.846166800033215</v>
      </c>
      <c r="L210" s="35">
        <v>4.5586768242497238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4.6830737209773909</v>
      </c>
      <c r="J211" s="35">
        <v>4.6932126239480887</v>
      </c>
      <c r="K211" s="35">
        <v>4.6027952889141988</v>
      </c>
      <c r="L211" s="35">
        <v>4.4131383318277626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4.4194622437392281</v>
      </c>
      <c r="J212" s="35">
        <v>4.4296011467099268</v>
      </c>
      <c r="K212" s="35">
        <v>4.2817520189274116</v>
      </c>
      <c r="L212" s="35">
        <v>4.3478969386730908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4.3586288259150363</v>
      </c>
      <c r="J213" s="35">
        <v>4.3687677288857341</v>
      </c>
      <c r="K213" s="35">
        <v>4.1626553219968283</v>
      </c>
      <c r="L213" s="35">
        <v>4.2023584462511288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4.3890455348271322</v>
      </c>
      <c r="J214" s="35">
        <v>4.39918443779783</v>
      </c>
      <c r="K214" s="35">
        <v>4.1522990874811265</v>
      </c>
      <c r="L214" s="35">
        <v>4.2600719863494927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4.5005734675048155</v>
      </c>
      <c r="J215" s="35">
        <v>4.5107123704755141</v>
      </c>
      <c r="K215" s="35">
        <v>4.1937240255439372</v>
      </c>
      <c r="L215" s="35">
        <v>4.2926926829268295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4.5512679823583095</v>
      </c>
      <c r="J216" s="35">
        <v>4.5614068853290073</v>
      </c>
      <c r="K216" s="35">
        <v>4.271395784411709</v>
      </c>
      <c r="L216" s="35">
        <v>4.340369085616782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4.5208512734462136</v>
      </c>
      <c r="J217" s="35">
        <v>4.5309901764169114</v>
      </c>
      <c r="K217" s="35">
        <v>4.2299708463488974</v>
      </c>
      <c r="L217" s="35">
        <v>4.3253133795041654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4.5309901764169114</v>
      </c>
      <c r="J218" s="35">
        <v>4.54112907938761</v>
      </c>
      <c r="K218" s="35">
        <v>4.3646018950530348</v>
      </c>
      <c r="L218" s="35">
        <v>4.4156476161798652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4.8757128774206633</v>
      </c>
      <c r="J219" s="35">
        <v>4.885851780391361</v>
      </c>
      <c r="K219" s="35">
        <v>4.9290166761588372</v>
      </c>
      <c r="L219" s="35">
        <v>4.6314460704607043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5.2001577724830179</v>
      </c>
      <c r="J220" s="35">
        <v>5.2102966754537157</v>
      </c>
      <c r="K220" s="35">
        <v>5.2138131253406641</v>
      </c>
      <c r="L220" s="35">
        <v>4.9124859178962161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5.2508522873365102</v>
      </c>
      <c r="J221" s="35">
        <v>5.2609911903072089</v>
      </c>
      <c r="K221" s="35">
        <v>5.2500599461456243</v>
      </c>
      <c r="L221" s="35">
        <v>4.9941882164006817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5.0784909368346343</v>
      </c>
      <c r="J222" s="35">
        <v>5.0886298398053329</v>
      </c>
      <c r="K222" s="35">
        <v>5.0791820766365285</v>
      </c>
      <c r="L222" s="35">
        <v>4.7895309846431795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4.8655739744499646</v>
      </c>
      <c r="J223" s="35">
        <v>4.8757128774206633</v>
      </c>
      <c r="K223" s="35">
        <v>4.8047418619704034</v>
      </c>
      <c r="L223" s="35">
        <v>4.5938068051791632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4.4600178556220218</v>
      </c>
      <c r="J224" s="35">
        <v>4.4701567585927195</v>
      </c>
      <c r="K224" s="35">
        <v>4.3438894260216276</v>
      </c>
      <c r="L224" s="35">
        <v>4.3880454883067346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4.4296011467099268</v>
      </c>
      <c r="J225" s="35">
        <v>4.4397400496806245</v>
      </c>
      <c r="K225" s="35">
        <v>4.3024644879588179</v>
      </c>
      <c r="L225" s="35">
        <v>4.2726184081100067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4.4296011467099268</v>
      </c>
      <c r="J226" s="35">
        <v>4.4397400496806245</v>
      </c>
      <c r="K226" s="35">
        <v>4.2817520189274108</v>
      </c>
      <c r="L226" s="35">
        <v>4.3002205359831374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4.5918235942411032</v>
      </c>
      <c r="J227" s="35">
        <v>4.6019624972118018</v>
      </c>
      <c r="K227" s="35">
        <v>4.3335331915059259</v>
      </c>
      <c r="L227" s="35">
        <v>4.3830269196025293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4.6425181090945964</v>
      </c>
      <c r="J228" s="35">
        <v>4.652657012065295</v>
      </c>
      <c r="K228" s="35">
        <v>4.4112049503736968</v>
      </c>
      <c r="L228" s="35">
        <v>4.4307033222924819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4.6425181090945964</v>
      </c>
      <c r="J229" s="35">
        <v>4.652657012065295</v>
      </c>
      <c r="K229" s="35">
        <v>4.3438894260216285</v>
      </c>
      <c r="L229" s="35">
        <v>4.4457590284050994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4.6830737209773909</v>
      </c>
      <c r="J230" s="35">
        <v>4.6932126239480887</v>
      </c>
      <c r="K230" s="35">
        <v>4.4836985919836163</v>
      </c>
      <c r="L230" s="35">
        <v>4.5662046773060325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4.9771019071276488</v>
      </c>
      <c r="J231" s="35">
        <v>4.9872408100983474</v>
      </c>
      <c r="K231" s="35">
        <v>5.0274009040580152</v>
      </c>
      <c r="L231" s="35">
        <v>4.7318174445448165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5.372519122984893</v>
      </c>
      <c r="J232" s="35">
        <v>5.3826580259555916</v>
      </c>
      <c r="K232" s="35">
        <v>5.3846909948497617</v>
      </c>
      <c r="L232" s="35">
        <v>5.0831172538392053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5.4130747348676875</v>
      </c>
      <c r="J233" s="35">
        <v>5.4232136378383862</v>
      </c>
      <c r="K233" s="35">
        <v>5.4261159329125723</v>
      </c>
      <c r="L233" s="35">
        <v>5.1547824149352603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5.2001577724830179</v>
      </c>
      <c r="J234" s="35">
        <v>5.2102966754537157</v>
      </c>
      <c r="K234" s="35">
        <v>5.2034568908249632</v>
      </c>
      <c r="L234" s="35">
        <v>4.9099766335441126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5.0582131308932379</v>
      </c>
      <c r="J235" s="35">
        <v>5.0683520338639365</v>
      </c>
      <c r="K235" s="35">
        <v>4.9549072624480939</v>
      </c>
      <c r="L235" s="35">
        <v>4.7845124159389734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4.6222403031531991</v>
      </c>
      <c r="J236" s="35">
        <v>4.6323792061238969</v>
      </c>
      <c r="K236" s="35">
        <v>4.4215611848893985</v>
      </c>
      <c r="L236" s="35">
        <v>4.5486396868413133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4.6019624972118018</v>
      </c>
      <c r="J237" s="35">
        <v>4.6121014001825005</v>
      </c>
      <c r="K237" s="35">
        <v>4.3646018950530348</v>
      </c>
      <c r="L237" s="35">
        <v>4.4432497440529959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4.6222403031531991</v>
      </c>
      <c r="J238" s="35">
        <v>4.6323792061238969</v>
      </c>
      <c r="K238" s="35">
        <v>4.3697800123108861</v>
      </c>
      <c r="L238" s="35">
        <v>4.4909261467429493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4.7743238477136778</v>
      </c>
      <c r="J239" s="35">
        <v>4.7844627506843755</v>
      </c>
      <c r="K239" s="35">
        <v>4.4319174194051021</v>
      </c>
      <c r="L239" s="35">
        <v>4.563695392953929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4.8250183625671701</v>
      </c>
      <c r="J240" s="35">
        <v>4.8351572655378687</v>
      </c>
      <c r="K240" s="35">
        <v>4.5044110610150216</v>
      </c>
      <c r="L240" s="35">
        <v>4.6113717956438824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4.7946016536550742</v>
      </c>
      <c r="J241" s="35">
        <v>4.8047405566257728</v>
      </c>
      <c r="K241" s="35">
        <v>4.4215611848893994</v>
      </c>
      <c r="L241" s="35">
        <v>4.5963160895312649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4.8047405566257737</v>
      </c>
      <c r="J242" s="35">
        <v>4.8148794595964723</v>
      </c>
      <c r="K242" s="35">
        <v>4.5924390543984952</v>
      </c>
      <c r="L242" s="35">
        <v>4.6866503262069656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5.1190465487174288</v>
      </c>
      <c r="J243" s="35">
        <v>5.1291854516881275</v>
      </c>
      <c r="K243" s="35">
        <v>5.1568538355042985</v>
      </c>
      <c r="L243" s="35">
        <v>4.8723373682625715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5.5246026675453717</v>
      </c>
      <c r="J244" s="35">
        <v>5.5347415705160703</v>
      </c>
      <c r="K244" s="35">
        <v>5.5193220435538981</v>
      </c>
      <c r="L244" s="35">
        <v>5.2336743149653717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5.5550193764574676</v>
      </c>
      <c r="J245" s="35">
        <v>5.5651582794281653</v>
      </c>
      <c r="K245" s="35">
        <v>5.5607469816167088</v>
      </c>
      <c r="L245" s="35">
        <v>5.2953023386530162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5.3623802200141952</v>
      </c>
      <c r="J246" s="35">
        <v>5.372519122984893</v>
      </c>
      <c r="K246" s="35">
        <v>5.3743347603340581</v>
      </c>
      <c r="L246" s="35">
        <v>5.0705708320786913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5.169741063570922</v>
      </c>
      <c r="J247" s="35">
        <v>5.1798799665416198</v>
      </c>
      <c r="K247" s="35">
        <v>5.0532914903472701</v>
      </c>
      <c r="L247" s="35">
        <v>4.8949209274314969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4.713490429889486</v>
      </c>
      <c r="J248" s="35">
        <v>4.7236293328601837</v>
      </c>
      <c r="K248" s="35">
        <v>4.5354797645621305</v>
      </c>
      <c r="L248" s="35">
        <v>4.6389739235170131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4.7337682358308832</v>
      </c>
      <c r="J249" s="35">
        <v>4.7439071388015819</v>
      </c>
      <c r="K249" s="35">
        <v>4.4992329437571703</v>
      </c>
      <c r="L249" s="35">
        <v>4.5737325303623404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4.7439071388015819</v>
      </c>
      <c r="J250" s="35">
        <v>4.7540460417722796</v>
      </c>
      <c r="K250" s="35">
        <v>4.478520474725765</v>
      </c>
      <c r="L250" s="35">
        <v>4.6113717956438824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4.8858517803913619</v>
      </c>
      <c r="J251" s="35">
        <v>4.8959906833620606</v>
      </c>
      <c r="K251" s="35">
        <v>4.5303016473042792</v>
      </c>
      <c r="L251" s="35">
        <v>4.6741039044464516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4.9365462952448551</v>
      </c>
      <c r="J252" s="35">
        <v>4.9466851982155529</v>
      </c>
      <c r="K252" s="35">
        <v>4.6079734061720501</v>
      </c>
      <c r="L252" s="35">
        <v>4.7217803071364042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4.9669630041569501</v>
      </c>
      <c r="J253" s="35">
        <v>4.9771019071276479</v>
      </c>
      <c r="K253" s="35">
        <v>4.5820828198827925</v>
      </c>
      <c r="L253" s="35">
        <v>4.7669474254742541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4.9872408100983474</v>
      </c>
      <c r="J254" s="35">
        <v>4.997379713069046</v>
      </c>
      <c r="K254" s="35">
        <v>4.7374263376183352</v>
      </c>
      <c r="L254" s="35">
        <v>4.8673187995583662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5.2711300932779075</v>
      </c>
      <c r="J255" s="35">
        <v>5.2812689962486061</v>
      </c>
      <c r="K255" s="35">
        <v>5.3070192359819908</v>
      </c>
      <c r="L255" s="35">
        <v>5.0228944293887388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5.5854360853695635</v>
      </c>
      <c r="J256" s="35">
        <v>5.5955749883402612</v>
      </c>
      <c r="K256" s="35">
        <v>5.7109123820943992</v>
      </c>
      <c r="L256" s="35">
        <v>5.2938971394158383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5.6158527942816594</v>
      </c>
      <c r="J257" s="35">
        <v>5.6259916972523571</v>
      </c>
      <c r="K257" s="35">
        <v>5.741981085641509</v>
      </c>
      <c r="L257" s="35">
        <v>5.3555251631034828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5.4434914437797834</v>
      </c>
      <c r="J258" s="35">
        <v>5.4536303467504821</v>
      </c>
      <c r="K258" s="35">
        <v>5.5193220435538981</v>
      </c>
      <c r="L258" s="35">
        <v>5.1508679313459798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5.2407133843658116</v>
      </c>
      <c r="J259" s="35">
        <v>5.2508522873365102</v>
      </c>
      <c r="K259" s="35">
        <v>5.198278773567111</v>
      </c>
      <c r="L259" s="35">
        <v>4.9651808892903748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4.8858517803913619</v>
      </c>
      <c r="J260" s="35">
        <v>4.8959906833620606</v>
      </c>
      <c r="K260" s="35">
        <v>4.7426044548761874</v>
      </c>
      <c r="L260" s="35">
        <v>4.8096052594600023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4.9061295863327592</v>
      </c>
      <c r="J261" s="35">
        <v>4.9162684893034569</v>
      </c>
      <c r="K261" s="35">
        <v>4.6856451650398219</v>
      </c>
      <c r="L261" s="35">
        <v>4.7443638663053296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4.9162684893034569</v>
      </c>
      <c r="J262" s="35">
        <v>4.9264073922741556</v>
      </c>
      <c r="K262" s="35">
        <v>4.6908232822976732</v>
      </c>
      <c r="L262" s="35">
        <v>4.7820031315868716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5.0987687427760324</v>
      </c>
      <c r="J263" s="35">
        <v>5.1089076457467302</v>
      </c>
      <c r="K263" s="35">
        <v>4.7477825721340388</v>
      </c>
      <c r="L263" s="35">
        <v>4.8848837900230855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5.1494632576295247</v>
      </c>
      <c r="J264" s="35">
        <v>5.1596021606002234</v>
      </c>
      <c r="K264" s="35">
        <v>4.8099199792282556</v>
      </c>
      <c r="L264" s="35">
        <v>4.932560192713038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5.1494632576295247</v>
      </c>
      <c r="J265" s="35">
        <v>5.1596021606002234</v>
      </c>
      <c r="K265" s="35">
        <v>4.7374263376183352</v>
      </c>
      <c r="L265" s="35">
        <v>4.9476158988256547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5.1798799665416206</v>
      </c>
      <c r="J266" s="35">
        <v>5.1900188695123193</v>
      </c>
      <c r="K266" s="35">
        <v>5.0015103177687568</v>
      </c>
      <c r="L266" s="35">
        <v>5.0580244103181764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5.5043248616039744</v>
      </c>
      <c r="J267" s="35">
        <v>5.514463764574673</v>
      </c>
      <c r="K267" s="35">
        <v>5.5193220435538981</v>
      </c>
      <c r="L267" s="35">
        <v>5.2537485897821936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5.7679363388421372</v>
      </c>
      <c r="J268" s="35">
        <v>5.7780752418128358</v>
      </c>
      <c r="K268" s="35">
        <v>5.8973246033770508</v>
      </c>
      <c r="L268" s="35">
        <v>5.474565612767238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5.6158527942816594</v>
      </c>
      <c r="J269" s="35">
        <v>5.6259916972523571</v>
      </c>
      <c r="K269" s="35">
        <v>5.7316248511258046</v>
      </c>
      <c r="L269" s="35">
        <v>5.3555251631034828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5.4637692497211798</v>
      </c>
      <c r="J270" s="35">
        <v>5.4739081526918785</v>
      </c>
      <c r="K270" s="35">
        <v>5.5400345125853034</v>
      </c>
      <c r="L270" s="35">
        <v>5.1709422061628025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5.2812689962486061</v>
      </c>
      <c r="J271" s="35">
        <v>5.2914078992193048</v>
      </c>
      <c r="K271" s="35">
        <v>5.229347477114219</v>
      </c>
      <c r="L271" s="35">
        <v>5.0053294389240195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4.8452961685085683</v>
      </c>
      <c r="J272" s="35">
        <v>4.855435071479266</v>
      </c>
      <c r="K272" s="35">
        <v>4.6804670477819696</v>
      </c>
      <c r="L272" s="35">
        <v>4.7694567098263576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4.8655739744499646</v>
      </c>
      <c r="J273" s="35">
        <v>4.8757128774206633</v>
      </c>
      <c r="K273" s="35">
        <v>4.7011795168133759</v>
      </c>
      <c r="L273" s="35">
        <v>4.7042153166716849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4.8858517803913619</v>
      </c>
      <c r="J274" s="35">
        <v>4.8959906833620606</v>
      </c>
      <c r="K274" s="35">
        <v>4.7270701031026325</v>
      </c>
      <c r="L274" s="35">
        <v>4.7518917193616375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5.0987687427760324</v>
      </c>
      <c r="J275" s="35">
        <v>5.1089076457467302</v>
      </c>
      <c r="K275" s="35">
        <v>4.7736731584232954</v>
      </c>
      <c r="L275" s="35">
        <v>4.8848837900230855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5.169741063570922</v>
      </c>
      <c r="J276" s="35">
        <v>5.1798799665416198</v>
      </c>
      <c r="K276" s="35">
        <v>4.9393729106745399</v>
      </c>
      <c r="L276" s="35">
        <v>4.9526344675298608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5.2001577724830179</v>
      </c>
      <c r="J277" s="35">
        <v>5.2102966754537157</v>
      </c>
      <c r="K277" s="35">
        <v>4.8668792690646203</v>
      </c>
      <c r="L277" s="35">
        <v>4.9978015858677107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5.2305744813951138</v>
      </c>
      <c r="J278" s="35">
        <v>5.2407133843658116</v>
      </c>
      <c r="K278" s="35">
        <v>5.0584696076051232</v>
      </c>
      <c r="L278" s="35">
        <v>5.1082100973602333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5.6158527942816594</v>
      </c>
      <c r="J279" s="35">
        <v>5.6259916972523571</v>
      </c>
      <c r="K279" s="35">
        <v>5.643596857742331</v>
      </c>
      <c r="L279" s="35">
        <v>5.3641571012747162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5.8794642715198213</v>
      </c>
      <c r="J280" s="35">
        <v>5.88960317449052</v>
      </c>
      <c r="K280" s="35">
        <v>6.011243183049781</v>
      </c>
      <c r="L280" s="35">
        <v>5.5849741242597606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5.9301587863733145</v>
      </c>
      <c r="J281" s="35">
        <v>5.9402976893440131</v>
      </c>
      <c r="K281" s="35">
        <v>6.0526681211125934</v>
      </c>
      <c r="L281" s="35">
        <v>5.6666764227642279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5.7577974358714386</v>
      </c>
      <c r="J282" s="35">
        <v>5.7679363388421372</v>
      </c>
      <c r="K282" s="35">
        <v>5.8610777825720914</v>
      </c>
      <c r="L282" s="35">
        <v>5.4620191910067248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5.6259916972523571</v>
      </c>
      <c r="J283" s="35">
        <v>5.6361306002230558</v>
      </c>
      <c r="K283" s="35">
        <v>5.5762813333902628</v>
      </c>
      <c r="L283" s="35">
        <v>5.346592110809997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5.2508522873365102</v>
      </c>
      <c r="J284" s="35">
        <v>5.2609911903072089</v>
      </c>
      <c r="K284" s="35">
        <v>5.0170446695423117</v>
      </c>
      <c r="L284" s="35">
        <v>5.1709422061628025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5.2508522873365102</v>
      </c>
      <c r="J285" s="35">
        <v>5.2609911903072089</v>
      </c>
      <c r="K285" s="35">
        <v>5.0170446695423108</v>
      </c>
      <c r="L285" s="35">
        <v>5.0856265381913079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5.2305744813951138</v>
      </c>
      <c r="J286" s="35">
        <v>5.2407133843658116</v>
      </c>
      <c r="K286" s="35">
        <v>5.0118665522844594</v>
      </c>
      <c r="L286" s="35">
        <v>5.0931543912476158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5.5043248616039744</v>
      </c>
      <c r="J287" s="35">
        <v>5.514463764574673</v>
      </c>
      <c r="K287" s="35">
        <v>5.0636477248629745</v>
      </c>
      <c r="L287" s="35">
        <v>5.2863692863595295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5.5550193764574676</v>
      </c>
      <c r="J288" s="35">
        <v>5.5651582794281653</v>
      </c>
      <c r="K288" s="35">
        <v>5.1206070146993392</v>
      </c>
      <c r="L288" s="35">
        <v>5.334045689049483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5.6057138913109608</v>
      </c>
      <c r="J289" s="35">
        <v>5.6158527942816594</v>
      </c>
      <c r="K289" s="35">
        <v>5.0636477248629737</v>
      </c>
      <c r="L289" s="35">
        <v>5.3992870822041557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5.6462695031937553</v>
      </c>
      <c r="J290" s="35">
        <v>5.6564084061644531</v>
      </c>
      <c r="K290" s="35">
        <v>5.2811286496927341</v>
      </c>
      <c r="L290" s="35">
        <v>5.5197327311050879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6.0518256220216973</v>
      </c>
      <c r="J291" s="35">
        <v>6.0619645249923959</v>
      </c>
      <c r="K291" s="35">
        <v>6.0423118865968899</v>
      </c>
      <c r="L291" s="35">
        <v>5.7957540098363944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6.3965483230254483</v>
      </c>
      <c r="J292" s="35">
        <v>6.4066872259961469</v>
      </c>
      <c r="K292" s="35">
        <v>6.5445892606084772</v>
      </c>
      <c r="L292" s="35">
        <v>6.0968681320887281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6.3864094200547505</v>
      </c>
      <c r="J293" s="35">
        <v>6.3965483230254483</v>
      </c>
      <c r="K293" s="35">
        <v>6.5238767915770701</v>
      </c>
      <c r="L293" s="35">
        <v>6.118347606142728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6.2748814873770655</v>
      </c>
      <c r="J294" s="35">
        <v>6.2850203903477642</v>
      </c>
      <c r="K294" s="35">
        <v>6.363355156583677</v>
      </c>
      <c r="L294" s="35">
        <v>5.9739131988356924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6.17349245767008</v>
      </c>
      <c r="J295" s="35">
        <v>6.1836313606407787</v>
      </c>
      <c r="K295" s="35">
        <v>6.0164213003076332</v>
      </c>
      <c r="L295" s="35">
        <v>5.8885975308641978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5.8591864655784249</v>
      </c>
      <c r="J296" s="35">
        <v>5.8693253685491236</v>
      </c>
      <c r="K296" s="35">
        <v>5.6280625059687779</v>
      </c>
      <c r="L296" s="35">
        <v>5.7731704506674699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5.8794642715198213</v>
      </c>
      <c r="J297" s="35">
        <v>5.88960317449052</v>
      </c>
      <c r="K297" s="35">
        <v>5.6228843887109257</v>
      </c>
      <c r="L297" s="35">
        <v>5.7079290575127972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5.8389086596370277</v>
      </c>
      <c r="J298" s="35">
        <v>5.8490475626077254</v>
      </c>
      <c r="K298" s="35">
        <v>5.5348563953274521</v>
      </c>
      <c r="L298" s="35">
        <v>5.6953826357522832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6.1227979428165877</v>
      </c>
      <c r="J299" s="35">
        <v>6.1329368457872864</v>
      </c>
      <c r="K299" s="35">
        <v>5.596993802421669</v>
      </c>
      <c r="L299" s="35">
        <v>5.8986346682726083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6.1532146517286836</v>
      </c>
      <c r="J300" s="35">
        <v>6.1633535546993823</v>
      </c>
      <c r="K300" s="35">
        <v>5.6539530922580346</v>
      </c>
      <c r="L300" s="35">
        <v>5.9262367961457389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6.1430757487579841</v>
      </c>
      <c r="J301" s="35">
        <v>6.1532146517286828</v>
      </c>
      <c r="K301" s="35">
        <v>5.5762813333902628</v>
      </c>
      <c r="L301" s="35">
        <v>5.9312553648499442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6.1227979428165877</v>
      </c>
      <c r="J302" s="35">
        <v>6.1329368457872864</v>
      </c>
      <c r="K302" s="35">
        <v>5.7937622582200223</v>
      </c>
      <c r="L302" s="35">
        <v>5.9914781893004116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6.4675206438203388</v>
      </c>
      <c r="J303" s="35">
        <v>6.4776595467910374</v>
      </c>
      <c r="K303" s="35">
        <v>6.492808088029963</v>
      </c>
      <c r="L303" s="35">
        <v>6.2072766435812508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6.802104441853392</v>
      </c>
      <c r="J304" s="35">
        <v>6.8122433448240898</v>
      </c>
      <c r="K304" s="35">
        <v>6.9484824067208866</v>
      </c>
      <c r="L304" s="35">
        <v>6.4983536284251731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6.9541879864138707</v>
      </c>
      <c r="J305" s="35">
        <v>6.9643268893845693</v>
      </c>
      <c r="K305" s="35">
        <v>7.1090040417142797</v>
      </c>
      <c r="L305" s="35">
        <v>6.6804273010137507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6.8122433448240898</v>
      </c>
      <c r="J306" s="35">
        <v>6.8223822477947884</v>
      </c>
      <c r="K306" s="35">
        <v>6.9174137031737777</v>
      </c>
      <c r="L306" s="35">
        <v>6.5058814814814809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6.7108543151171052</v>
      </c>
      <c r="J307" s="35">
        <v>6.7209932180878029</v>
      </c>
      <c r="K307" s="35">
        <v>6.5911923159291392</v>
      </c>
      <c r="L307" s="35">
        <v>6.4205658135099863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6.2444647784649705</v>
      </c>
      <c r="J308" s="35">
        <v>6.2546036814356691</v>
      </c>
      <c r="K308" s="35">
        <v>6.0008869485340783</v>
      </c>
      <c r="L308" s="35">
        <v>6.1545816721870921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6.2647425844063669</v>
      </c>
      <c r="J309" s="35">
        <v>6.2748814873770655</v>
      </c>
      <c r="K309" s="35">
        <v>6.0060650657919306</v>
      </c>
      <c r="L309" s="35">
        <v>6.0893402790324203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6.1937702636114782</v>
      </c>
      <c r="J310" s="35">
        <v>6.2039091665821759</v>
      </c>
      <c r="K310" s="35">
        <v>5.9025027206349012</v>
      </c>
      <c r="L310" s="35">
        <v>6.0466824450466721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6.4371039349082428</v>
      </c>
      <c r="J311" s="35">
        <v>6.4472428378789415</v>
      </c>
      <c r="K311" s="35">
        <v>5.8973246033770508</v>
      </c>
      <c r="L311" s="35">
        <v>6.2097859279333525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6.4979373527324347</v>
      </c>
      <c r="J312" s="35">
        <v>6.5080762557031333</v>
      </c>
      <c r="K312" s="35">
        <v>5.9439276586977137</v>
      </c>
      <c r="L312" s="35">
        <v>6.2674994680317173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6.4066872259961478</v>
      </c>
      <c r="J313" s="35">
        <v>6.4168261289668465</v>
      </c>
      <c r="K313" s="35">
        <v>6.0215994175654846</v>
      </c>
      <c r="L313" s="35">
        <v>6.1922209374686332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6.4066872259961478</v>
      </c>
      <c r="J314" s="35">
        <v>6.4168261289668465</v>
      </c>
      <c r="K314" s="35">
        <v>6.2183678733638379</v>
      </c>
      <c r="L314" s="35">
        <v>6.2725180367359226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6.7412710240292002</v>
      </c>
      <c r="J315" s="35">
        <v>6.7514099269998979</v>
      </c>
      <c r="K315" s="35">
        <v>6.8500981788217095</v>
      </c>
      <c r="L315" s="35">
        <v>6.4782793536083503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7.0454381131501576</v>
      </c>
      <c r="J316" s="35">
        <v>7.0555770161208562</v>
      </c>
      <c r="K316" s="35">
        <v>7.2022101523556046</v>
      </c>
      <c r="L316" s="35">
        <v>6.7392449262270402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7.1873827547399376</v>
      </c>
      <c r="J317" s="35">
        <v>7.1975216577106362</v>
      </c>
      <c r="K317" s="35">
        <v>7.3627317873489995</v>
      </c>
      <c r="L317" s="35">
        <v>6.9112814614072065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6.9136323745310762</v>
      </c>
      <c r="J318" s="35">
        <v>6.9237712775017748</v>
      </c>
      <c r="K318" s="35">
        <v>7.0209760483308061</v>
      </c>
      <c r="L318" s="35">
        <v>6.6062528555655931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6.7007154121464065</v>
      </c>
      <c r="J319" s="35">
        <v>6.7108543151171052</v>
      </c>
      <c r="K319" s="35">
        <v>6.8086732407588979</v>
      </c>
      <c r="L319" s="35">
        <v>6.4105286761015758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6.1532146517286836</v>
      </c>
      <c r="J320" s="35">
        <v>6.1633535546993823</v>
      </c>
      <c r="K320" s="35">
        <v>6.156230466269621</v>
      </c>
      <c r="L320" s="35">
        <v>6.0642474355113922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6.17349245767008</v>
      </c>
      <c r="J321" s="35">
        <v>6.1836313606407787</v>
      </c>
      <c r="K321" s="35">
        <v>6.1044492936911068</v>
      </c>
      <c r="L321" s="35">
        <v>5.9990060423567195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6.0619645249923959</v>
      </c>
      <c r="J322" s="35">
        <v>6.0721034279630937</v>
      </c>
      <c r="K322" s="35">
        <v>6.0164213003076332</v>
      </c>
      <c r="L322" s="35">
        <v>5.9161996587373284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6.3661316141133533</v>
      </c>
      <c r="J323" s="35">
        <v>6.3762705170840519</v>
      </c>
      <c r="K323" s="35">
        <v>5.9957088312762279</v>
      </c>
      <c r="L323" s="35">
        <v>6.1395259660744754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6.4269650319375442</v>
      </c>
      <c r="J324" s="35">
        <v>6.4371039349082428</v>
      </c>
      <c r="K324" s="35">
        <v>6.0526681211125934</v>
      </c>
      <c r="L324" s="35">
        <v>6.1972395061728394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6.457381740849641</v>
      </c>
      <c r="J325" s="35">
        <v>6.4675206438203388</v>
      </c>
      <c r="K325" s="35">
        <v>6.0940930591754041</v>
      </c>
      <c r="L325" s="35">
        <v>6.2424066245106893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6.457381740849641</v>
      </c>
      <c r="J326" s="35">
        <v>6.4675206438203388</v>
      </c>
      <c r="K326" s="35">
        <v>6.3529989220679743</v>
      </c>
      <c r="L326" s="35">
        <v>6.3227037237779786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6.9339101804724734</v>
      </c>
      <c r="J327" s="35">
        <v>6.9440490834431712</v>
      </c>
      <c r="K327" s="35">
        <v>7.0313322828465088</v>
      </c>
      <c r="L327" s="35">
        <v>6.6689849643681622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7.2583550755348281</v>
      </c>
      <c r="J328" s="35">
        <v>7.2684939785055258</v>
      </c>
      <c r="K328" s="35">
        <v>7.4196910771853641</v>
      </c>
      <c r="L328" s="35">
        <v>6.950024811803674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7.4307164260367031</v>
      </c>
      <c r="J329" s="35">
        <v>7.4408553290074018</v>
      </c>
      <c r="K329" s="35">
        <v>7.5905689466944608</v>
      </c>
      <c r="L329" s="35">
        <v>7.1521727592090736</v>
      </c>
      <c r="M329" s="104">
        <f t="shared" ref="M329:M340" si="13">YEAR(H329)</f>
        <v>2042</v>
      </c>
    </row>
    <row r="330" spans="8:15">
      <c r="H330" s="31">
        <v>51898</v>
      </c>
      <c r="I330" s="35">
        <v>7.2279383666227321</v>
      </c>
      <c r="J330" s="35">
        <v>7.2380772695934299</v>
      </c>
      <c r="K330" s="35">
        <v>7.3316630838018906</v>
      </c>
      <c r="L330" s="35">
        <v>6.9174041152263372</v>
      </c>
      <c r="M330" s="104">
        <f t="shared" si="13"/>
        <v>2042</v>
      </c>
    </row>
    <row r="331" spans="8:15">
      <c r="H331" s="31">
        <v>51926</v>
      </c>
      <c r="I331" s="35">
        <v>7.004882501267363</v>
      </c>
      <c r="J331" s="35">
        <v>7.0150214042380616</v>
      </c>
      <c r="K331" s="35">
        <v>7.0779353381671717</v>
      </c>
      <c r="L331" s="35">
        <v>6.7116427983539086</v>
      </c>
      <c r="M331" s="104">
        <f t="shared" si="13"/>
        <v>2042</v>
      </c>
    </row>
    <row r="332" spans="8:15">
      <c r="H332" s="31">
        <v>51957</v>
      </c>
      <c r="I332" s="35">
        <v>6.6094652854101188</v>
      </c>
      <c r="J332" s="35">
        <v>6.6196041883808165</v>
      </c>
      <c r="K332" s="35">
        <v>6.5549454951241799</v>
      </c>
      <c r="L332" s="35">
        <v>6.5159186188898923</v>
      </c>
      <c r="M332" s="104">
        <f t="shared" si="13"/>
        <v>2042</v>
      </c>
    </row>
    <row r="333" spans="8:15">
      <c r="H333" s="31">
        <v>51987</v>
      </c>
      <c r="I333" s="35">
        <v>6.6500208972929133</v>
      </c>
      <c r="J333" s="35">
        <v>6.6601598002636111</v>
      </c>
      <c r="K333" s="35">
        <v>6.4772737362564081</v>
      </c>
      <c r="L333" s="35">
        <v>6.4707515005520424</v>
      </c>
      <c r="M333" s="104">
        <f t="shared" si="13"/>
        <v>2042</v>
      </c>
    </row>
    <row r="334" spans="8:15">
      <c r="H334" s="31">
        <v>52018</v>
      </c>
      <c r="I334" s="35">
        <v>6.4979373527324347</v>
      </c>
      <c r="J334" s="35">
        <v>6.5080762557031333</v>
      </c>
      <c r="K334" s="35">
        <v>6.3167521012630141</v>
      </c>
      <c r="L334" s="35">
        <v>6.3477965672990058</v>
      </c>
      <c r="M334" s="104">
        <f t="shared" si="13"/>
        <v>2042</v>
      </c>
    </row>
    <row r="335" spans="8:15">
      <c r="H335" s="31">
        <v>52048</v>
      </c>
      <c r="I335" s="35">
        <v>6.8325211507654879</v>
      </c>
      <c r="J335" s="35">
        <v>6.8426600537361866</v>
      </c>
      <c r="K335" s="35">
        <v>6.3063958667473123</v>
      </c>
      <c r="L335" s="35">
        <v>6.6012342868613869</v>
      </c>
      <c r="M335" s="104">
        <f t="shared" si="13"/>
        <v>2042</v>
      </c>
    </row>
    <row r="336" spans="8:15">
      <c r="H336" s="31">
        <v>52079</v>
      </c>
      <c r="I336" s="35">
        <v>6.8730767626482825</v>
      </c>
      <c r="J336" s="35">
        <v>6.8832156656189802</v>
      </c>
      <c r="K336" s="35">
        <v>6.3426426875522717</v>
      </c>
      <c r="L336" s="35">
        <v>6.6388735521429281</v>
      </c>
      <c r="M336" s="104">
        <f t="shared" si="13"/>
        <v>2042</v>
      </c>
    </row>
    <row r="337" spans="8:13">
      <c r="H337" s="31">
        <v>52110</v>
      </c>
      <c r="I337" s="35">
        <v>6.9034934715603775</v>
      </c>
      <c r="J337" s="35">
        <v>6.9136323745310753</v>
      </c>
      <c r="K337" s="35">
        <v>6.4410269154514479</v>
      </c>
      <c r="L337" s="35">
        <v>6.6840406704807789</v>
      </c>
      <c r="M337" s="104">
        <f t="shared" si="13"/>
        <v>2042</v>
      </c>
    </row>
    <row r="338" spans="8:13">
      <c r="H338" s="31">
        <v>52140</v>
      </c>
      <c r="I338" s="35">
        <v>6.8933545685896789</v>
      </c>
      <c r="J338" s="35">
        <v>6.9034934715603775</v>
      </c>
      <c r="K338" s="35">
        <v>6.6015485504448428</v>
      </c>
      <c r="L338" s="35">
        <v>6.7543006323396568</v>
      </c>
      <c r="M338" s="104">
        <f t="shared" si="13"/>
        <v>2042</v>
      </c>
    </row>
    <row r="339" spans="8:13">
      <c r="H339" s="31">
        <v>52171</v>
      </c>
      <c r="I339" s="35">
        <v>7.5422443587143873</v>
      </c>
      <c r="J339" s="35">
        <v>7.552383261685085</v>
      </c>
      <c r="K339" s="35">
        <v>7.642350119272975</v>
      </c>
      <c r="L339" s="35">
        <v>7.2712132088728287</v>
      </c>
      <c r="M339" s="104">
        <f t="shared" si="13"/>
        <v>2042</v>
      </c>
    </row>
    <row r="340" spans="8:13">
      <c r="H340" s="31">
        <v>52201</v>
      </c>
      <c r="I340" s="35">
        <v>7.9173837686302342</v>
      </c>
      <c r="J340" s="35">
        <v>7.9275226716009328</v>
      </c>
      <c r="K340" s="35">
        <v>8.0980244379638986</v>
      </c>
      <c r="L340" s="35">
        <v>7.6024387433503957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3" t="s">
        <v>159</v>
      </c>
      <c r="C1" s="413"/>
      <c r="D1" s="413"/>
      <c r="E1" s="413"/>
      <c r="F1" s="413"/>
      <c r="G1" s="413"/>
      <c r="H1" s="413"/>
      <c r="I1" s="413"/>
      <c r="J1" s="413"/>
      <c r="K1" s="413"/>
      <c r="M1" s="346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43" t="s">
        <v>103</v>
      </c>
      <c r="B3" s="344">
        <v>2024</v>
      </c>
      <c r="C3" s="344">
        <v>2030</v>
      </c>
      <c r="D3" s="344">
        <v>2024</v>
      </c>
      <c r="E3" s="344">
        <v>2024</v>
      </c>
      <c r="F3" s="344">
        <v>2024</v>
      </c>
      <c r="G3" s="344">
        <v>2024</v>
      </c>
      <c r="H3" s="344">
        <v>2029</v>
      </c>
      <c r="I3" s="344">
        <v>2024</v>
      </c>
      <c r="J3" s="344">
        <v>2030</v>
      </c>
      <c r="K3" s="344">
        <v>2026</v>
      </c>
      <c r="L3" s="344">
        <v>2029</v>
      </c>
      <c r="M3" s="344">
        <v>2032</v>
      </c>
    </row>
    <row r="4" spans="1:14" ht="51">
      <c r="B4" s="200" t="s">
        <v>158</v>
      </c>
      <c r="C4" s="200" t="s">
        <v>167</v>
      </c>
      <c r="D4" s="200" t="s">
        <v>166</v>
      </c>
      <c r="E4" s="200" t="s">
        <v>165</v>
      </c>
      <c r="F4" s="200" t="s">
        <v>163</v>
      </c>
      <c r="G4" s="200" t="s">
        <v>164</v>
      </c>
      <c r="H4" s="200" t="s">
        <v>164</v>
      </c>
      <c r="I4" s="200" t="s">
        <v>162</v>
      </c>
      <c r="J4" s="200" t="s">
        <v>162</v>
      </c>
      <c r="K4" s="200" t="s">
        <v>168</v>
      </c>
      <c r="L4" s="200" t="s">
        <v>173</v>
      </c>
      <c r="M4" s="200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41.129454355073626</v>
      </c>
      <c r="E11" s="130">
        <f>INDEX('Table 3 PV wS SO_2024'!$I$10:$I$33,MATCH($A11,'Table 3 PV wS SO_2024'!$B$10:$B$33,0),1)</f>
        <v>35.883813533353816</v>
      </c>
      <c r="F11" s="130">
        <f>INDEX('Table 3 PV wS UTN_2024'!$I$10:$I$33,MATCH($A11,'Table 3 PV wS UTN_2024'!$B$10:$B$33,0),1)</f>
        <v>35.103062221961899</v>
      </c>
      <c r="G11" s="130">
        <f>INDEX('Table 3 PV wS JB_2024'!$I$10:$I$33,MATCH($A11,'Table 3 PV wS JB_2024'!$B$10:$B$33,0),1)</f>
        <v>34.084229367526298</v>
      </c>
      <c r="H11" s="130"/>
      <c r="I11" s="130">
        <f>INDEX('Table 3 PV wS UTS_2024'!$I$10:$I$36,MATCH($A11,'Table 3 PV wS UTS_2024'!$B$10:$B$36,0),1)</f>
        <v>32.129957120151957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23.825298147682684</v>
      </c>
      <c r="C12" s="130"/>
      <c r="D12" s="130">
        <f>INDEX('Table 3 PV wS YK_2024'!$I$10:$I$33,MATCH($A12,'Table 3 PV wS YK_2024'!$B$10:$B$33,0),1)</f>
        <v>41.995960660344224</v>
      </c>
      <c r="E12" s="130">
        <f>INDEX('Table 3 PV wS SO_2024'!$I$10:$I$33,MATCH($A12,'Table 3 PV wS SO_2024'!$B$10:$B$33,0),1)</f>
        <v>36.637301477484129</v>
      </c>
      <c r="F12" s="130">
        <f>INDEX('Table 3 PV wS UTN_2024'!$I$10:$I$33,MATCH($A12,'Table 3 PV wS UTN_2024'!$B$10:$B$33,0),1)</f>
        <v>35.843231845143286</v>
      </c>
      <c r="G12" s="130">
        <f>INDEX('Table 3 PV wS JB_2024'!$I$10:$I$33,MATCH($A12,'Table 3 PV wS JB_2024'!$B$10:$B$33,0),1)</f>
        <v>34.800285198501193</v>
      </c>
      <c r="H12" s="130"/>
      <c r="I12" s="130">
        <f>INDEX('Table 3 PV wS UTS_2024'!$I$10:$I$36,MATCH($A12,'Table 3 PV wS UTS_2024'!$B$10:$B$36,0),1)</f>
        <v>32.806462943449247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24.354965482873222</v>
      </c>
      <c r="C13" s="130"/>
      <c r="D13" s="130">
        <f>INDEX('Table 3 PV wS YK_2024'!$I$10:$I$33,MATCH($A13,'Table 3 PV wS YK_2024'!$B$10:$B$33,0),1)</f>
        <v>42.922374429223737</v>
      </c>
      <c r="E13" s="130">
        <f>INDEX('Table 3 PV wS SO_2024'!$I$10:$I$33,MATCH($A13,'Table 3 PV wS SO_2024'!$B$10:$B$33,0),1)</f>
        <v>37.444459818889044</v>
      </c>
      <c r="F13" s="130">
        <f>INDEX('Table 3 PV wS UTN_2024'!$I$10:$I$33,MATCH($A13,'Table 3 PV wS UTN_2024'!$B$10:$B$33,0),1)</f>
        <v>36.63207876333076</v>
      </c>
      <c r="G13" s="130">
        <f>INDEX('Table 3 PV wS JB_2024'!$I$10:$I$33,MATCH($A13,'Table 3 PV wS JB_2024'!$B$10:$B$33,0),1)</f>
        <v>35.566376917125567</v>
      </c>
      <c r="H13" s="130"/>
      <c r="I13" s="130">
        <f>INDEX('Table 3 PV wS UTS_2024'!$I$10:$I$36,MATCH($A13,'Table 3 PV wS UTS_2024'!$B$10:$B$36,0),1)</f>
        <v>33.526519142957497</v>
      </c>
      <c r="J13" s="130"/>
      <c r="K13" s="130">
        <f>INDEX('Table 3 185 MW (NTN) 2026)'!$K$14:$K$41,MATCH($A13,'Table 3 185 MW (NTN) 2026)'!$B$14:$B$41,0),1)</f>
        <v>74.62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25.914906877941164</v>
      </c>
      <c r="C14" s="130"/>
      <c r="D14" s="130">
        <f>INDEX('Table 3 PV wS YK_2024'!$I$10:$I$33,MATCH($A14,'Table 3 PV wS YK_2024'!$B$10:$B$33,0),1)</f>
        <v>43.910256410256409</v>
      </c>
      <c r="E14" s="130">
        <f>INDEX('Table 3 PV wS SO_2024'!$I$10:$I$33,MATCH($A14,'Table 3 PV wS SO_2024'!$B$10:$B$33,0),1)</f>
        <v>38.305428716387624</v>
      </c>
      <c r="F14" s="130">
        <f>INDEX('Table 3 PV wS UTN_2024'!$I$10:$I$33,MATCH($A14,'Table 3 PV wS UTN_2024'!$B$10:$B$33,0),1)</f>
        <v>37.474021147165473</v>
      </c>
      <c r="G14" s="130">
        <f>INDEX('Table 3 PV wS JB_2024'!$I$10:$I$33,MATCH($A14,'Table 3 PV wS JB_2024'!$B$10:$B$33,0),1)</f>
        <v>36.385564101397172</v>
      </c>
      <c r="H14" s="130"/>
      <c r="I14" s="130">
        <f>INDEX('Table 3 PV wS UTS_2024'!$I$10:$I$36,MATCH($A14,'Table 3 PV wS UTS_2024'!$B$10:$B$36,0),1)</f>
        <v>34.299262381454163</v>
      </c>
      <c r="J14" s="130"/>
      <c r="K14" s="130">
        <f>INDEX('Table 3 185 MW (NTN) 2026)'!$K$14:$K$41,MATCH($A14,'Table 3 185 MW (NTN) 2026)'!$B$14:$B$41,0),1)</f>
        <v>76.41</v>
      </c>
      <c r="L14" s="130"/>
      <c r="M14" s="130"/>
      <c r="N14" s="269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26.490976123399378</v>
      </c>
      <c r="C15" s="130"/>
      <c r="D15" s="130">
        <f>INDEX('Table 3 PV wS YK_2024'!$I$10:$I$33,MATCH($A15,'Table 3 PV wS YK_2024'!$B$10:$B$33,0),1)</f>
        <v>44.920091324200911</v>
      </c>
      <c r="E15" s="130">
        <f>INDEX('Table 3 PV wS SO_2024'!$I$10:$I$33,MATCH($A15,'Table 3 PV wS SO_2024'!$B$10:$B$33,0),1)</f>
        <v>39.185615669633933</v>
      </c>
      <c r="F15" s="130">
        <f>INDEX('Table 3 PV wS UTN_2024'!$I$10:$I$33,MATCH($A15,'Table 3 PV wS UTN_2024'!$B$10:$B$33,0),1)</f>
        <v>38.33492619730275</v>
      </c>
      <c r="G15" s="130">
        <f>INDEX('Table 3 PV wS JB_2024'!$I$10:$I$33,MATCH($A15,'Table 3 PV wS JB_2024'!$B$10:$B$33,0),1)</f>
        <v>37.219921418710854</v>
      </c>
      <c r="H15" s="130"/>
      <c r="I15" s="130">
        <f>INDEX('Table 3 PV wS UTS_2024'!$I$10:$I$36,MATCH($A15,'Table 3 PV wS UTS_2024'!$B$10:$B$36,0),1)</f>
        <v>35.089567966280292</v>
      </c>
      <c r="J15" s="130"/>
      <c r="K15" s="130">
        <f>INDEX('Table 3 185 MW (NTN) 2026)'!$K$14:$K$41,MATCH($A15,'Table 3 185 MW (NTN) 2026)'!$B$14:$B$41,0),1)</f>
        <v>79.2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27.077964013167996</v>
      </c>
      <c r="C16" s="130"/>
      <c r="D16" s="130">
        <f>INDEX('Table 3 PV wS YK_2024'!$I$10:$I$33,MATCH($A16,'Table 3 PV wS YK_2024'!$B$10:$B$33,0),1)</f>
        <v>45.95187917105725</v>
      </c>
      <c r="E16" s="130">
        <f>INDEX('Table 3 PV wS SO_2024'!$I$10:$I$33,MATCH($A16,'Table 3 PV wS SO_2024'!$B$10:$B$33,0),1)</f>
        <v>40.08886428977754</v>
      </c>
      <c r="F16" s="130">
        <f>INDEX('Table 3 PV wS UTN_2024'!$I$10:$I$33,MATCH($A16,'Table 3 PV wS UTN_2024'!$B$10:$B$33,0),1)</f>
        <v>39.214793913742632</v>
      </c>
      <c r="G16" s="130">
        <f>INDEX('Table 3 PV wS JB_2024'!$I$10:$I$33,MATCH($A16,'Table 3 PV wS JB_2024'!$B$10:$B$33,0),1)</f>
        <v>38.077033935587622</v>
      </c>
      <c r="H16" s="130">
        <f>INDEX('Table 3 PV wS JB_2029'!$I$10:$I$33,MATCH($A16,'Table 3 PV wS JB_2029'!$B$10:$B$33,0),1)</f>
        <v>34.959163692345548</v>
      </c>
      <c r="I16" s="130">
        <f>INDEX('Table 3 PV wS UTS_2024'!$I$10:$I$36,MATCH($A16,'Table 3 PV wS UTS_2024'!$B$10:$B$36,0),1)</f>
        <v>35.897435897435905</v>
      </c>
      <c r="J16" s="130"/>
      <c r="K16" s="130">
        <f>INDEX('Table 3 185 MW (NTN) 2026)'!$K$14:$K$41,MATCH($A16,'Table 3 185 MW (NTN) 2026)'!$B$14:$B$41,0),1)</f>
        <v>82.8</v>
      </c>
      <c r="L16" s="130">
        <f>INDEX('Table 3 YK Wind wS_2029'!$I$10:$I$33,MATCH($A16,'Table 3 YK Wind wS_2029'!$B$10:$B$33,0),1)</f>
        <v>56.578924791790222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27.671216119978212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47.005619950825434</v>
      </c>
      <c r="E17" s="130">
        <f>INDEX('Table 3 PV wS SO_2024'!$I$10:$I$33,MATCH($A17,'Table 3 PV wS SO_2024'!$B$10:$B$33,0),1)</f>
        <v>41.00748735451932</v>
      </c>
      <c r="F17" s="130">
        <f>INDEX('Table 3 PV wS UTN_2024'!$I$10:$I$33,MATCH($A17,'Table 3 PV wS UTN_2024'!$B$10:$B$33,0),1)</f>
        <v>40.117416829745608</v>
      </c>
      <c r="G17" s="130">
        <f>INDEX('Table 3 PV wS JB_2024'!$I$10:$I$33,MATCH($A17,'Table 3 PV wS JB_2024'!$B$10:$B$33,0),1)</f>
        <v>38.949316585506452</v>
      </c>
      <c r="H17" s="130">
        <f>INDEX('Table 3 PV wS JB_2029'!$I$10:$I$33,MATCH($A17,'Table 3 PV wS JB_2029'!$B$10:$B$33,0),1)</f>
        <v>35.759796113411916</v>
      </c>
      <c r="I17" s="130">
        <f>INDEX('Table 3 PV wS UTS_2024'!$I$10:$I$36,MATCH($A17,'Table 3 PV wS UTS_2024'!$B$10:$B$36,0),1)</f>
        <v>36.722866174920973</v>
      </c>
      <c r="J17" s="130">
        <f>INDEX('Table 3 PV wS UTS_2030'!$I$10:$I$36,MATCH($A17,'Table 3 PV wS UTS_2030'!$B$10:$B$36,0),1)</f>
        <v>47.250192183350762</v>
      </c>
      <c r="K17" s="130">
        <f>INDEX('Table 3 185 MW (NTN) 2026)'!$K$14:$K$41,MATCH($A17,'Table 3 185 MW (NTN) 2026)'!$B$14:$B$41,0),1)</f>
        <v>86.71</v>
      </c>
      <c r="L17" s="130">
        <f>INDEX('Table 3 YK Wind wS_2029'!$I$10:$I$33,MATCH($A17,'Table 3 YK Wind wS_2029'!$B$10:$B$33,0),1)</f>
        <v>57.864464203138702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28.280596077178725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48.085704250087808</v>
      </c>
      <c r="E18" s="130">
        <f>INDEX('Table 3 PV wS SO_2024'!$I$10:$I$33,MATCH($A18,'Table 3 PV wS SO_2024'!$B$10:$B$33,0),1)</f>
        <v>41.949172086158384</v>
      </c>
      <c r="F18" s="130">
        <f>INDEX('Table 3 PV wS UTN_2024'!$I$10:$I$33,MATCH($A18,'Table 3 PV wS UTN_2024'!$B$10:$B$33,0),1)</f>
        <v>41.039002412051154</v>
      </c>
      <c r="G18" s="130">
        <f>INDEX('Table 3 PV wS JB_2024'!$I$10:$I$33,MATCH($A18,'Table 3 PV wS JB_2024'!$B$10:$B$33,0),1)</f>
        <v>39.844354434988396</v>
      </c>
      <c r="H18" s="130">
        <f>INDEX('Table 3 PV wS JB_2029'!$I$10:$I$33,MATCH($A18,'Table 3 PV wS JB_2029'!$B$10:$B$33,0),1)</f>
        <v>36.582775830944044</v>
      </c>
      <c r="I18" s="130">
        <f>INDEX('Table 3 PV wS UTS_2024'!$I$10:$I$36,MATCH($A18,'Table 3 PV wS UTS_2024'!$B$10:$B$36,0),1)</f>
        <v>37.565858798735512</v>
      </c>
      <c r="J18" s="130">
        <f>INDEX('Table 3 PV wS UTS_2030'!$I$10:$I$36,MATCH($A18,'Table 3 PV wS UTS_2030'!$B$10:$B$36,0),1)</f>
        <v>48.335089567966278</v>
      </c>
      <c r="K18" s="130">
        <f>INDEX('Table 3 185 MW (NTN) 2026)'!$K$14:$K$41,MATCH($A18,'Table 3 185 MW (NTN) 2026)'!$B$14:$B$41,0),1)</f>
        <v>89.56</v>
      </c>
      <c r="L18" s="130">
        <f>INDEX('Table 3 YK Wind wS_2029'!$I$10:$I$33,MATCH($A18,'Table 3 YK Wind wS_2029'!$B$10:$B$33,0),1)</f>
        <v>59.201321671525761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28.906240251420829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49.192132068844401</v>
      </c>
      <c r="E19" s="130">
        <f>INDEX('Table 3 PV wS SO_2024'!$I$10:$I$33,MATCH($A19,'Table 3 PV wS SO_2024'!$B$10:$B$33,0),1)</f>
        <v>42.913918484694747</v>
      </c>
      <c r="F19" s="130">
        <f>INDEX('Table 3 PV wS UTN_2024'!$I$10:$I$33,MATCH($A19,'Table 3 PV wS UTN_2024'!$B$10:$B$33,0),1)</f>
        <v>41.983343193919815</v>
      </c>
      <c r="G19" s="130">
        <f>INDEX('Table 3 PV wS JB_2024'!$I$10:$I$33,MATCH($A19,'Table 3 PV wS JB_2024'!$B$10:$B$33,0),1)</f>
        <v>40.762147484033441</v>
      </c>
      <c r="H19" s="130">
        <f>INDEX('Table 3 PV wS JB_2029'!$I$10:$I$33,MATCH($A19,'Table 3 PV wS JB_2029'!$B$10:$B$33,0),1)</f>
        <v>37.42471821477875</v>
      </c>
      <c r="I19" s="130">
        <f>INDEX('Table 3 PV wS UTS_2024'!$I$10:$I$36,MATCH($A19,'Table 3 PV wS UTS_2024'!$B$10:$B$36,0),1)</f>
        <v>38.429926238145413</v>
      </c>
      <c r="J19" s="130">
        <f>INDEX('Table 3 PV wS UTS_2030'!$I$10:$I$36,MATCH($A19,'Table 3 PV wS UTS_2030'!$B$10:$B$36,0),1)</f>
        <v>49.448542325254657</v>
      </c>
      <c r="K19" s="130">
        <f>INDEX('Table 3 185 MW (NTN) 2026)'!$K$14:$K$41,MATCH($A19,'Table 3 185 MW (NTN) 2026)'!$B$14:$B$41,0),1)</f>
        <v>90.97</v>
      </c>
      <c r="L19" s="130">
        <f>INDEX('Table 3 YK Wind wS_2029'!$I$10:$I$33,MATCH($A19,'Table 3 YK Wind wS_2029'!$B$10:$B$33,0),1)</f>
        <v>60.566640905596074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29.550630515758311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50.320512820512818</v>
      </c>
      <c r="E20" s="130">
        <f>INDEX('Table 3 PV wS SO_2024'!$I$10:$I$33,MATCH($A20,'Table 3 PV wS SO_2024'!$B$10:$B$33,0),1)</f>
        <v>43.897882938978839</v>
      </c>
      <c r="F20" s="130">
        <f>INDEX('Table 3 PV wS UTN_2024'!$I$10:$I$33,MATCH($A20,'Table 3 PV wS UTN_2024'!$B$10:$B$33,0),1)</f>
        <v>42.946646642091054</v>
      </c>
      <c r="G20" s="130">
        <f>INDEX('Table 3 PV wS JB_2024'!$I$10:$I$33,MATCH($A20,'Table 3 PV wS JB_2024'!$B$10:$B$33,0),1)</f>
        <v>41.698903199381064</v>
      </c>
      <c r="H20" s="130">
        <f>INDEX('Table 3 PV wS JB_2029'!$I$10:$I$33,MATCH($A20,'Table 3 PV wS JB_2029'!$B$10:$B$33,0),1)</f>
        <v>38.28562326491604</v>
      </c>
      <c r="I20" s="130">
        <f>INDEX('Table 3 PV wS UTS_2024'!$I$10:$I$36,MATCH($A20,'Table 3 PV wS UTS_2024'!$B$10:$B$36,0),1)</f>
        <v>39.311556023884791</v>
      </c>
      <c r="J20" s="130">
        <f>INDEX('Table 3 PV wS UTS_2030'!$I$10:$I$36,MATCH($A20,'Table 3 PV wS UTS_2030'!$B$10:$B$36,0),1)</f>
        <v>50.58306989813839</v>
      </c>
      <c r="K20" s="130">
        <f>INDEX('Table 3 185 MW (NTN) 2026)'!$K$14:$K$41,MATCH($A20,'Table 3 185 MW (NTN) 2026)'!$B$14:$B$41,0),1)</f>
        <v>93.28</v>
      </c>
      <c r="L20" s="130">
        <f>INDEX('Table 3 YK Wind wS_2029'!$I$10:$I$33,MATCH($A20,'Table 3 YK Wind wS_2029'!$B$10:$B$33,0),1)</f>
        <v>61.960421905349669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55.831148630486084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51.475237091675446</v>
      </c>
      <c r="E21" s="130">
        <f>INDEX('Table 3 PV wS SO_2024'!$I$10:$I$33,MATCH($A21,'Table 3 PV wS SO_2024'!$B$10:$B$33,0),1)</f>
        <v>44.904909060160207</v>
      </c>
      <c r="F21" s="130">
        <f>INDEX('Table 3 PV wS UTN_2024'!$I$10:$I$33,MATCH($A21,'Table 3 PV wS UTN_2024'!$B$10:$B$33,0),1)</f>
        <v>43.9327052898254</v>
      </c>
      <c r="G21" s="130">
        <f>INDEX('Table 3 PV wS JB_2024'!$I$10:$I$33,MATCH($A21,'Table 3 PV wS JB_2024'!$B$10:$B$33,0),1)</f>
        <v>42.658414114291787</v>
      </c>
      <c r="H21" s="130">
        <f>INDEX('Table 3 PV wS JB_2029'!$I$10:$I$33,MATCH($A21,'Table 3 PV wS JB_2029'!$B$10:$B$33,0),1)</f>
        <v>39.165490981355909</v>
      </c>
      <c r="I21" s="130">
        <f>INDEX('Table 3 PV wS UTS_2024'!$I$10:$I$36,MATCH($A21,'Table 3 PV wS UTS_2024'!$B$10:$B$36,0),1)</f>
        <v>40.214260625219531</v>
      </c>
      <c r="J21" s="130">
        <f>INDEX('Table 3 PV wS UTS_2030'!$I$10:$I$36,MATCH($A21,'Table 3 PV wS UTS_2030'!$B$10:$B$36,0),1)</f>
        <v>51.745697225149279</v>
      </c>
      <c r="K21" s="130">
        <f>INDEX('Table 3 185 MW (NTN) 2026)'!$K$14:$K$41,MATCH($A21,'Table 3 185 MW (NTN) 2026)'!$B$14:$B$41,0),1)</f>
        <v>95.92</v>
      </c>
      <c r="L21" s="130">
        <f>INDEX('Table 3 YK Wind wS_2029'!$I$10:$I$33,MATCH($A21,'Table 3 YK Wind wS_2029'!$B$10:$B$33,0),1)</f>
        <v>63.375741631733753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57.090549201960535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52.660695468914646</v>
      </c>
      <c r="E22" s="130">
        <f>INDEX('Table 3 PV wS SO_2024'!$I$10:$I$33,MATCH($A22,'Table 3 PV wS SO_2024'!$B$10:$B$33,0),1)</f>
        <v>45.938840459388409</v>
      </c>
      <c r="F22" s="130">
        <f>INDEX('Table 3 PV wS UTN_2024'!$I$10:$I$33,MATCH($A22,'Table 3 PV wS UTN_2024'!$B$10:$B$33,0),1)</f>
        <v>44.941519137122832</v>
      </c>
      <c r="G22" s="130">
        <f>INDEX('Table 3 PV wS JB_2024'!$I$10:$I$33,MATCH($A22,'Table 3 PV wS JB_2024'!$B$10:$B$33,0),1)</f>
        <v>43.640680228765611</v>
      </c>
      <c r="H22" s="130">
        <f>INDEX('Table 3 PV wS JB_2029'!$I$10:$I$33,MATCH($A22,'Table 3 PV wS JB_2029'!$B$10:$B$33,0),1)</f>
        <v>40.068113897358884</v>
      </c>
      <c r="I22" s="130">
        <f>INDEX('Table 3 PV wS UTS_2024'!$I$10:$I$36,MATCH($A22,'Table 3 PV wS UTS_2024'!$B$10:$B$36,0),1)</f>
        <v>41.138040042149626</v>
      </c>
      <c r="J22" s="130">
        <f>INDEX('Table 3 PV wS UTS_2030'!$I$10:$I$36,MATCH($A22,'Table 3 PV wS UTS_2030'!$B$10:$B$36,0),1)</f>
        <v>52.936424306287314</v>
      </c>
      <c r="K22" s="130">
        <f>INDEX('Table 3 185 MW (NTN) 2026)'!$K$14:$K$41,MATCH($A22,'Table 3 185 MW (NTN) 2026)'!$B$14:$B$41,0),1)</f>
        <v>98.28</v>
      </c>
      <c r="L22" s="130">
        <f>INDEX('Table 3 YK Wind wS_2029'!$I$10:$I$33,MATCH($A22,'Table 3 YK Wind wS_2029'!$B$10:$B$33,0),1)</f>
        <v>64.502600084748309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58.381286829905179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53.872497365648051</v>
      </c>
      <c r="E23" s="130">
        <f>INDEX('Table 3 PV wS SO_2024'!$I$10:$I$33,MATCH($A23,'Table 3 PV wS SO_2024'!$B$10:$B$33,0),1)</f>
        <v>46.995833525513895</v>
      </c>
      <c r="F23" s="130">
        <f>INDEX('Table 3 PV wS UTN_2024'!$I$10:$I$33,MATCH($A23,'Table 3 PV wS UTN_2024'!$B$10:$B$33,0),1)</f>
        <v>45.976880717243887</v>
      </c>
      <c r="G23" s="130">
        <f>INDEX('Table 3 PV wS JB_2024'!$I$10:$I$33,MATCH($A23,'Table 3 PV wS JB_2024'!$B$10:$B$33,0),1)</f>
        <v>44.645701542802534</v>
      </c>
      <c r="H23" s="130">
        <f>INDEX('Table 3 PV wS JB_2029'!$I$10:$I$33,MATCH($A23,'Table 3 PV wS JB_2029'!$B$10:$B$33,0),1)</f>
        <v>40.989699479664445</v>
      </c>
      <c r="I23" s="130">
        <f>INDEX('Table 3 PV wS UTS_2024'!$I$10:$I$36,MATCH($A23,'Table 3 PV wS UTS_2024'!$B$10:$B$36,0),1)</f>
        <v>42.082894274675091</v>
      </c>
      <c r="J23" s="130">
        <f>INDEX('Table 3 PV wS UTS_2030'!$I$10:$I$36,MATCH($A23,'Table 3 PV wS UTS_2030'!$B$10:$B$36,0),1)</f>
        <v>54.155251141552505</v>
      </c>
      <c r="K23" s="130">
        <f>INDEX('Table 3 185 MW (NTN) 2026)'!$K$14:$K$41,MATCH($A23,'Table 3 185 MW (NTN) 2026)'!$B$14:$B$41,0),1)</f>
        <v>100.95</v>
      </c>
      <c r="L23" s="130">
        <f>INDEX('Table 3 YK Wind wS_2029'!$I$10:$I$33,MATCH($A23,'Table 3 YK Wind wS_2029'!$B$10:$B$33,0),1)</f>
        <v>65.650997264393339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59.695697708516612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55.110642781875654</v>
      </c>
      <c r="E24" s="130">
        <f>INDEX('Table 3 PV wS SO_2024'!$I$10:$I$33,MATCH($A24,'Table 3 PV wS SO_2024'!$B$10:$B$33,0),1)</f>
        <v>48.079731869686213</v>
      </c>
      <c r="F24" s="130">
        <f>INDEX('Table 3 PV wS UTN_2024'!$I$10:$I$33,MATCH($A24,'Table 3 PV wS UTN_2024'!$B$10:$B$33,0),1)</f>
        <v>47.03499749692805</v>
      </c>
      <c r="G24" s="130">
        <f>INDEX('Table 3 PV wS JB_2024'!$I$10:$I$33,MATCH($A24,'Table 3 PV wS JB_2024'!$B$10:$B$33,0),1)</f>
        <v>45.673478056402558</v>
      </c>
      <c r="H24" s="130">
        <f>INDEX('Table 3 PV wS JB_2029'!$I$10:$I$33,MATCH($A24,'Table 3 PV wS JB_2029'!$B$10:$B$33,0),1)</f>
        <v>41.934040261533092</v>
      </c>
      <c r="I24" s="130">
        <f>INDEX('Table 3 PV wS UTS_2024'!$I$10:$I$36,MATCH($A24,'Table 3 PV wS UTS_2024'!$B$10:$B$36,0),1)</f>
        <v>43.052335792061825</v>
      </c>
      <c r="J24" s="130">
        <f>INDEX('Table 3 PV wS UTS_2030'!$I$10:$I$36,MATCH($A24,'Table 3 PV wS UTS_2030'!$B$10:$B$36,0),1)</f>
        <v>55.402177730944864</v>
      </c>
      <c r="K24" s="130">
        <f>INDEX('Table 3 185 MW (NTN) 2026)'!$K$14:$K$41,MATCH($A24,'Table 3 185 MW (NTN) 2026)'!$B$14:$B$41,0),1)</f>
        <v>102.28</v>
      </c>
      <c r="L24" s="130">
        <f>INDEX('Table 3 YK Wind wS_2029'!$I$10:$I$33,MATCH($A24,'Table 3 YK Wind wS_2029'!$B$10:$B$33,0),1)</f>
        <v>66.852330731354698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61.044063883303309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56.379522304179837</v>
      </c>
      <c r="E25" s="130">
        <f>INDEX('Table 3 PV wS SO_2024'!$I$10:$I$33,MATCH($A25,'Table 3 PV wS SO_2024'!$B$10:$B$33,0),1)</f>
        <v>49.186691880755809</v>
      </c>
      <c r="F25" s="130">
        <f>INDEX('Table 3 PV wS UTN_2024'!$I$10:$I$33,MATCH($A25,'Table 3 PV wS UTN_2024'!$B$10:$B$33,0),1)</f>
        <v>48.119662009435828</v>
      </c>
      <c r="G25" s="130">
        <f>INDEX('Table 3 PV wS JB_2024'!$I$10:$I$33,MATCH($A25,'Table 3 PV wS JB_2024'!$B$10:$B$33,0),1)</f>
        <v>46.724009769565683</v>
      </c>
      <c r="H25" s="130">
        <f>INDEX('Table 3 PV wS JB_2029'!$I$10:$I$33,MATCH($A25,'Table 3 PV wS JB_2029'!$B$10:$B$33,0),1)</f>
        <v>42.901136242964853</v>
      </c>
      <c r="I25" s="130">
        <f>INDEX('Table 3 PV wS UTS_2024'!$I$10:$I$36,MATCH($A25,'Table 3 PV wS UTS_2024'!$B$10:$B$36,0),1)</f>
        <v>44.0463645943098</v>
      </c>
      <c r="J25" s="130">
        <f>INDEX('Table 3 PV wS UTS_2030'!$I$10:$I$36,MATCH($A25,'Table 3 PV wS UTS_2030'!$B$10:$B$36,0),1)</f>
        <v>56.677204074464356</v>
      </c>
      <c r="K25" s="130">
        <f>INDEX('Table 3 185 MW (NTN) 2026)'!$K$14:$K$41,MATCH($A25,'Table 3 185 MW (NTN) 2026)'!$B$14:$B$41,0),1)</f>
        <v>107.27</v>
      </c>
      <c r="L25" s="130">
        <f>INDEX('Table 3 YK Wind wS_2029'!$I$10:$I$33,MATCH($A25,'Table 3 YK Wind wS_2029'!$B$10:$B$33,0),1)</f>
        <v>68.075202924946524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40">
        <f>B25*(1+$N$14)</f>
        <v>62.432816336648465</v>
      </c>
      <c r="C26" s="340">
        <f t="shared" ref="C26:C40" si="1">C25*(1+$N$14)</f>
        <v>51.427856931660891</v>
      </c>
      <c r="D26" s="340">
        <f t="shared" ref="D26:D40" si="2">D25*(1+$N$14)</f>
        <v>57.662156436599929</v>
      </c>
      <c r="E26" s="340">
        <f t="shared" ref="E26:E40" si="3">E25*(1+$N$14)</f>
        <v>50.305689121043009</v>
      </c>
      <c r="F26" s="340">
        <f t="shared" ref="F26:F40" si="4">F25*(1+$N$14)</f>
        <v>49.214384320150494</v>
      </c>
      <c r="G26" s="340">
        <f t="shared" ref="G26:G40" si="5">G25*(1+$N$14)</f>
        <v>47.786980991823306</v>
      </c>
      <c r="H26" s="340">
        <f t="shared" ref="H26:H40" si="6">H25*(1+$N$14)</f>
        <v>43.877137092492305</v>
      </c>
      <c r="I26" s="340">
        <f t="shared" ref="I26:I40" si="7">I25*(1+$N$14)</f>
        <v>45.048419388830354</v>
      </c>
      <c r="J26" s="340">
        <f t="shared" ref="J26:J40" si="8">J25*(1+$N$14)</f>
        <v>57.966610467158425</v>
      </c>
      <c r="K26" s="340">
        <f t="shared" ref="K26:K40" si="9">K25*(1+$N$14)</f>
        <v>109.7103925</v>
      </c>
      <c r="L26" s="340">
        <f t="shared" ref="L26:L40" si="10">L25*(1+$N$14)</f>
        <v>69.623913791489059</v>
      </c>
      <c r="M26" s="340">
        <f t="shared" ref="M26:M46" si="11">M25*(1+$N$14)</f>
        <v>55.798613104682943</v>
      </c>
    </row>
    <row r="27" spans="1:13">
      <c r="A27" s="135">
        <f t="shared" si="0"/>
        <v>2040</v>
      </c>
      <c r="B27" s="340">
        <f t="shared" ref="B27:B40" si="12">B26*(1+$N$14)</f>
        <v>63.853162908307219</v>
      </c>
      <c r="C27" s="340">
        <f t="shared" si="1"/>
        <v>52.59784067685618</v>
      </c>
      <c r="D27" s="340">
        <f t="shared" si="2"/>
        <v>58.973970495532583</v>
      </c>
      <c r="E27" s="340">
        <f t="shared" si="3"/>
        <v>51.450143548546741</v>
      </c>
      <c r="F27" s="340">
        <f t="shared" si="4"/>
        <v>50.334011563433918</v>
      </c>
      <c r="G27" s="340">
        <f t="shared" si="5"/>
        <v>48.874134809387286</v>
      </c>
      <c r="H27" s="340">
        <f t="shared" si="6"/>
        <v>44.875341961346507</v>
      </c>
      <c r="I27" s="340">
        <f t="shared" si="7"/>
        <v>46.073270929926245</v>
      </c>
      <c r="J27" s="340">
        <f t="shared" si="8"/>
        <v>59.285350855286282</v>
      </c>
      <c r="K27" s="340">
        <f t="shared" si="9"/>
        <v>112.206303929375</v>
      </c>
      <c r="L27" s="340">
        <f t="shared" si="10"/>
        <v>71.207857830245445</v>
      </c>
      <c r="M27" s="340">
        <f t="shared" si="11"/>
        <v>57.068031552814482</v>
      </c>
    </row>
    <row r="28" spans="1:13">
      <c r="A28" s="135">
        <f t="shared" si="0"/>
        <v>2041</v>
      </c>
      <c r="B28" s="340">
        <f t="shared" si="12"/>
        <v>65.305822364471211</v>
      </c>
      <c r="C28" s="340">
        <f t="shared" si="1"/>
        <v>53.794441552254661</v>
      </c>
      <c r="D28" s="340">
        <f t="shared" si="2"/>
        <v>60.315628324305955</v>
      </c>
      <c r="E28" s="340">
        <f t="shared" si="3"/>
        <v>52.620634314276181</v>
      </c>
      <c r="F28" s="340">
        <f t="shared" si="4"/>
        <v>51.479110326502045</v>
      </c>
      <c r="G28" s="340">
        <f t="shared" si="5"/>
        <v>49.986021376300847</v>
      </c>
      <c r="H28" s="340">
        <f t="shared" si="6"/>
        <v>45.896255990967141</v>
      </c>
      <c r="I28" s="340">
        <f t="shared" si="7"/>
        <v>47.121437843582072</v>
      </c>
      <c r="J28" s="340">
        <f t="shared" si="8"/>
        <v>60.634092587244048</v>
      </c>
      <c r="K28" s="340">
        <f t="shared" si="9"/>
        <v>114.75899734376829</v>
      </c>
      <c r="L28" s="340">
        <f t="shared" si="10"/>
        <v>72.827836595883525</v>
      </c>
      <c r="M28" s="340">
        <f t="shared" si="11"/>
        <v>58.36632927064101</v>
      </c>
    </row>
    <row r="29" spans="1:13">
      <c r="A29" s="135">
        <f t="shared" si="0"/>
        <v>2042</v>
      </c>
      <c r="B29" s="340">
        <f t="shared" si="12"/>
        <v>66.791529823262934</v>
      </c>
      <c r="C29" s="340">
        <f t="shared" si="1"/>
        <v>55.01826509756846</v>
      </c>
      <c r="D29" s="340">
        <f t="shared" si="2"/>
        <v>61.687808868683916</v>
      </c>
      <c r="E29" s="340">
        <f t="shared" si="3"/>
        <v>53.817753744925966</v>
      </c>
      <c r="F29" s="340">
        <f t="shared" si="4"/>
        <v>52.650260086429967</v>
      </c>
      <c r="G29" s="340">
        <f t="shared" si="5"/>
        <v>51.123203362611697</v>
      </c>
      <c r="H29" s="340">
        <f t="shared" si="6"/>
        <v>46.940395814761644</v>
      </c>
      <c r="I29" s="340">
        <f t="shared" si="7"/>
        <v>48.193450554523565</v>
      </c>
      <c r="J29" s="340">
        <f t="shared" si="8"/>
        <v>62.013518193603851</v>
      </c>
      <c r="K29" s="340">
        <f t="shared" si="9"/>
        <v>117.36976453333902</v>
      </c>
      <c r="L29" s="340">
        <f t="shared" si="10"/>
        <v>74.484669878439874</v>
      </c>
      <c r="M29" s="340">
        <f t="shared" si="11"/>
        <v>59.694163261548098</v>
      </c>
    </row>
    <row r="30" spans="1:13">
      <c r="A30" s="135">
        <f t="shared" si="0"/>
        <v>2043</v>
      </c>
      <c r="B30" s="340">
        <f t="shared" si="12"/>
        <v>68.311037126742164</v>
      </c>
      <c r="C30" s="340">
        <f t="shared" si="1"/>
        <v>56.269930628538141</v>
      </c>
      <c r="D30" s="340">
        <f t="shared" si="2"/>
        <v>63.091206520446477</v>
      </c>
      <c r="E30" s="340">
        <f t="shared" si="3"/>
        <v>55.042107642623037</v>
      </c>
      <c r="F30" s="340">
        <f t="shared" si="4"/>
        <v>53.848053503396251</v>
      </c>
      <c r="G30" s="340">
        <f t="shared" si="5"/>
        <v>52.286256239111118</v>
      </c>
      <c r="H30" s="340">
        <f t="shared" si="6"/>
        <v>48.008289819547471</v>
      </c>
      <c r="I30" s="340">
        <f t="shared" si="7"/>
        <v>49.289851554638979</v>
      </c>
      <c r="J30" s="340">
        <f t="shared" si="8"/>
        <v>63.424325732508343</v>
      </c>
      <c r="K30" s="340">
        <f t="shared" si="9"/>
        <v>120.03992667647249</v>
      </c>
      <c r="L30" s="340">
        <f t="shared" si="10"/>
        <v>76.179196118174389</v>
      </c>
      <c r="M30" s="340">
        <f t="shared" si="11"/>
        <v>61.052205475748323</v>
      </c>
    </row>
    <row r="31" spans="1:13">
      <c r="A31" s="135">
        <f t="shared" si="0"/>
        <v>2044</v>
      </c>
      <c r="B31" s="340">
        <f t="shared" si="12"/>
        <v>69.865113221375552</v>
      </c>
      <c r="C31" s="340">
        <f t="shared" si="1"/>
        <v>57.550071550337385</v>
      </c>
      <c r="D31" s="340">
        <f t="shared" si="2"/>
        <v>64.526531468786644</v>
      </c>
      <c r="E31" s="340">
        <f t="shared" si="3"/>
        <v>56.294315591492712</v>
      </c>
      <c r="F31" s="340">
        <f t="shared" si="4"/>
        <v>55.073096720598521</v>
      </c>
      <c r="G31" s="340">
        <f t="shared" si="5"/>
        <v>53.475768568550897</v>
      </c>
      <c r="H31" s="340">
        <f t="shared" si="6"/>
        <v>49.100478412942181</v>
      </c>
      <c r="I31" s="340">
        <f t="shared" si="7"/>
        <v>50.411195677507017</v>
      </c>
      <c r="J31" s="340">
        <f t="shared" si="8"/>
        <v>64.867229142922909</v>
      </c>
      <c r="K31" s="340">
        <f t="shared" si="9"/>
        <v>122.77083500836224</v>
      </c>
      <c r="L31" s="340">
        <f t="shared" si="10"/>
        <v>77.912272829862857</v>
      </c>
      <c r="M31" s="340">
        <f t="shared" si="11"/>
        <v>62.441143150321601</v>
      </c>
    </row>
    <row r="32" spans="1:13">
      <c r="A32" s="135">
        <f t="shared" si="0"/>
        <v>2045</v>
      </c>
      <c r="B32" s="340">
        <f t="shared" si="12"/>
        <v>71.454544547161845</v>
      </c>
      <c r="C32" s="340">
        <f t="shared" si="1"/>
        <v>58.859335678107563</v>
      </c>
      <c r="D32" s="340">
        <f t="shared" si="2"/>
        <v>65.99451005970154</v>
      </c>
      <c r="E32" s="340">
        <f t="shared" si="3"/>
        <v>57.575011271199173</v>
      </c>
      <c r="F32" s="340">
        <f t="shared" si="4"/>
        <v>56.326009670992143</v>
      </c>
      <c r="G32" s="340">
        <f t="shared" si="5"/>
        <v>54.692342303485432</v>
      </c>
      <c r="H32" s="340">
        <f t="shared" si="6"/>
        <v>50.217514296836619</v>
      </c>
      <c r="I32" s="340">
        <f t="shared" si="7"/>
        <v>51.558050379170304</v>
      </c>
      <c r="J32" s="340">
        <f t="shared" si="8"/>
        <v>66.342958605924409</v>
      </c>
      <c r="K32" s="340">
        <f t="shared" si="9"/>
        <v>125.56387150480249</v>
      </c>
      <c r="L32" s="340">
        <f t="shared" si="10"/>
        <v>79.684777036742247</v>
      </c>
      <c r="M32" s="340">
        <f t="shared" si="11"/>
        <v>63.861679156991421</v>
      </c>
    </row>
    <row r="33" spans="1:13">
      <c r="A33" s="135">
        <f t="shared" si="0"/>
        <v>2046</v>
      </c>
      <c r="B33" s="340">
        <f t="shared" si="12"/>
        <v>73.080135435609776</v>
      </c>
      <c r="C33" s="340">
        <f t="shared" si="1"/>
        <v>60.198385564784516</v>
      </c>
      <c r="D33" s="340">
        <f t="shared" si="2"/>
        <v>67.495885163559748</v>
      </c>
      <c r="E33" s="340">
        <f t="shared" si="3"/>
        <v>58.884842777618957</v>
      </c>
      <c r="F33" s="340">
        <f t="shared" si="4"/>
        <v>57.607426391007216</v>
      </c>
      <c r="G33" s="340">
        <f t="shared" si="5"/>
        <v>55.93659309088973</v>
      </c>
      <c r="H33" s="340">
        <f t="shared" si="6"/>
        <v>51.359962747089654</v>
      </c>
      <c r="I33" s="340">
        <f t="shared" si="7"/>
        <v>52.730996025296427</v>
      </c>
      <c r="J33" s="340">
        <f t="shared" si="8"/>
        <v>67.852260914209197</v>
      </c>
      <c r="K33" s="340">
        <f t="shared" si="9"/>
        <v>128.42044958153676</v>
      </c>
      <c r="L33" s="340">
        <f t="shared" si="10"/>
        <v>81.497605714328131</v>
      </c>
      <c r="M33" s="340">
        <f t="shared" si="11"/>
        <v>65.314532357812979</v>
      </c>
    </row>
    <row r="34" spans="1:13">
      <c r="A34" s="135">
        <f t="shared" si="0"/>
        <v>2047</v>
      </c>
      <c r="B34" s="340">
        <f t="shared" si="12"/>
        <v>74.742708516769909</v>
      </c>
      <c r="C34" s="340">
        <f t="shared" si="1"/>
        <v>61.567898836383364</v>
      </c>
      <c r="D34" s="340">
        <f t="shared" si="2"/>
        <v>69.03141655103073</v>
      </c>
      <c r="E34" s="340">
        <f t="shared" si="3"/>
        <v>60.22447295080979</v>
      </c>
      <c r="F34" s="340">
        <f t="shared" si="4"/>
        <v>58.91799534140263</v>
      </c>
      <c r="G34" s="340">
        <f t="shared" si="5"/>
        <v>57.209150583707476</v>
      </c>
      <c r="H34" s="340">
        <f t="shared" si="6"/>
        <v>52.528401899585944</v>
      </c>
      <c r="I34" s="340">
        <f t="shared" si="7"/>
        <v>53.930626184871926</v>
      </c>
      <c r="J34" s="340">
        <f t="shared" si="8"/>
        <v>69.395899850007453</v>
      </c>
      <c r="K34" s="340">
        <f t="shared" si="9"/>
        <v>131.34201480951671</v>
      </c>
      <c r="L34" s="340">
        <f t="shared" si="10"/>
        <v>83.351676244329099</v>
      </c>
      <c r="M34" s="340">
        <f t="shared" si="11"/>
        <v>66.800437968953233</v>
      </c>
    </row>
    <row r="35" spans="1:13">
      <c r="A35" s="135">
        <f t="shared" si="0"/>
        <v>2048</v>
      </c>
      <c r="B35" s="340">
        <f t="shared" si="12"/>
        <v>76.443105135526423</v>
      </c>
      <c r="C35" s="340">
        <f t="shared" si="1"/>
        <v>62.968568534911086</v>
      </c>
      <c r="D35" s="340">
        <f t="shared" si="2"/>
        <v>70.601881277566676</v>
      </c>
      <c r="E35" s="340">
        <f t="shared" si="3"/>
        <v>61.594579710440719</v>
      </c>
      <c r="F35" s="340">
        <f t="shared" si="4"/>
        <v>60.258379735419545</v>
      </c>
      <c r="G35" s="340">
        <f t="shared" si="5"/>
        <v>58.510658759486823</v>
      </c>
      <c r="H35" s="340">
        <f t="shared" si="6"/>
        <v>53.723423042801528</v>
      </c>
      <c r="I35" s="340">
        <f t="shared" si="7"/>
        <v>55.157547930577763</v>
      </c>
      <c r="J35" s="340">
        <f t="shared" si="8"/>
        <v>70.974656571595119</v>
      </c>
      <c r="K35" s="340">
        <f t="shared" si="9"/>
        <v>134.33004564643323</v>
      </c>
      <c r="L35" s="340">
        <f t="shared" si="10"/>
        <v>85.247926878887583</v>
      </c>
      <c r="M35" s="340">
        <f t="shared" si="11"/>
        <v>68.32014793274692</v>
      </c>
    </row>
    <row r="36" spans="1:13">
      <c r="A36" s="135">
        <f t="shared" si="0"/>
        <v>2049</v>
      </c>
      <c r="B36" s="340">
        <f t="shared" si="12"/>
        <v>78.182185777359649</v>
      </c>
      <c r="C36" s="340">
        <f t="shared" si="1"/>
        <v>64.401103469080311</v>
      </c>
      <c r="D36" s="340">
        <f t="shared" si="2"/>
        <v>72.20807407663132</v>
      </c>
      <c r="E36" s="340">
        <f t="shared" si="3"/>
        <v>62.995856398853249</v>
      </c>
      <c r="F36" s="340">
        <f t="shared" si="4"/>
        <v>61.629257874400345</v>
      </c>
      <c r="G36" s="340">
        <f t="shared" si="5"/>
        <v>59.841776246265148</v>
      </c>
      <c r="H36" s="340">
        <f t="shared" si="6"/>
        <v>54.945630917025262</v>
      </c>
      <c r="I36" s="340">
        <f t="shared" si="7"/>
        <v>56.412382145998407</v>
      </c>
      <c r="J36" s="340">
        <f t="shared" si="8"/>
        <v>72.589330008598907</v>
      </c>
      <c r="K36" s="340">
        <f t="shared" si="9"/>
        <v>137.38605418488959</v>
      </c>
      <c r="L36" s="340">
        <f t="shared" si="10"/>
        <v>87.187317215382279</v>
      </c>
      <c r="M36" s="340">
        <f t="shared" si="11"/>
        <v>69.874431298216919</v>
      </c>
    </row>
    <row r="37" spans="1:13">
      <c r="A37" s="135">
        <f t="shared" si="0"/>
        <v>2050</v>
      </c>
      <c r="B37" s="340">
        <f t="shared" si="12"/>
        <v>79.960830503794583</v>
      </c>
      <c r="C37" s="340">
        <f t="shared" si="1"/>
        <v>65.866228573001891</v>
      </c>
      <c r="D37" s="340">
        <f t="shared" si="2"/>
        <v>73.850807761874691</v>
      </c>
      <c r="E37" s="340">
        <f t="shared" si="3"/>
        <v>64.429012131927166</v>
      </c>
      <c r="F37" s="340">
        <f t="shared" si="4"/>
        <v>63.031323491042954</v>
      </c>
      <c r="G37" s="340">
        <f t="shared" si="5"/>
        <v>61.203176655867686</v>
      </c>
      <c r="H37" s="340">
        <f t="shared" si="6"/>
        <v>56.19564402038759</v>
      </c>
      <c r="I37" s="340">
        <f t="shared" si="7"/>
        <v>57.695763839819875</v>
      </c>
      <c r="J37" s="340">
        <f t="shared" si="8"/>
        <v>74.240737266294531</v>
      </c>
      <c r="K37" s="340">
        <f t="shared" si="9"/>
        <v>140.51158691759582</v>
      </c>
      <c r="L37" s="340">
        <f t="shared" si="10"/>
        <v>89.170828682032237</v>
      </c>
      <c r="M37" s="340">
        <f t="shared" si="11"/>
        <v>71.464074610251359</v>
      </c>
    </row>
    <row r="38" spans="1:13">
      <c r="A38" s="135">
        <f t="shared" si="0"/>
        <v>2051</v>
      </c>
      <c r="B38" s="340">
        <f t="shared" si="12"/>
        <v>81.779939397755911</v>
      </c>
      <c r="C38" s="340">
        <f t="shared" si="1"/>
        <v>67.364685273037693</v>
      </c>
      <c r="D38" s="340">
        <f t="shared" si="2"/>
        <v>75.530913638457349</v>
      </c>
      <c r="E38" s="340">
        <f t="shared" si="3"/>
        <v>65.894772157928514</v>
      </c>
      <c r="F38" s="340">
        <f t="shared" si="4"/>
        <v>64.465286100464184</v>
      </c>
      <c r="G38" s="340">
        <f t="shared" si="5"/>
        <v>62.59554892478868</v>
      </c>
      <c r="H38" s="340">
        <f t="shared" si="6"/>
        <v>57.47409492185141</v>
      </c>
      <c r="I38" s="340">
        <f t="shared" si="7"/>
        <v>59.00834246717578</v>
      </c>
      <c r="J38" s="340">
        <f t="shared" si="8"/>
        <v>75.929714039102734</v>
      </c>
      <c r="K38" s="340">
        <f t="shared" si="9"/>
        <v>143.70822551997114</v>
      </c>
      <c r="L38" s="340">
        <f t="shared" si="10"/>
        <v>91.199465034548481</v>
      </c>
      <c r="M38" s="340">
        <f t="shared" si="11"/>
        <v>73.089882307634582</v>
      </c>
    </row>
    <row r="39" spans="1:13">
      <c r="A39" s="135">
        <f t="shared" si="0"/>
        <v>2052</v>
      </c>
      <c r="B39" s="340">
        <f t="shared" si="12"/>
        <v>83.640433019054868</v>
      </c>
      <c r="C39" s="340">
        <f t="shared" si="1"/>
        <v>68.897231862999305</v>
      </c>
      <c r="D39" s="340">
        <f t="shared" si="2"/>
        <v>77.249241923732257</v>
      </c>
      <c r="E39" s="340">
        <f t="shared" si="3"/>
        <v>67.393878224521387</v>
      </c>
      <c r="F39" s="340">
        <f t="shared" si="4"/>
        <v>65.93187135924974</v>
      </c>
      <c r="G39" s="340">
        <f t="shared" si="5"/>
        <v>64.019597662827621</v>
      </c>
      <c r="H39" s="340">
        <f t="shared" si="6"/>
        <v>58.781630581323533</v>
      </c>
      <c r="I39" s="340">
        <f t="shared" si="7"/>
        <v>60.350782258304029</v>
      </c>
      <c r="J39" s="340">
        <f t="shared" si="8"/>
        <v>77.657115033492332</v>
      </c>
      <c r="K39" s="340">
        <f t="shared" si="9"/>
        <v>146.97758765055048</v>
      </c>
      <c r="L39" s="340">
        <f t="shared" si="10"/>
        <v>93.27425286408446</v>
      </c>
      <c r="M39" s="340">
        <f t="shared" si="11"/>
        <v>74.752677130133279</v>
      </c>
    </row>
    <row r="40" spans="1:13">
      <c r="A40" s="135">
        <f t="shared" si="0"/>
        <v>2053</v>
      </c>
      <c r="B40" s="340">
        <f t="shared" si="12"/>
        <v>85.543252870238376</v>
      </c>
      <c r="C40" s="340">
        <f t="shared" si="1"/>
        <v>70.464643887882545</v>
      </c>
      <c r="D40" s="340">
        <f t="shared" si="2"/>
        <v>79.006662177497162</v>
      </c>
      <c r="E40" s="340">
        <f t="shared" si="3"/>
        <v>68.927088954129246</v>
      </c>
      <c r="F40" s="340">
        <f t="shared" si="4"/>
        <v>67.431821432672677</v>
      </c>
      <c r="G40" s="340">
        <f t="shared" si="5"/>
        <v>65.476043509656947</v>
      </c>
      <c r="H40" s="340">
        <f t="shared" si="6"/>
        <v>60.118912677048648</v>
      </c>
      <c r="I40" s="340">
        <f t="shared" si="7"/>
        <v>61.723762554680448</v>
      </c>
      <c r="J40" s="340">
        <f t="shared" si="8"/>
        <v>79.423814400504284</v>
      </c>
      <c r="K40" s="340">
        <f t="shared" si="9"/>
        <v>150.32132776960052</v>
      </c>
      <c r="L40" s="340">
        <f t="shared" si="10"/>
        <v>95.396242116742386</v>
      </c>
      <c r="M40" s="340">
        <f t="shared" si="11"/>
        <v>76.453300534843819</v>
      </c>
    </row>
    <row r="41" spans="1:13">
      <c r="A41" s="135">
        <f t="shared" si="0"/>
        <v>2054</v>
      </c>
      <c r="B41" s="340"/>
      <c r="C41" s="340">
        <f t="shared" ref="C41:C46" si="13">C40*(1+$N$14)</f>
        <v>72.067714536331877</v>
      </c>
      <c r="D41" s="340"/>
      <c r="E41" s="340"/>
      <c r="F41" s="340"/>
      <c r="G41" s="340"/>
      <c r="H41" s="340">
        <f t="shared" ref="H41:H45" si="14">H40*(1+$N$14)</f>
        <v>61.486617940451509</v>
      </c>
      <c r="I41" s="340"/>
      <c r="J41" s="340">
        <f t="shared" ref="J41:J46" si="15">J40*(1+$N$14)</f>
        <v>81.230706178115767</v>
      </c>
      <c r="K41" s="340">
        <f>K40*(1+$N$14)</f>
        <v>153.74113797635894</v>
      </c>
      <c r="L41" s="340">
        <f>L40*(1+$N$14)</f>
        <v>97.566506624898281</v>
      </c>
      <c r="M41" s="340">
        <f t="shared" si="11"/>
        <v>78.192613122011522</v>
      </c>
    </row>
    <row r="42" spans="1:13">
      <c r="A42" s="135">
        <f t="shared" si="0"/>
        <v>2055</v>
      </c>
      <c r="B42" s="340"/>
      <c r="C42" s="340">
        <f t="shared" si="13"/>
        <v>73.707255042033424</v>
      </c>
      <c r="D42" s="340"/>
      <c r="E42" s="340"/>
      <c r="F42" s="340"/>
      <c r="G42" s="340"/>
      <c r="H42" s="340">
        <f t="shared" si="14"/>
        <v>62.885438498596784</v>
      </c>
      <c r="I42" s="340"/>
      <c r="J42" s="340">
        <f t="shared" si="15"/>
        <v>83.078704743667899</v>
      </c>
      <c r="K42" s="340">
        <f>K41*(1+$N$14)</f>
        <v>157.23874886532113</v>
      </c>
      <c r="L42" s="340">
        <f>L41*(1+$N$14)</f>
        <v>99.786144650614716</v>
      </c>
      <c r="M42" s="340">
        <f t="shared" si="11"/>
        <v>79.971495070537287</v>
      </c>
    </row>
    <row r="43" spans="1:13">
      <c r="A43" s="135">
        <f t="shared" si="0"/>
        <v>2056</v>
      </c>
      <c r="B43" s="340"/>
      <c r="C43" s="340">
        <f t="shared" si="13"/>
        <v>75.384095094239683</v>
      </c>
      <c r="D43" s="340"/>
      <c r="E43" s="340"/>
      <c r="F43" s="340"/>
      <c r="G43" s="340"/>
      <c r="H43" s="340">
        <f t="shared" si="14"/>
        <v>64.316082224439867</v>
      </c>
      <c r="I43" s="340"/>
      <c r="J43" s="340">
        <f t="shared" si="15"/>
        <v>84.968745276586347</v>
      </c>
      <c r="K43" s="345"/>
      <c r="L43" s="340">
        <f>L42*(1+$N$14)</f>
        <v>102.05627944141621</v>
      </c>
      <c r="M43" s="340">
        <f t="shared" si="11"/>
        <v>81.79084658339201</v>
      </c>
    </row>
    <row r="44" spans="1:13">
      <c r="A44" s="135">
        <f t="shared" si="0"/>
        <v>2057</v>
      </c>
      <c r="B44" s="340"/>
      <c r="C44" s="340">
        <f t="shared" si="13"/>
        <v>77.099083257633637</v>
      </c>
      <c r="D44" s="340"/>
      <c r="E44" s="340"/>
      <c r="F44" s="340"/>
      <c r="G44" s="340"/>
      <c r="H44" s="340">
        <f t="shared" si="14"/>
        <v>65.77927309504588</v>
      </c>
      <c r="I44" s="340"/>
      <c r="J44" s="340">
        <f t="shared" si="15"/>
        <v>86.901784231628696</v>
      </c>
      <c r="K44" s="345"/>
      <c r="L44" s="340">
        <f>L43*(1+$N$14)</f>
        <v>104.37805979870843</v>
      </c>
      <c r="M44" s="340">
        <f t="shared" si="11"/>
        <v>83.651588343164178</v>
      </c>
    </row>
    <row r="45" spans="1:13">
      <c r="A45" s="135">
        <f t="shared" si="0"/>
        <v>2058</v>
      </c>
      <c r="B45" s="340"/>
      <c r="C45" s="340">
        <f t="shared" si="13"/>
        <v>78.853087401744801</v>
      </c>
      <c r="D45" s="340"/>
      <c r="E45" s="340"/>
      <c r="F45" s="340"/>
      <c r="G45" s="340"/>
      <c r="H45" s="340">
        <f t="shared" si="14"/>
        <v>67.275751557958174</v>
      </c>
      <c r="I45" s="340"/>
      <c r="J45" s="340">
        <f t="shared" si="15"/>
        <v>88.878799822898259</v>
      </c>
      <c r="K45" s="345"/>
      <c r="L45" s="340">
        <f>L44*(1+$N$14)</f>
        <v>106.75266065912906</v>
      </c>
      <c r="M45" s="340">
        <f t="shared" si="11"/>
        <v>85.554661977971165</v>
      </c>
    </row>
    <row r="46" spans="1:13">
      <c r="A46" s="135">
        <f t="shared" si="0"/>
        <v>2059</v>
      </c>
      <c r="B46" s="340"/>
      <c r="C46" s="340">
        <f t="shared" si="13"/>
        <v>80.646995140134493</v>
      </c>
      <c r="D46" s="340"/>
      <c r="E46" s="340"/>
      <c r="F46" s="340"/>
      <c r="G46" s="340"/>
      <c r="H46" s="340"/>
      <c r="I46" s="340"/>
      <c r="J46" s="340">
        <f t="shared" si="15"/>
        <v>90.900792518869196</v>
      </c>
      <c r="K46" s="345"/>
      <c r="L46" s="345"/>
      <c r="M46" s="340">
        <f t="shared" si="11"/>
        <v>87.50103053797001</v>
      </c>
    </row>
    <row r="47" spans="1:13">
      <c r="A47" s="135">
        <f t="shared" ref="A47:A48" si="16">A46+1</f>
        <v>2060</v>
      </c>
      <c r="B47" s="340"/>
      <c r="C47" s="340">
        <f t="shared" ref="C47:C48" si="17">C46*(1+$N$14)</f>
        <v>82.481714279572557</v>
      </c>
      <c r="D47" s="340"/>
      <c r="E47" s="340"/>
      <c r="F47" s="340"/>
      <c r="G47" s="340"/>
      <c r="H47" s="340"/>
      <c r="I47" s="340"/>
      <c r="J47" s="340"/>
      <c r="K47" s="345"/>
      <c r="L47" s="345"/>
      <c r="M47" s="340">
        <f t="shared" ref="M47:M48" si="18">M46*(1+$N$14)</f>
        <v>89.491678982708834</v>
      </c>
    </row>
    <row r="48" spans="1:13">
      <c r="A48" s="135">
        <f t="shared" si="16"/>
        <v>2061</v>
      </c>
      <c r="B48" s="340"/>
      <c r="C48" s="340">
        <f t="shared" si="17"/>
        <v>84.358173279432833</v>
      </c>
      <c r="D48" s="340"/>
      <c r="E48" s="340"/>
      <c r="F48" s="340"/>
      <c r="G48" s="340"/>
      <c r="H48" s="340"/>
      <c r="I48" s="340"/>
      <c r="J48" s="340"/>
      <c r="K48" s="345"/>
      <c r="L48" s="345"/>
      <c r="M48" s="340">
        <f t="shared" si="18"/>
        <v>91.52761467956546</v>
      </c>
    </row>
    <row r="49" spans="1:13" ht="12" customHeight="1">
      <c r="A49" s="135"/>
    </row>
    <row r="50" spans="1:13" ht="12" customHeight="1">
      <c r="A50" s="341" t="s">
        <v>161</v>
      </c>
      <c r="B50" s="342">
        <f>PMT(Discount_Rate,30,-NPV(Discount_Rate,Table3ACsummary!B$11:B$40))</f>
        <v>43.686507074466398</v>
      </c>
      <c r="C50" s="342">
        <f>PMT(Discount_Rate,30,-NPV(Discount_Rate,Table3ACsummary!C$17:C$46))</f>
        <v>53.194647722737948</v>
      </c>
      <c r="D50" s="342">
        <f>PMT(Discount_Rate,30,-NPV(Discount_Rate,Table3ACsummary!D$11:D$40))</f>
        <v>52.080794283597058</v>
      </c>
      <c r="E50" s="342">
        <f>PMT(Discount_Rate,30,-NPV(Discount_Rate,Table3ACsummary!E$11:E$40))</f>
        <v>45.435184862133219</v>
      </c>
      <c r="F50" s="342">
        <f>PMT(Discount_Rate,30,-NPV(Discount_Rate,Table3ACsummary!F$11:F$40))</f>
        <v>44.449154776690477</v>
      </c>
      <c r="G50" s="342">
        <f>PMT(Discount_Rate,30,-NPV(Discount_Rate,Table3ACsummary!G$11:G$40))</f>
        <v>43.158745609169486</v>
      </c>
      <c r="H50" s="342">
        <f>PMT(Discount_Rate,30,-NPV(Discount_Rate,Table3ACsummary!H$16:H$45))</f>
        <v>44.363694686998954</v>
      </c>
      <c r="I50" s="342">
        <f>PMT(Discount_Rate,30,-NPV(Discount_Rate,Table3ACsummary!I$11:I$40))</f>
        <v>40.685959280557093</v>
      </c>
      <c r="J50" s="342">
        <f>PMT(Discount_Rate,30,-NPV(Discount_Rate,Table3ACsummary!J$11:J$40))</f>
        <v>53.387306555268196</v>
      </c>
      <c r="K50" s="342">
        <f>PMT(Discount_Rate,30,-NPV(Discount_Rate,Table3ACsummary!K$13:K$42))</f>
        <v>101.11497747082706</v>
      </c>
      <c r="L50" s="342">
        <f>PMT(Discount_Rate,30,-NPV(Discount_Rate,Table3ACsummary!L$16:L$45))</f>
        <v>70.927885315306554</v>
      </c>
      <c r="M50" s="342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29"/>
  <sheetViews>
    <sheetView view="pageBreakPreview" topLeftCell="A2" zoomScale="60" zoomScaleNormal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D40" sqref="D40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2020.Q4 - 100.0 MW and 100.0% CF</v>
      </c>
      <c r="C4" s="83"/>
      <c r="D4" s="83"/>
      <c r="E4" s="83"/>
      <c r="F4" s="83"/>
      <c r="G4" s="83"/>
      <c r="K4" s="56">
        <f>MIN(K13:K24)</f>
        <v>44197</v>
      </c>
      <c r="M4" s="57" t="s">
        <v>264</v>
      </c>
      <c r="P4" s="206" t="s">
        <v>232</v>
      </c>
      <c r="Q4" s="206"/>
      <c r="R4" s="206"/>
      <c r="S4" s="206" t="s">
        <v>231</v>
      </c>
    </row>
    <row r="5" spans="1:19">
      <c r="B5" s="83" t="str">
        <f>TEXT($K$5,"MMMM YYYY")&amp;"  through  "&amp;TEXT($K$6,"MMMM YYYY")</f>
        <v>January 2021  through  December 2035</v>
      </c>
      <c r="C5" s="83"/>
      <c r="D5" s="83"/>
      <c r="E5" s="83"/>
      <c r="F5" s="83"/>
      <c r="G5" s="83"/>
      <c r="J5" s="56" t="s">
        <v>38</v>
      </c>
      <c r="K5" s="179">
        <f>MIN(K13:K24)</f>
        <v>44197</v>
      </c>
      <c r="M5" s="56" t="s">
        <v>39</v>
      </c>
      <c r="O5" s="3" t="s">
        <v>80</v>
      </c>
      <c r="P5" s="5">
        <f>13+12</f>
        <v>25</v>
      </c>
      <c r="Q5" s="5"/>
      <c r="R5" s="5"/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9">
        <f>EDATE(K5,15*12-1)</f>
        <v>49644</v>
      </c>
      <c r="M6" s="57">
        <v>100</v>
      </c>
      <c r="N6" s="56" t="s">
        <v>32</v>
      </c>
      <c r="O6" s="5" t="s">
        <v>81</v>
      </c>
      <c r="P6">
        <f>P5+15*12-1</f>
        <v>204</v>
      </c>
      <c r="Q6"/>
      <c r="R6"/>
      <c r="S6">
        <f>S5+15*12-1</f>
        <v>192</v>
      </c>
    </row>
    <row r="7" spans="1:19">
      <c r="A7" s="107"/>
      <c r="C7" s="58"/>
      <c r="D7" s="58"/>
      <c r="E7" s="58"/>
      <c r="F7" s="376"/>
      <c r="G7" s="91"/>
      <c r="M7" s="377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196236117.73586252</v>
      </c>
      <c r="D9" s="58">
        <f ca="1">NPV($K$9,INDIRECT("d"&amp;$S$5&amp;":d"&amp;$S$6))</f>
        <v>65467274.298523344</v>
      </c>
      <c r="E9" s="58">
        <f ca="1">NPV($K$9,INDIRECT("e"&amp;$S$5&amp;":e"&amp;$S$6))</f>
        <v>261703392.03438592</v>
      </c>
      <c r="F9" s="376">
        <f ca="1">NPV($K$9,INDIRECT("f"&amp;$S$5&amp;":f"&amp;$S$6))</f>
        <v>8273628.9431266077</v>
      </c>
      <c r="G9" s="91">
        <f ca="1">($C9+D9)/$F9</f>
        <v>31.631028395562545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76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44197</v>
      </c>
      <c r="C13" s="69">
        <v>1721987.2551570833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1721987.2551570833</v>
      </c>
      <c r="F13" s="69">
        <v>74400</v>
      </c>
      <c r="G13" s="72">
        <f t="shared" ref="G13:G17" si="1">IF(ISNUMBER($F13),E13/$F13,"")</f>
        <v>23.144989988670474</v>
      </c>
      <c r="I13" s="60">
        <v>1</v>
      </c>
      <c r="J13" s="73">
        <f>YEAR(B13)</f>
        <v>2021</v>
      </c>
      <c r="K13" s="74">
        <f t="shared" ref="K13:K24" si="2">IF(ISNUMBER(F13),B13,"")</f>
        <v>44197</v>
      </c>
      <c r="L13" s="56">
        <v>361</v>
      </c>
      <c r="M13" s="56" t="s">
        <v>49</v>
      </c>
    </row>
    <row r="14" spans="1:19">
      <c r="B14" s="78">
        <f t="shared" ref="B14:B77" si="3">EDATE(B13,1)</f>
        <v>44228</v>
      </c>
      <c r="C14" s="75">
        <v>1188872.8018910885</v>
      </c>
      <c r="D14" s="71">
        <f>IF(ISNUMBER($F14),VLOOKUP($J14,'Table 1'!$B$13:$C$33,2,FALSE)/12*1000*Study_MW,"")</f>
        <v>0</v>
      </c>
      <c r="E14" s="71">
        <f t="shared" si="0"/>
        <v>1188872.8018910885</v>
      </c>
      <c r="F14" s="75">
        <v>67200</v>
      </c>
      <c r="G14" s="76">
        <f t="shared" si="1"/>
        <v>17.691559551950721</v>
      </c>
      <c r="I14" s="77">
        <f>I13+1</f>
        <v>2</v>
      </c>
      <c r="J14" s="73">
        <f t="shared" ref="J14:J77" si="4">YEAR(B14)</f>
        <v>2021</v>
      </c>
      <c r="K14" s="78">
        <f t="shared" si="2"/>
        <v>44228</v>
      </c>
      <c r="L14" s="56">
        <v>462</v>
      </c>
      <c r="M14" s="90" t="s">
        <v>262</v>
      </c>
    </row>
    <row r="15" spans="1:19">
      <c r="B15" s="78">
        <f t="shared" si="3"/>
        <v>44256</v>
      </c>
      <c r="C15" s="75">
        <v>1213767.3923071623</v>
      </c>
      <c r="D15" s="71">
        <f>IF(ISNUMBER($F15),VLOOKUP($J15,'Table 1'!$B$13:$C$33,2,FALSE)/12*1000*Study_MW,"")</f>
        <v>0</v>
      </c>
      <c r="E15" s="71">
        <f t="shared" si="0"/>
        <v>1213767.3923071623</v>
      </c>
      <c r="F15" s="75">
        <v>74400</v>
      </c>
      <c r="G15" s="76">
        <f t="shared" si="1"/>
        <v>16.314077853590891</v>
      </c>
      <c r="I15" s="77">
        <f t="shared" ref="I15:I24" si="5">I14+1</f>
        <v>3</v>
      </c>
      <c r="J15" s="73">
        <f t="shared" si="4"/>
        <v>2021</v>
      </c>
      <c r="K15" s="78">
        <f t="shared" si="2"/>
        <v>44256</v>
      </c>
    </row>
    <row r="16" spans="1:19">
      <c r="B16" s="78">
        <f t="shared" si="3"/>
        <v>44287</v>
      </c>
      <c r="C16" s="75">
        <v>1070826.8992951512</v>
      </c>
      <c r="D16" s="71">
        <f>IF(ISNUMBER($F16),VLOOKUP($J16,'Table 1'!$B$13:$C$33,2,FALSE)/12*1000*Study_MW,"")</f>
        <v>0</v>
      </c>
      <c r="E16" s="71">
        <f t="shared" si="0"/>
        <v>1070826.8992951512</v>
      </c>
      <c r="F16" s="75">
        <v>72000</v>
      </c>
      <c r="G16" s="76">
        <f t="shared" si="1"/>
        <v>14.872595823543767</v>
      </c>
      <c r="I16" s="77">
        <f t="shared" si="5"/>
        <v>4</v>
      </c>
      <c r="J16" s="73">
        <f t="shared" si="4"/>
        <v>2021</v>
      </c>
      <c r="K16" s="78">
        <f t="shared" si="2"/>
        <v>44287</v>
      </c>
      <c r="L16" s="73">
        <f>YEAR(B13)</f>
        <v>2021</v>
      </c>
      <c r="M16" s="56">
        <f t="shared" ref="M16:M38" si="6">SUMIF($J$13:$J$228,L16,$C$13:$C$228)</f>
        <v>17805288.403505877</v>
      </c>
      <c r="N16" s="56">
        <f t="shared" ref="N16:N38" si="7">SUMIF($J$13:$J$228,L16,$D$13:$D$228)</f>
        <v>0</v>
      </c>
      <c r="O16" s="56">
        <f t="shared" ref="O16:O38" si="8">SUMIF($J$13:$J$228,L16,$F$13:$F$228)</f>
        <v>876000</v>
      </c>
      <c r="P16" s="113">
        <f t="shared" ref="P16:P25" si="9">(M16+N16)/O16</f>
        <v>20.32567169349986</v>
      </c>
      <c r="Q16" s="166">
        <f>M16/O16</f>
        <v>20.32567169349986</v>
      </c>
      <c r="R16" s="166">
        <f>IFERROR(N16/O16,0)</f>
        <v>0</v>
      </c>
    </row>
    <row r="17" spans="2:20">
      <c r="B17" s="78">
        <f t="shared" si="3"/>
        <v>44317</v>
      </c>
      <c r="C17" s="75">
        <v>1035976.0111064762</v>
      </c>
      <c r="D17" s="71">
        <f>IF(ISNUMBER($F17),VLOOKUP($J17,'Table 1'!$B$13:$C$33,2,FALSE)/12*1000*Study_MW,"")</f>
        <v>0</v>
      </c>
      <c r="E17" s="71">
        <f t="shared" si="0"/>
        <v>1035976.0111064762</v>
      </c>
      <c r="F17" s="75">
        <v>74400</v>
      </c>
      <c r="G17" s="76">
        <f t="shared" si="1"/>
        <v>13.924408751431132</v>
      </c>
      <c r="I17" s="77">
        <f t="shared" si="5"/>
        <v>5</v>
      </c>
      <c r="J17" s="73">
        <f t="shared" si="4"/>
        <v>2021</v>
      </c>
      <c r="K17" s="78">
        <f t="shared" si="2"/>
        <v>44317</v>
      </c>
      <c r="L17" s="73">
        <f>L16+1</f>
        <v>2022</v>
      </c>
      <c r="M17" s="56">
        <f t="shared" si="6"/>
        <v>18556672.404994786</v>
      </c>
      <c r="N17" s="56">
        <f t="shared" si="7"/>
        <v>0</v>
      </c>
      <c r="O17" s="56">
        <f t="shared" si="8"/>
        <v>876000</v>
      </c>
      <c r="P17" s="113">
        <f t="shared" si="9"/>
        <v>21.18341598743697</v>
      </c>
      <c r="Q17" s="166">
        <f t="shared" ref="Q17:Q33" si="10">M17/O17</f>
        <v>21.18341598743697</v>
      </c>
      <c r="R17" s="166">
        <f t="shared" ref="R17:R33" si="11">IFERROR(N17/O17,0)</f>
        <v>0</v>
      </c>
    </row>
    <row r="18" spans="2:20">
      <c r="B18" s="78">
        <f t="shared" si="3"/>
        <v>44348</v>
      </c>
      <c r="C18" s="75">
        <v>1141957.8343068063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1141957.8343068063</v>
      </c>
      <c r="F18" s="75">
        <v>72000</v>
      </c>
      <c r="G18" s="76">
        <f t="shared" ref="G18:G19" si="13">IF(ISNUMBER($F18),E18/$F18,"")</f>
        <v>15.860525476483421</v>
      </c>
      <c r="I18" s="77">
        <f t="shared" si="5"/>
        <v>6</v>
      </c>
      <c r="J18" s="73">
        <f t="shared" si="4"/>
        <v>2021</v>
      </c>
      <c r="K18" s="78">
        <f t="shared" si="2"/>
        <v>44348</v>
      </c>
      <c r="L18" s="73">
        <f t="shared" ref="L18:L42" si="14">L17+1</f>
        <v>2023</v>
      </c>
      <c r="M18" s="56">
        <f t="shared" si="6"/>
        <v>17647277.902605519</v>
      </c>
      <c r="N18" s="56">
        <f t="shared" si="7"/>
        <v>0</v>
      </c>
      <c r="O18" s="56">
        <f t="shared" si="8"/>
        <v>876000</v>
      </c>
      <c r="P18" s="113">
        <f t="shared" si="9"/>
        <v>20.145294409367029</v>
      </c>
      <c r="Q18" s="166">
        <f t="shared" si="10"/>
        <v>20.145294409367029</v>
      </c>
      <c r="R18" s="166">
        <f t="shared" si="11"/>
        <v>0</v>
      </c>
    </row>
    <row r="19" spans="2:20">
      <c r="B19" s="78">
        <f t="shared" si="3"/>
        <v>44378</v>
      </c>
      <c r="C19" s="75">
        <v>2783414.1441735625</v>
      </c>
      <c r="D19" s="71">
        <f>IF(ISNUMBER($F19),VLOOKUP($J19,'Table 1'!$B$13:$C$33,2,FALSE)/12*1000*Study_MW,"")</f>
        <v>0</v>
      </c>
      <c r="E19" s="71">
        <f t="shared" si="12"/>
        <v>2783414.1441735625</v>
      </c>
      <c r="F19" s="75">
        <v>74400</v>
      </c>
      <c r="G19" s="76">
        <f t="shared" si="13"/>
        <v>37.411480432440356</v>
      </c>
      <c r="I19" s="77">
        <f t="shared" si="5"/>
        <v>7</v>
      </c>
      <c r="J19" s="73">
        <f t="shared" si="4"/>
        <v>2021</v>
      </c>
      <c r="K19" s="78">
        <f t="shared" si="2"/>
        <v>44378</v>
      </c>
      <c r="L19" s="73">
        <f t="shared" si="14"/>
        <v>2024</v>
      </c>
      <c r="M19" s="56">
        <f t="shared" si="6"/>
        <v>15172707.942420289</v>
      </c>
      <c r="N19" s="56">
        <f t="shared" si="7"/>
        <v>0</v>
      </c>
      <c r="O19" s="56">
        <f t="shared" si="8"/>
        <v>878400</v>
      </c>
      <c r="P19" s="113">
        <f t="shared" si="9"/>
        <v>17.273119242281751</v>
      </c>
      <c r="Q19" s="166">
        <f t="shared" si="10"/>
        <v>17.273119242281751</v>
      </c>
      <c r="R19" s="166">
        <f t="shared" si="11"/>
        <v>0</v>
      </c>
    </row>
    <row r="20" spans="2:20">
      <c r="B20" s="78">
        <f t="shared" si="3"/>
        <v>44409</v>
      </c>
      <c r="C20" s="75">
        <v>2147558.666822955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2147558.666822955</v>
      </c>
      <c r="F20" s="75">
        <v>74400</v>
      </c>
      <c r="G20" s="76">
        <f t="shared" ref="G20:G77" si="16">IF(ISNUMBER($F20),E20/$F20,"")</f>
        <v>28.865035844394555</v>
      </c>
      <c r="I20" s="77">
        <f t="shared" si="5"/>
        <v>8</v>
      </c>
      <c r="J20" s="73">
        <f t="shared" si="4"/>
        <v>2021</v>
      </c>
      <c r="K20" s="78">
        <f t="shared" si="2"/>
        <v>44409</v>
      </c>
      <c r="L20" s="73">
        <f t="shared" si="14"/>
        <v>2025</v>
      </c>
      <c r="M20" s="56">
        <f t="shared" si="6"/>
        <v>17907665.906525701</v>
      </c>
      <c r="N20" s="56">
        <f t="shared" si="7"/>
        <v>0</v>
      </c>
      <c r="O20" s="56">
        <f t="shared" si="8"/>
        <v>876000</v>
      </c>
      <c r="P20" s="113">
        <f t="shared" si="9"/>
        <v>20.44254098918459</v>
      </c>
      <c r="Q20" s="166">
        <f t="shared" si="10"/>
        <v>20.44254098918459</v>
      </c>
      <c r="R20" s="166">
        <f t="shared" si="11"/>
        <v>0</v>
      </c>
    </row>
    <row r="21" spans="2:20">
      <c r="B21" s="78">
        <f t="shared" si="3"/>
        <v>44440</v>
      </c>
      <c r="C21" s="75">
        <v>1464844.0919895768</v>
      </c>
      <c r="D21" s="71">
        <f>IF(ISNUMBER($F21),VLOOKUP($J21,'Table 1'!$B$13:$C$33,2,FALSE)/12*1000*Study_MW,"")</f>
        <v>0</v>
      </c>
      <c r="E21" s="71">
        <f t="shared" si="15"/>
        <v>1464844.0919895768</v>
      </c>
      <c r="F21" s="75">
        <v>72000</v>
      </c>
      <c r="G21" s="76">
        <f t="shared" si="16"/>
        <v>20.345056833188568</v>
      </c>
      <c r="I21" s="77">
        <f t="shared" si="5"/>
        <v>9</v>
      </c>
      <c r="J21" s="73">
        <f t="shared" si="4"/>
        <v>2021</v>
      </c>
      <c r="K21" s="78">
        <f t="shared" si="2"/>
        <v>44440</v>
      </c>
      <c r="L21" s="73">
        <f t="shared" si="14"/>
        <v>2026</v>
      </c>
      <c r="M21" s="56">
        <f t="shared" si="6"/>
        <v>18474560.541533142</v>
      </c>
      <c r="N21" s="56">
        <f t="shared" si="7"/>
        <v>11474967.954321025</v>
      </c>
      <c r="O21" s="56">
        <f t="shared" si="8"/>
        <v>876000</v>
      </c>
      <c r="P21" s="113">
        <f t="shared" si="9"/>
        <v>34.188959470153158</v>
      </c>
      <c r="Q21" s="166">
        <f t="shared" si="10"/>
        <v>21.089680983485323</v>
      </c>
      <c r="R21" s="166">
        <f t="shared" si="11"/>
        <v>13.099278486667837</v>
      </c>
    </row>
    <row r="22" spans="2:20">
      <c r="B22" s="78">
        <f t="shared" si="3"/>
        <v>44470</v>
      </c>
      <c r="C22" s="75">
        <v>1259599.1622389704</v>
      </c>
      <c r="D22" s="71">
        <f>IF(ISNUMBER($F22),VLOOKUP($J22,'Table 1'!$B$13:$C$33,2,FALSE)/12*1000*Study_MW,"")</f>
        <v>0</v>
      </c>
      <c r="E22" s="71">
        <f t="shared" si="15"/>
        <v>1259599.1622389704</v>
      </c>
      <c r="F22" s="75">
        <v>74400</v>
      </c>
      <c r="G22" s="76">
        <f t="shared" si="16"/>
        <v>16.930096266652829</v>
      </c>
      <c r="I22" s="77">
        <f t="shared" si="5"/>
        <v>10</v>
      </c>
      <c r="J22" s="73">
        <f t="shared" si="4"/>
        <v>2021</v>
      </c>
      <c r="K22" s="78">
        <f t="shared" si="2"/>
        <v>44470</v>
      </c>
      <c r="L22" s="73">
        <f t="shared" si="14"/>
        <v>2027</v>
      </c>
      <c r="M22" s="56">
        <f t="shared" si="6"/>
        <v>19649660.097607151</v>
      </c>
      <c r="N22" s="56">
        <f t="shared" si="7"/>
        <v>11739727.126850409</v>
      </c>
      <c r="O22" s="56">
        <f t="shared" si="8"/>
        <v>876000</v>
      </c>
      <c r="P22" s="113">
        <f t="shared" si="9"/>
        <v>35.832633817873926</v>
      </c>
      <c r="Q22" s="166">
        <f t="shared" si="10"/>
        <v>22.431118832884874</v>
      </c>
      <c r="R22" s="166">
        <f t="shared" si="11"/>
        <v>13.401514984989053</v>
      </c>
    </row>
    <row r="23" spans="2:20">
      <c r="B23" s="78">
        <f t="shared" si="3"/>
        <v>44501</v>
      </c>
      <c r="C23" s="75">
        <v>1287524.2347546518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1287524.2347546518</v>
      </c>
      <c r="F23" s="75">
        <v>72000</v>
      </c>
      <c r="G23" s="76">
        <f t="shared" ref="G23" si="18">IF(ISNUMBER($F23),E23/$F23,"")</f>
        <v>17.882281038259052</v>
      </c>
      <c r="I23" s="77">
        <f t="shared" si="5"/>
        <v>11</v>
      </c>
      <c r="J23" s="73">
        <f t="shared" si="4"/>
        <v>2021</v>
      </c>
      <c r="K23" s="78">
        <f t="shared" si="2"/>
        <v>44501</v>
      </c>
      <c r="L23" s="73">
        <f t="shared" si="14"/>
        <v>2028</v>
      </c>
      <c r="M23" s="56">
        <f t="shared" si="6"/>
        <v>22443134.405090749</v>
      </c>
      <c r="N23" s="56">
        <f t="shared" si="7"/>
        <v>12009985.320966462</v>
      </c>
      <c r="O23" s="56">
        <f t="shared" si="8"/>
        <v>878400</v>
      </c>
      <c r="P23" s="113">
        <f t="shared" si="9"/>
        <v>39.22258620908152</v>
      </c>
      <c r="Q23" s="166">
        <f t="shared" si="10"/>
        <v>25.550016399238103</v>
      </c>
      <c r="R23" s="166">
        <f t="shared" si="11"/>
        <v>13.672569809843422</v>
      </c>
      <c r="T23" s="41">
        <v>1.9E-2</v>
      </c>
    </row>
    <row r="24" spans="2:20">
      <c r="B24" s="82">
        <f t="shared" si="3"/>
        <v>44531</v>
      </c>
      <c r="C24" s="79">
        <v>1488959.9094623923</v>
      </c>
      <c r="D24" s="80">
        <f>IF(F24&lt;&gt;0,VLOOKUP($J24,'Table 1'!$B$13:$C$33,2,FALSE)/12*1000*Study_MW,0)</f>
        <v>0</v>
      </c>
      <c r="E24" s="80">
        <f t="shared" ref="E24" si="19">IF(ISNUMBER(C24+D24),C24+D24,"")</f>
        <v>1488959.9094623923</v>
      </c>
      <c r="F24" s="79">
        <v>74400</v>
      </c>
      <c r="G24" s="81">
        <f t="shared" ref="G24" si="20">IF(ISNUMBER($F24),E24/$F24,"")</f>
        <v>20.012902008903122</v>
      </c>
      <c r="I24" s="64">
        <f t="shared" si="5"/>
        <v>12</v>
      </c>
      <c r="J24" s="73">
        <f t="shared" si="4"/>
        <v>2021</v>
      </c>
      <c r="K24" s="82">
        <f t="shared" si="2"/>
        <v>44531</v>
      </c>
      <c r="L24" s="73">
        <f t="shared" si="14"/>
        <v>2029</v>
      </c>
      <c r="M24" s="56">
        <f t="shared" si="6"/>
        <v>24176194.588458911</v>
      </c>
      <c r="N24" s="56">
        <f t="shared" si="7"/>
        <v>12287464.153856611</v>
      </c>
      <c r="O24" s="56">
        <f t="shared" si="8"/>
        <v>876000</v>
      </c>
      <c r="P24" s="113">
        <f t="shared" si="9"/>
        <v>41.62518121268895</v>
      </c>
      <c r="Q24" s="166">
        <f t="shared" si="10"/>
        <v>27.598395648925695</v>
      </c>
      <c r="R24" s="166">
        <f t="shared" si="11"/>
        <v>14.026785563763255</v>
      </c>
    </row>
    <row r="25" spans="2:20">
      <c r="B25" s="74">
        <f t="shared" si="3"/>
        <v>44562</v>
      </c>
      <c r="C25" s="69">
        <v>2104455.3297469616</v>
      </c>
      <c r="D25" s="70">
        <f>IF(F25&lt;&gt;0,VLOOKUP($J25,'Table 1'!$B$13:$C$33,2,FALSE)/12*1000*Study_MW,0)</f>
        <v>0</v>
      </c>
      <c r="E25" s="70">
        <f t="shared" ref="E25:E77" si="21">C25+D25</f>
        <v>2104455.3297469616</v>
      </c>
      <c r="F25" s="69">
        <v>74400</v>
      </c>
      <c r="G25" s="72">
        <f t="shared" si="16"/>
        <v>28.285689915953785</v>
      </c>
      <c r="I25" s="60">
        <f>I13+13</f>
        <v>14</v>
      </c>
      <c r="J25" s="73">
        <f t="shared" si="4"/>
        <v>2022</v>
      </c>
      <c r="K25" s="74">
        <f>IF(ISNUMBER(F25),IF(F25&lt;&gt;0,B25,""),"")</f>
        <v>44562</v>
      </c>
      <c r="L25" s="73">
        <f t="shared" si="14"/>
        <v>2030</v>
      </c>
      <c r="M25" s="56">
        <f t="shared" si="6"/>
        <v>23024420.852879927</v>
      </c>
      <c r="N25" s="56">
        <f t="shared" si="7"/>
        <v>12570100.585871108</v>
      </c>
      <c r="O25" s="56">
        <f t="shared" si="8"/>
        <v>876000</v>
      </c>
      <c r="P25" s="113">
        <f t="shared" si="9"/>
        <v>40.633015341039993</v>
      </c>
      <c r="Q25" s="166">
        <f t="shared" si="10"/>
        <v>26.283585448493067</v>
      </c>
      <c r="R25" s="166">
        <f t="shared" si="11"/>
        <v>14.349429892546926</v>
      </c>
    </row>
    <row r="26" spans="2:20">
      <c r="B26" s="78">
        <f t="shared" si="3"/>
        <v>44593</v>
      </c>
      <c r="C26" s="75">
        <v>1346826.4168845564</v>
      </c>
      <c r="D26" s="71">
        <f>IF(F26&lt;&gt;0,VLOOKUP($J26,'Table 1'!$B$13:$C$33,2,FALSE)/12*1000*Study_MW,0)</f>
        <v>0</v>
      </c>
      <c r="E26" s="71">
        <f t="shared" si="21"/>
        <v>1346826.4168845564</v>
      </c>
      <c r="F26" s="75">
        <v>67200</v>
      </c>
      <c r="G26" s="76">
        <f t="shared" si="16"/>
        <v>20.042059775067802</v>
      </c>
      <c r="I26" s="77">
        <f t="shared" ref="I26:I89" si="22">I14+13</f>
        <v>15</v>
      </c>
      <c r="J26" s="73">
        <f t="shared" si="4"/>
        <v>2022</v>
      </c>
      <c r="K26" s="78">
        <f t="shared" ref="K26:K89" si="23">IF(ISNUMBER(F26),IF(F26&lt;&gt;0,B26,""),"")</f>
        <v>44593</v>
      </c>
      <c r="L26" s="73">
        <f t="shared" si="14"/>
        <v>2031</v>
      </c>
      <c r="M26" s="56">
        <f t="shared" si="6"/>
        <v>24348688.040262267</v>
      </c>
      <c r="N26" s="56">
        <f t="shared" si="7"/>
        <v>12859957.656659698</v>
      </c>
      <c r="O26" s="56">
        <f t="shared" si="8"/>
        <v>876000</v>
      </c>
      <c r="P26" s="113">
        <f>(M26+N26)/O26</f>
        <v>42.475622941691746</v>
      </c>
      <c r="Q26" s="166">
        <f t="shared" si="10"/>
        <v>27.795305982034552</v>
      </c>
      <c r="R26" s="166">
        <f t="shared" si="11"/>
        <v>14.680316959657189</v>
      </c>
    </row>
    <row r="27" spans="2:20">
      <c r="B27" s="78">
        <f t="shared" si="3"/>
        <v>44621</v>
      </c>
      <c r="C27" s="75">
        <v>1359941.3518379331</v>
      </c>
      <c r="D27" s="71">
        <f>IF(F27&lt;&gt;0,VLOOKUP($J27,'Table 1'!$B$13:$C$33,2,FALSE)/12*1000*Study_MW,0)</f>
        <v>0</v>
      </c>
      <c r="E27" s="71">
        <f t="shared" si="21"/>
        <v>1359941.3518379331</v>
      </c>
      <c r="F27" s="75">
        <v>74400</v>
      </c>
      <c r="G27" s="76">
        <f t="shared" si="16"/>
        <v>18.278781610724906</v>
      </c>
      <c r="I27" s="77">
        <f t="shared" si="22"/>
        <v>16</v>
      </c>
      <c r="J27" s="73">
        <f t="shared" si="4"/>
        <v>2022</v>
      </c>
      <c r="K27" s="78">
        <f t="shared" si="23"/>
        <v>44621</v>
      </c>
      <c r="L27" s="73">
        <f t="shared" si="14"/>
        <v>2032</v>
      </c>
      <c r="M27" s="56">
        <f t="shared" si="6"/>
        <v>26112219.025341988</v>
      </c>
      <c r="N27" s="56">
        <f t="shared" si="7"/>
        <v>13154972.326572644</v>
      </c>
      <c r="O27" s="56">
        <f t="shared" si="8"/>
        <v>878400</v>
      </c>
      <c r="P27" s="113">
        <f t="shared" ref="P27:P31" si="24">(M27+N27)/O27</f>
        <v>44.703086693891883</v>
      </c>
      <c r="Q27" s="166">
        <f t="shared" si="10"/>
        <v>29.72702530207421</v>
      </c>
      <c r="R27" s="166">
        <f t="shared" si="11"/>
        <v>14.976061391817673</v>
      </c>
    </row>
    <row r="28" spans="2:20">
      <c r="B28" s="78">
        <f t="shared" si="3"/>
        <v>44652</v>
      </c>
      <c r="C28" s="75">
        <v>1074476.0544001162</v>
      </c>
      <c r="D28" s="71">
        <f>IF(F28&lt;&gt;0,VLOOKUP($J28,'Table 1'!$B$13:$C$33,2,FALSE)/12*1000*Study_MW,0)</f>
        <v>0</v>
      </c>
      <c r="E28" s="71">
        <f t="shared" si="21"/>
        <v>1074476.0544001162</v>
      </c>
      <c r="F28" s="75">
        <v>72000</v>
      </c>
      <c r="G28" s="76">
        <f t="shared" si="16"/>
        <v>14.923278533334948</v>
      </c>
      <c r="I28" s="77">
        <f t="shared" si="22"/>
        <v>17</v>
      </c>
      <c r="J28" s="73">
        <f t="shared" si="4"/>
        <v>2022</v>
      </c>
      <c r="K28" s="78">
        <f t="shared" si="23"/>
        <v>44652</v>
      </c>
      <c r="L28" s="73">
        <f t="shared" si="14"/>
        <v>2033</v>
      </c>
      <c r="M28" s="56">
        <f t="shared" si="6"/>
        <v>26539037.489129588</v>
      </c>
      <c r="N28" s="56">
        <f t="shared" si="7"/>
        <v>13457207.635259679</v>
      </c>
      <c r="O28" s="56">
        <f t="shared" si="8"/>
        <v>876000</v>
      </c>
      <c r="P28" s="113">
        <f t="shared" si="24"/>
        <v>45.657814068937519</v>
      </c>
      <c r="Q28" s="166">
        <f t="shared" si="10"/>
        <v>30.295704896266653</v>
      </c>
      <c r="R28" s="166">
        <f t="shared" si="11"/>
        <v>15.362109172670866</v>
      </c>
    </row>
    <row r="29" spans="2:20">
      <c r="B29" s="78">
        <f t="shared" si="3"/>
        <v>44682</v>
      </c>
      <c r="C29" s="75">
        <v>1069282.894272536</v>
      </c>
      <c r="D29" s="71">
        <f>IF(F29&lt;&gt;0,VLOOKUP($J29,'Table 1'!$B$13:$C$33,2,FALSE)/12*1000*Study_MW,0)</f>
        <v>0</v>
      </c>
      <c r="E29" s="71">
        <f t="shared" si="21"/>
        <v>1069282.894272536</v>
      </c>
      <c r="F29" s="75">
        <v>74400</v>
      </c>
      <c r="G29" s="76">
        <f t="shared" si="16"/>
        <v>14.372081912265269</v>
      </c>
      <c r="I29" s="77">
        <f t="shared" si="22"/>
        <v>18</v>
      </c>
      <c r="J29" s="73">
        <f t="shared" si="4"/>
        <v>2022</v>
      </c>
      <c r="K29" s="78">
        <f t="shared" si="23"/>
        <v>44682</v>
      </c>
      <c r="L29" s="73">
        <f t="shared" si="14"/>
        <v>2034</v>
      </c>
      <c r="M29" s="56">
        <f t="shared" si="6"/>
        <v>27724131.381249815</v>
      </c>
      <c r="N29" s="56">
        <f t="shared" si="7"/>
        <v>13766663.582720811</v>
      </c>
      <c r="O29" s="56">
        <f t="shared" si="8"/>
        <v>876000</v>
      </c>
      <c r="P29" s="113">
        <f t="shared" si="24"/>
        <v>47.363921191747288</v>
      </c>
      <c r="Q29" s="166">
        <f t="shared" si="10"/>
        <v>31.648551805079698</v>
      </c>
      <c r="R29" s="166">
        <f t="shared" si="11"/>
        <v>15.715369386667591</v>
      </c>
    </row>
    <row r="30" spans="2:20">
      <c r="B30" s="78">
        <f t="shared" si="3"/>
        <v>44713</v>
      </c>
      <c r="C30" s="75">
        <v>1215364.6118514389</v>
      </c>
      <c r="D30" s="71">
        <f>IF(F30&lt;&gt;0,VLOOKUP($J30,'Table 1'!$B$13:$C$33,2,FALSE)/12*1000*Study_MW,0)</f>
        <v>0</v>
      </c>
      <c r="E30" s="71">
        <f t="shared" si="21"/>
        <v>1215364.6118514389</v>
      </c>
      <c r="F30" s="75">
        <v>72000</v>
      </c>
      <c r="G30" s="76">
        <f t="shared" si="16"/>
        <v>16.880064053492205</v>
      </c>
      <c r="I30" s="77">
        <f t="shared" si="22"/>
        <v>19</v>
      </c>
      <c r="J30" s="73">
        <f t="shared" si="4"/>
        <v>2022</v>
      </c>
      <c r="K30" s="78">
        <f t="shared" si="23"/>
        <v>44713</v>
      </c>
      <c r="L30" s="73">
        <f t="shared" si="14"/>
        <v>2035</v>
      </c>
      <c r="M30" s="56">
        <f t="shared" si="6"/>
        <v>29071284.761555076</v>
      </c>
      <c r="N30" s="56">
        <f t="shared" si="7"/>
        <v>14083340.168956032</v>
      </c>
      <c r="O30" s="56">
        <f t="shared" si="8"/>
        <v>876000</v>
      </c>
      <c r="P30" s="113">
        <f t="shared" si="24"/>
        <v>49.263270468619986</v>
      </c>
      <c r="Q30" s="166">
        <f t="shared" si="10"/>
        <v>33.186398129629083</v>
      </c>
      <c r="R30" s="166">
        <f t="shared" si="11"/>
        <v>16.076872338990903</v>
      </c>
    </row>
    <row r="31" spans="2:20">
      <c r="B31" s="78">
        <f t="shared" si="3"/>
        <v>44743</v>
      </c>
      <c r="C31" s="75">
        <v>2734126.6660351157</v>
      </c>
      <c r="D31" s="71">
        <f>IF(F31&lt;&gt;0,VLOOKUP($J31,'Table 1'!$B$13:$C$33,2,FALSE)/12*1000*Study_MW,0)</f>
        <v>0</v>
      </c>
      <c r="E31" s="71">
        <f t="shared" si="21"/>
        <v>2734126.6660351157</v>
      </c>
      <c r="F31" s="75">
        <v>74400</v>
      </c>
      <c r="G31" s="76">
        <f t="shared" si="16"/>
        <v>36.749014328428977</v>
      </c>
      <c r="I31" s="77">
        <f t="shared" si="22"/>
        <v>20</v>
      </c>
      <c r="J31" s="73">
        <f t="shared" si="4"/>
        <v>2022</v>
      </c>
      <c r="K31" s="78">
        <f t="shared" si="23"/>
        <v>44743</v>
      </c>
      <c r="L31" s="73">
        <f t="shared" si="14"/>
        <v>2036</v>
      </c>
      <c r="M31" s="56">
        <f t="shared" si="6"/>
        <v>30703173.308291987</v>
      </c>
      <c r="N31" s="56">
        <f t="shared" si="7"/>
        <v>14404142.834490739</v>
      </c>
      <c r="O31" s="56">
        <f t="shared" si="8"/>
        <v>878400</v>
      </c>
      <c r="P31" s="113">
        <f t="shared" si="24"/>
        <v>51.351680490417493</v>
      </c>
      <c r="Q31" s="166">
        <f t="shared" si="10"/>
        <v>34.953521525833317</v>
      </c>
      <c r="R31" s="166">
        <f t="shared" si="11"/>
        <v>16.398158964584173</v>
      </c>
    </row>
    <row r="32" spans="2:20">
      <c r="B32" s="78">
        <f t="shared" si="3"/>
        <v>44774</v>
      </c>
      <c r="C32" s="75">
        <v>2018583.1315658689</v>
      </c>
      <c r="D32" s="71">
        <f>IF(F32&lt;&gt;0,VLOOKUP($J32,'Table 1'!$B$13:$C$33,2,FALSE)/12*1000*Study_MW,0)</f>
        <v>0</v>
      </c>
      <c r="E32" s="71">
        <f t="shared" si="21"/>
        <v>2018583.1315658689</v>
      </c>
      <c r="F32" s="75">
        <v>74400</v>
      </c>
      <c r="G32" s="76">
        <f t="shared" si="16"/>
        <v>27.131493703842324</v>
      </c>
      <c r="I32" s="77">
        <f t="shared" si="22"/>
        <v>21</v>
      </c>
      <c r="J32" s="73">
        <f t="shared" si="4"/>
        <v>2022</v>
      </c>
      <c r="K32" s="78">
        <f t="shared" si="23"/>
        <v>44774</v>
      </c>
      <c r="L32" s="73">
        <f t="shared" si="14"/>
        <v>2037</v>
      </c>
      <c r="M32" s="56">
        <f t="shared" si="6"/>
        <v>32249103.440141886</v>
      </c>
      <c r="N32" s="56">
        <f t="shared" si="7"/>
        <v>14735260.698274145</v>
      </c>
      <c r="O32" s="56">
        <f t="shared" si="8"/>
        <v>876000</v>
      </c>
      <c r="P32" s="113">
        <f t="shared" ref="P32:P34" si="25">(M32+N32)/O32</f>
        <v>53.635118879470355</v>
      </c>
      <c r="Q32" s="166">
        <f t="shared" si="10"/>
        <v>36.814045022993021</v>
      </c>
      <c r="R32" s="166">
        <f t="shared" si="11"/>
        <v>16.821073856477334</v>
      </c>
    </row>
    <row r="33" spans="2:20">
      <c r="B33" s="78">
        <f t="shared" si="3"/>
        <v>44805</v>
      </c>
      <c r="C33" s="75">
        <v>1504793.4505157471</v>
      </c>
      <c r="D33" s="71">
        <f>IF(F33&lt;&gt;0,VLOOKUP($J33,'Table 1'!$B$13:$C$33,2,FALSE)/12*1000*Study_MW,0)</f>
        <v>0</v>
      </c>
      <c r="E33" s="71">
        <f t="shared" si="21"/>
        <v>1504793.4505157471</v>
      </c>
      <c r="F33" s="75">
        <v>72000</v>
      </c>
      <c r="G33" s="76">
        <f t="shared" si="16"/>
        <v>20.899909034940933</v>
      </c>
      <c r="I33" s="77">
        <f t="shared" si="22"/>
        <v>22</v>
      </c>
      <c r="J33" s="73">
        <f t="shared" si="4"/>
        <v>2022</v>
      </c>
      <c r="K33" s="78">
        <f t="shared" si="23"/>
        <v>44805</v>
      </c>
      <c r="L33" s="73">
        <f t="shared" si="14"/>
        <v>2038</v>
      </c>
      <c r="M33" s="56">
        <f t="shared" si="6"/>
        <v>34292989.427974373</v>
      </c>
      <c r="N33" s="56">
        <f t="shared" si="7"/>
        <v>15074630.72065652</v>
      </c>
      <c r="O33" s="56">
        <f t="shared" si="8"/>
        <v>876000</v>
      </c>
      <c r="P33" s="113">
        <f t="shared" si="25"/>
        <v>56.355730763277279</v>
      </c>
      <c r="Q33" s="166">
        <f t="shared" si="10"/>
        <v>39.147248205450197</v>
      </c>
      <c r="R33" s="166">
        <f t="shared" si="11"/>
        <v>17.208482557827079</v>
      </c>
    </row>
    <row r="34" spans="2:20">
      <c r="B34" s="78">
        <f t="shared" si="3"/>
        <v>44835</v>
      </c>
      <c r="C34" s="75">
        <v>1306224.3506546915</v>
      </c>
      <c r="D34" s="71">
        <f>IF(F34&lt;&gt;0,VLOOKUP($J34,'Table 1'!$B$13:$C$33,2,FALSE)/12*1000*Study_MW,0)</f>
        <v>0</v>
      </c>
      <c r="E34" s="71">
        <f t="shared" si="21"/>
        <v>1306224.3506546915</v>
      </c>
      <c r="F34" s="75">
        <v>74400</v>
      </c>
      <c r="G34" s="76">
        <f t="shared" si="16"/>
        <v>17.556778906649079</v>
      </c>
      <c r="I34" s="77">
        <f t="shared" si="22"/>
        <v>23</v>
      </c>
      <c r="J34" s="73">
        <f t="shared" si="4"/>
        <v>2022</v>
      </c>
      <c r="K34" s="78">
        <f t="shared" si="23"/>
        <v>44835</v>
      </c>
      <c r="L34" s="73">
        <f t="shared" si="14"/>
        <v>2039</v>
      </c>
      <c r="M34" s="56">
        <f t="shared" si="6"/>
        <v>0</v>
      </c>
      <c r="N34" s="56">
        <f t="shared" si="7"/>
        <v>0</v>
      </c>
      <c r="O34" s="56">
        <f t="shared" si="8"/>
        <v>0</v>
      </c>
      <c r="P34" s="113" t="e">
        <f t="shared" si="25"/>
        <v>#DIV/0!</v>
      </c>
      <c r="Q34" s="166" t="e">
        <f t="shared" ref="Q34" si="26">M34/O34</f>
        <v>#DIV/0!</v>
      </c>
      <c r="R34" s="166">
        <f t="shared" ref="R34" si="27">IFERROR(N34/O34,0)</f>
        <v>0</v>
      </c>
    </row>
    <row r="35" spans="2:20">
      <c r="B35" s="78">
        <f t="shared" si="3"/>
        <v>44866</v>
      </c>
      <c r="C35" s="75">
        <v>1292516.3522185832</v>
      </c>
      <c r="D35" s="71">
        <f>IF(F35&lt;&gt;0,VLOOKUP($J35,'Table 1'!$B$13:$C$33,2,FALSE)/12*1000*Study_MW,0)</f>
        <v>0</v>
      </c>
      <c r="E35" s="71">
        <f t="shared" si="21"/>
        <v>1292516.3522185832</v>
      </c>
      <c r="F35" s="75">
        <v>72000</v>
      </c>
      <c r="G35" s="76">
        <f t="shared" si="16"/>
        <v>17.951616003035877</v>
      </c>
      <c r="I35" s="77">
        <f t="shared" si="22"/>
        <v>24</v>
      </c>
      <c r="J35" s="73">
        <f t="shared" si="4"/>
        <v>2022</v>
      </c>
      <c r="K35" s="78">
        <f t="shared" si="23"/>
        <v>44866</v>
      </c>
      <c r="L35" s="73">
        <f t="shared" si="14"/>
        <v>2040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3" t="e">
        <f t="shared" ref="P35" si="28">(M35+N35)/O35</f>
        <v>#DIV/0!</v>
      </c>
      <c r="Q35" s="166" t="e">
        <f t="shared" ref="Q35" si="29">M35/O35</f>
        <v>#DIV/0!</v>
      </c>
      <c r="R35" s="166">
        <f t="shared" ref="R35" si="30">IFERROR(N35/O35,0)</f>
        <v>0</v>
      </c>
    </row>
    <row r="36" spans="2:20">
      <c r="B36" s="82">
        <f t="shared" si="3"/>
        <v>44896</v>
      </c>
      <c r="C36" s="79">
        <v>1530081.7950112373</v>
      </c>
      <c r="D36" s="80">
        <f>IF(F36&lt;&gt;0,VLOOKUP($J36,'Table 1'!$B$13:$C$33,2,FALSE)/12*1000*Study_MW,0)</f>
        <v>0</v>
      </c>
      <c r="E36" s="80">
        <f t="shared" si="21"/>
        <v>1530081.7950112373</v>
      </c>
      <c r="F36" s="79">
        <v>74400</v>
      </c>
      <c r="G36" s="81">
        <f t="shared" si="16"/>
        <v>20.565615524344587</v>
      </c>
      <c r="I36" s="64">
        <f t="shared" si="22"/>
        <v>25</v>
      </c>
      <c r="J36" s="73">
        <f t="shared" si="4"/>
        <v>2022</v>
      </c>
      <c r="K36" s="82">
        <f t="shared" si="23"/>
        <v>44896</v>
      </c>
      <c r="L36" s="73">
        <f t="shared" si="14"/>
        <v>2041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3" t="e">
        <f t="shared" ref="P36" si="31">(M36+N36)/O36</f>
        <v>#DIV/0!</v>
      </c>
      <c r="Q36" s="166" t="e">
        <f t="shared" ref="Q36" si="32">M36/O36</f>
        <v>#DIV/0!</v>
      </c>
      <c r="R36" s="166">
        <f t="shared" ref="R36" si="33">IFERROR(N36/O36,0)</f>
        <v>0</v>
      </c>
    </row>
    <row r="37" spans="2:20" outlineLevel="1">
      <c r="B37" s="74">
        <f t="shared" si="3"/>
        <v>44927</v>
      </c>
      <c r="C37" s="69">
        <v>1454510.8650742471</v>
      </c>
      <c r="D37" s="70">
        <f>IF(F37&lt;&gt;0,VLOOKUP($J37,'Table 1'!$B$13:$C$33,2,FALSE)/12*1000*Study_MW,0)</f>
        <v>0</v>
      </c>
      <c r="E37" s="70">
        <f t="shared" si="21"/>
        <v>1454510.8650742471</v>
      </c>
      <c r="F37" s="69">
        <v>74400</v>
      </c>
      <c r="G37" s="72">
        <f t="shared" si="16"/>
        <v>19.54987721873988</v>
      </c>
      <c r="I37" s="60">
        <f>I25+13</f>
        <v>27</v>
      </c>
      <c r="J37" s="73">
        <f t="shared" si="4"/>
        <v>2023</v>
      </c>
      <c r="K37" s="74">
        <f t="shared" si="23"/>
        <v>44927</v>
      </c>
      <c r="L37" s="73">
        <f t="shared" si="14"/>
        <v>2042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3" t="e">
        <f t="shared" ref="P37" si="34">(M37+N37)/O37</f>
        <v>#DIV/0!</v>
      </c>
      <c r="Q37" s="166" t="e">
        <f t="shared" ref="Q37" si="35">M37/O37</f>
        <v>#DIV/0!</v>
      </c>
      <c r="R37" s="166">
        <f t="shared" ref="R37" si="36">IFERROR(N37/O37,0)</f>
        <v>0</v>
      </c>
    </row>
    <row r="38" spans="2:20" outlineLevel="1">
      <c r="B38" s="78">
        <f t="shared" si="3"/>
        <v>44958</v>
      </c>
      <c r="C38" s="75">
        <v>1326168.1708898693</v>
      </c>
      <c r="D38" s="71">
        <f>IF(F38&lt;&gt;0,VLOOKUP($J38,'Table 1'!$B$13:$C$33,2,FALSE)/12*1000*Study_MW,0)</f>
        <v>0</v>
      </c>
      <c r="E38" s="71">
        <f t="shared" si="21"/>
        <v>1326168.1708898693</v>
      </c>
      <c r="F38" s="75">
        <v>67200</v>
      </c>
      <c r="G38" s="76">
        <f t="shared" si="16"/>
        <v>19.734645400146864</v>
      </c>
      <c r="I38" s="77">
        <f t="shared" si="22"/>
        <v>28</v>
      </c>
      <c r="J38" s="73">
        <f t="shared" si="4"/>
        <v>2023</v>
      </c>
      <c r="K38" s="78">
        <f t="shared" si="23"/>
        <v>44958</v>
      </c>
      <c r="L38" s="73">
        <f t="shared" si="14"/>
        <v>2043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3" t="e">
        <f t="shared" ref="P38:P41" si="37">(M38+N38)/O38</f>
        <v>#DIV/0!</v>
      </c>
      <c r="Q38" s="166" t="e">
        <f t="shared" ref="Q38:Q41" si="38">M38/O38</f>
        <v>#DIV/0!</v>
      </c>
      <c r="R38" s="166">
        <f t="shared" ref="R38:R41" si="39">IFERROR(N38/O38,0)</f>
        <v>0</v>
      </c>
    </row>
    <row r="39" spans="2:20" outlineLevel="1">
      <c r="B39" s="78">
        <f t="shared" si="3"/>
        <v>44986</v>
      </c>
      <c r="C39" s="75">
        <v>1287884.9234384596</v>
      </c>
      <c r="D39" s="71">
        <f>IF(F39&lt;&gt;0,VLOOKUP($J39,'Table 1'!$B$13:$C$33,2,FALSE)/12*1000*Study_MW,0)</f>
        <v>0</v>
      </c>
      <c r="E39" s="71">
        <f t="shared" si="21"/>
        <v>1287884.9234384596</v>
      </c>
      <c r="F39" s="75">
        <v>74400</v>
      </c>
      <c r="G39" s="76">
        <f t="shared" si="16"/>
        <v>17.310281229011554</v>
      </c>
      <c r="I39" s="77">
        <f t="shared" si="22"/>
        <v>29</v>
      </c>
      <c r="J39" s="73">
        <f t="shared" si="4"/>
        <v>2023</v>
      </c>
      <c r="K39" s="78">
        <f t="shared" si="23"/>
        <v>44986</v>
      </c>
      <c r="L39" s="73">
        <f t="shared" si="14"/>
        <v>2044</v>
      </c>
      <c r="M39" s="56">
        <f>SUMIF($J$13:$J$304,L39,$C$13:$C$304)</f>
        <v>0</v>
      </c>
      <c r="N39" s="56">
        <f>SUMIF($J$13:$J$304,L39,$D$13:$D$304)</f>
        <v>0</v>
      </c>
      <c r="O39" s="56">
        <f>SUMIF($J$13:$J$304,L39,$F$13:$F$304)</f>
        <v>0</v>
      </c>
      <c r="P39" s="113" t="e">
        <f t="shared" si="37"/>
        <v>#DIV/0!</v>
      </c>
      <c r="Q39" s="166" t="e">
        <f t="shared" si="38"/>
        <v>#DIV/0!</v>
      </c>
      <c r="R39" s="166">
        <f t="shared" si="39"/>
        <v>0</v>
      </c>
    </row>
    <row r="40" spans="2:20" outlineLevel="1">
      <c r="B40" s="78">
        <f t="shared" si="3"/>
        <v>45017</v>
      </c>
      <c r="C40" s="75">
        <v>1062976.4805234671</v>
      </c>
      <c r="D40" s="71">
        <f>IF(F40&lt;&gt;0,VLOOKUP($J40,'Table 1'!$B$13:$C$33,2,FALSE)/12*1000*Study_MW,0)</f>
        <v>0</v>
      </c>
      <c r="E40" s="71">
        <f t="shared" si="21"/>
        <v>1062976.4805234671</v>
      </c>
      <c r="F40" s="75">
        <v>72000</v>
      </c>
      <c r="G40" s="76">
        <f t="shared" si="16"/>
        <v>14.763562229492598</v>
      </c>
      <c r="I40" s="77">
        <f t="shared" si="22"/>
        <v>30</v>
      </c>
      <c r="J40" s="73">
        <f t="shared" si="4"/>
        <v>2023</v>
      </c>
      <c r="K40" s="78">
        <f t="shared" si="23"/>
        <v>45017</v>
      </c>
      <c r="L40" s="73">
        <f t="shared" si="14"/>
        <v>2045</v>
      </c>
      <c r="M40" s="56">
        <f>SUMIF($J$13:$J$304,L40,$C$13:$C$304)</f>
        <v>0</v>
      </c>
      <c r="N40" s="56">
        <f>SUMIF($J$13:$J$304,L40,$D$13:$D$304)</f>
        <v>0</v>
      </c>
      <c r="O40" s="56">
        <f>SUMIF($J$13:$J$304,L40,$F$13:$F$304)</f>
        <v>0</v>
      </c>
      <c r="P40" s="113" t="e">
        <f t="shared" si="37"/>
        <v>#DIV/0!</v>
      </c>
      <c r="Q40" s="166" t="e">
        <f t="shared" si="38"/>
        <v>#DIV/0!</v>
      </c>
      <c r="R40" s="166">
        <f t="shared" si="39"/>
        <v>0</v>
      </c>
      <c r="S40" s="58"/>
      <c r="T40" s="91"/>
    </row>
    <row r="41" spans="2:20" outlineLevel="1">
      <c r="B41" s="78">
        <f t="shared" si="3"/>
        <v>45047</v>
      </c>
      <c r="C41" s="75">
        <v>1084457.4072392881</v>
      </c>
      <c r="D41" s="71">
        <f>IF(F41&lt;&gt;0,VLOOKUP($J41,'Table 1'!$B$13:$C$33,2,FALSE)/12*1000*Study_MW,0)</f>
        <v>0</v>
      </c>
      <c r="E41" s="71">
        <f t="shared" si="21"/>
        <v>1084457.4072392881</v>
      </c>
      <c r="F41" s="75">
        <v>74400</v>
      </c>
      <c r="G41" s="76">
        <f t="shared" si="16"/>
        <v>14.576040419882904</v>
      </c>
      <c r="I41" s="77">
        <f t="shared" si="22"/>
        <v>31</v>
      </c>
      <c r="J41" s="73">
        <f t="shared" si="4"/>
        <v>2023</v>
      </c>
      <c r="K41" s="78">
        <f t="shared" si="23"/>
        <v>45047</v>
      </c>
      <c r="L41" s="73">
        <f t="shared" si="14"/>
        <v>2046</v>
      </c>
      <c r="M41" s="56">
        <f>SUMIF($J$13:$J$304,L41,$C$13:$C$304)</f>
        <v>0</v>
      </c>
      <c r="N41" s="56">
        <f>SUMIF($J$13:$J$304,L41,$D$13:$D$304)</f>
        <v>0</v>
      </c>
      <c r="O41" s="56">
        <f>SUMIF($J$13:$J$304,L41,$F$13:$F$304)</f>
        <v>0</v>
      </c>
      <c r="P41" s="113" t="e">
        <f t="shared" si="37"/>
        <v>#DIV/0!</v>
      </c>
      <c r="Q41" s="166" t="e">
        <f t="shared" si="38"/>
        <v>#DIV/0!</v>
      </c>
      <c r="R41" s="166">
        <f t="shared" si="39"/>
        <v>0</v>
      </c>
      <c r="S41" s="58"/>
      <c r="T41" s="91"/>
    </row>
    <row r="42" spans="2:20" outlineLevel="1">
      <c r="B42" s="78">
        <f t="shared" si="3"/>
        <v>45078</v>
      </c>
      <c r="C42" s="75">
        <v>1139699.8945462257</v>
      </c>
      <c r="D42" s="71">
        <f>IF(F42&lt;&gt;0,VLOOKUP($J42,'Table 1'!$B$13:$C$33,2,FALSE)/12*1000*Study_MW,0)</f>
        <v>0</v>
      </c>
      <c r="E42" s="71">
        <f t="shared" si="21"/>
        <v>1139699.8945462257</v>
      </c>
      <c r="F42" s="75">
        <v>72000</v>
      </c>
      <c r="G42" s="76">
        <f t="shared" si="16"/>
        <v>15.829165202030913</v>
      </c>
      <c r="I42" s="77">
        <f t="shared" si="22"/>
        <v>32</v>
      </c>
      <c r="J42" s="73">
        <f t="shared" si="4"/>
        <v>2023</v>
      </c>
      <c r="K42" s="78">
        <f t="shared" si="23"/>
        <v>45078</v>
      </c>
      <c r="L42" s="73">
        <f t="shared" si="14"/>
        <v>2047</v>
      </c>
      <c r="P42" s="113"/>
      <c r="Q42" s="166"/>
      <c r="R42" s="166"/>
    </row>
    <row r="43" spans="2:20" outlineLevel="1">
      <c r="B43" s="78">
        <f t="shared" si="3"/>
        <v>45108</v>
      </c>
      <c r="C43" s="75">
        <v>2587832.3575783074</v>
      </c>
      <c r="D43" s="71">
        <f>IF(F43&lt;&gt;0,VLOOKUP($J43,'Table 1'!$B$13:$C$33,2,FALSE)/12*1000*Study_MW,0)</f>
        <v>0</v>
      </c>
      <c r="E43" s="71">
        <f t="shared" si="21"/>
        <v>2587832.3575783074</v>
      </c>
      <c r="F43" s="75">
        <v>74400</v>
      </c>
      <c r="G43" s="76">
        <f t="shared" si="16"/>
        <v>34.782692978203059</v>
      </c>
      <c r="I43" s="77">
        <f t="shared" si="22"/>
        <v>33</v>
      </c>
      <c r="J43" s="73">
        <f t="shared" si="4"/>
        <v>2023</v>
      </c>
      <c r="K43" s="78">
        <f t="shared" si="23"/>
        <v>45108</v>
      </c>
    </row>
    <row r="44" spans="2:20" outlineLevel="1">
      <c r="B44" s="78">
        <f t="shared" si="3"/>
        <v>45139</v>
      </c>
      <c r="C44" s="75">
        <v>2042309.4133746922</v>
      </c>
      <c r="D44" s="71">
        <f>IF(F44&lt;&gt;0,VLOOKUP($J44,'Table 1'!$B$13:$C$33,2,FALSE)/12*1000*Study_MW,0)</f>
        <v>0</v>
      </c>
      <c r="E44" s="71">
        <f t="shared" si="21"/>
        <v>2042309.4133746922</v>
      </c>
      <c r="F44" s="75">
        <v>74400</v>
      </c>
      <c r="G44" s="76">
        <f t="shared" si="16"/>
        <v>27.450395341057693</v>
      </c>
      <c r="I44" s="77">
        <f t="shared" si="22"/>
        <v>34</v>
      </c>
      <c r="J44" s="73">
        <f t="shared" si="4"/>
        <v>2023</v>
      </c>
      <c r="K44" s="78">
        <f t="shared" si="23"/>
        <v>45139</v>
      </c>
    </row>
    <row r="45" spans="2:20" outlineLevel="1">
      <c r="B45" s="78">
        <f t="shared" si="3"/>
        <v>45170</v>
      </c>
      <c r="C45" s="75">
        <v>1521628.9989293218</v>
      </c>
      <c r="D45" s="71">
        <f>IF(F45&lt;&gt;0,VLOOKUP($J45,'Table 1'!$B$13:$C$33,2,FALSE)/12*1000*Study_MW,0)</f>
        <v>0</v>
      </c>
      <c r="E45" s="71">
        <f t="shared" si="21"/>
        <v>1521628.9989293218</v>
      </c>
      <c r="F45" s="75">
        <v>72000</v>
      </c>
      <c r="G45" s="76">
        <f t="shared" si="16"/>
        <v>21.133736096240579</v>
      </c>
      <c r="I45" s="77">
        <f t="shared" si="22"/>
        <v>35</v>
      </c>
      <c r="J45" s="73">
        <f t="shared" si="4"/>
        <v>2023</v>
      </c>
      <c r="K45" s="78">
        <f t="shared" si="23"/>
        <v>45170</v>
      </c>
    </row>
    <row r="46" spans="2:20" outlineLevel="1">
      <c r="B46" s="78">
        <f t="shared" si="3"/>
        <v>45200</v>
      </c>
      <c r="C46" s="75">
        <v>1283568.5288240165</v>
      </c>
      <c r="D46" s="71">
        <f>IF(F46&lt;&gt;0,VLOOKUP($J46,'Table 1'!$B$13:$C$33,2,FALSE)/12*1000*Study_MW,0)</f>
        <v>0</v>
      </c>
      <c r="E46" s="71">
        <f t="shared" si="21"/>
        <v>1283568.5288240165</v>
      </c>
      <c r="F46" s="75">
        <v>74400</v>
      </c>
      <c r="G46" s="76">
        <f t="shared" si="16"/>
        <v>17.252265172365814</v>
      </c>
      <c r="I46" s="77">
        <f t="shared" si="22"/>
        <v>36</v>
      </c>
      <c r="J46" s="73">
        <f t="shared" si="4"/>
        <v>2023</v>
      </c>
      <c r="K46" s="78">
        <f t="shared" si="23"/>
        <v>45200</v>
      </c>
    </row>
    <row r="47" spans="2:20" outlineLevel="1">
      <c r="B47" s="78">
        <f t="shared" si="3"/>
        <v>45231</v>
      </c>
      <c r="C47" s="75">
        <v>1336143.1279163808</v>
      </c>
      <c r="D47" s="71">
        <f>IF(F47&lt;&gt;0,VLOOKUP($J47,'Table 1'!$B$13:$C$33,2,FALSE)/12*1000*Study_MW,0)</f>
        <v>0</v>
      </c>
      <c r="E47" s="71">
        <f t="shared" si="21"/>
        <v>1336143.1279163808</v>
      </c>
      <c r="F47" s="75">
        <v>72000</v>
      </c>
      <c r="G47" s="76">
        <f t="shared" si="16"/>
        <v>18.557543443283066</v>
      </c>
      <c r="I47" s="77">
        <f t="shared" si="22"/>
        <v>37</v>
      </c>
      <c r="J47" s="73">
        <f t="shared" si="4"/>
        <v>2023</v>
      </c>
      <c r="K47" s="78">
        <f t="shared" si="23"/>
        <v>45231</v>
      </c>
    </row>
    <row r="48" spans="2:20" outlineLevel="1">
      <c r="B48" s="82">
        <f t="shared" si="3"/>
        <v>45261</v>
      </c>
      <c r="C48" s="79">
        <v>1520097.7342712432</v>
      </c>
      <c r="D48" s="80">
        <f>IF(F48&lt;&gt;0,VLOOKUP($J48,'Table 1'!$B$13:$C$33,2,FALSE)/12*1000*Study_MW,0)</f>
        <v>0</v>
      </c>
      <c r="E48" s="80">
        <f t="shared" si="21"/>
        <v>1520097.7342712432</v>
      </c>
      <c r="F48" s="79">
        <v>74400</v>
      </c>
      <c r="G48" s="81">
        <f t="shared" si="16"/>
        <v>20.431421159559722</v>
      </c>
      <c r="I48" s="64">
        <f t="shared" si="22"/>
        <v>38</v>
      </c>
      <c r="J48" s="73">
        <f t="shared" si="4"/>
        <v>2023</v>
      </c>
      <c r="K48" s="82">
        <f t="shared" si="23"/>
        <v>45261</v>
      </c>
    </row>
    <row r="49" spans="2:11" outlineLevel="1">
      <c r="B49" s="74">
        <f t="shared" si="3"/>
        <v>45292</v>
      </c>
      <c r="C49" s="69">
        <v>1438373.2608787119</v>
      </c>
      <c r="D49" s="70">
        <f>IF(F49&lt;&gt;0,VLOOKUP($J49,'Table 1'!$B$13:$C$33,2,FALSE)/12*1000*Study_MW,0)</f>
        <v>0</v>
      </c>
      <c r="E49" s="70">
        <f t="shared" si="21"/>
        <v>1438373.2608787119</v>
      </c>
      <c r="F49" s="69">
        <v>74400</v>
      </c>
      <c r="G49" s="72">
        <f t="shared" si="16"/>
        <v>19.332973936541826</v>
      </c>
      <c r="I49" s="60">
        <f>I37+13</f>
        <v>40</v>
      </c>
      <c r="J49" s="73">
        <f t="shared" si="4"/>
        <v>2024</v>
      </c>
      <c r="K49" s="74">
        <f t="shared" si="23"/>
        <v>45292</v>
      </c>
    </row>
    <row r="50" spans="2:11" outlineLevel="1">
      <c r="B50" s="78">
        <f t="shared" si="3"/>
        <v>45323</v>
      </c>
      <c r="C50" s="75">
        <v>1041474.1771374792</v>
      </c>
      <c r="D50" s="71">
        <f>IF(F50&lt;&gt;0,VLOOKUP($J50,'Table 1'!$B$13:$C$33,2,FALSE)/12*1000*Study_MW,0)</f>
        <v>0</v>
      </c>
      <c r="E50" s="71">
        <f t="shared" si="21"/>
        <v>1041474.1771374792</v>
      </c>
      <c r="F50" s="75">
        <v>69600</v>
      </c>
      <c r="G50" s="76">
        <f t="shared" si="16"/>
        <v>14.963709441630447</v>
      </c>
      <c r="I50" s="77">
        <f t="shared" si="22"/>
        <v>41</v>
      </c>
      <c r="J50" s="73">
        <f t="shared" si="4"/>
        <v>2024</v>
      </c>
      <c r="K50" s="78">
        <f t="shared" si="23"/>
        <v>45323</v>
      </c>
    </row>
    <row r="51" spans="2:11" outlineLevel="1">
      <c r="B51" s="78">
        <f t="shared" si="3"/>
        <v>45352</v>
      </c>
      <c r="C51" s="75">
        <v>784842.16063725948</v>
      </c>
      <c r="D51" s="71">
        <f>IF(F51&lt;&gt;0,VLOOKUP($J51,'Table 1'!$B$13:$C$33,2,FALSE)/12*1000*Study_MW,0)</f>
        <v>0</v>
      </c>
      <c r="E51" s="71">
        <f t="shared" si="21"/>
        <v>784842.16063725948</v>
      </c>
      <c r="F51" s="75">
        <v>74400</v>
      </c>
      <c r="G51" s="76">
        <f t="shared" si="16"/>
        <v>10.548953772006175</v>
      </c>
      <c r="I51" s="77">
        <f t="shared" si="22"/>
        <v>42</v>
      </c>
      <c r="J51" s="73">
        <f t="shared" si="4"/>
        <v>2024</v>
      </c>
      <c r="K51" s="78">
        <f t="shared" si="23"/>
        <v>45352</v>
      </c>
    </row>
    <row r="52" spans="2:11" outlineLevel="1">
      <c r="B52" s="78">
        <f t="shared" si="3"/>
        <v>45383</v>
      </c>
      <c r="C52" s="75">
        <v>718145.13681034744</v>
      </c>
      <c r="D52" s="71">
        <f>IF(F52&lt;&gt;0,VLOOKUP($J52,'Table 1'!$B$13:$C$33,2,FALSE)/12*1000*Study_MW,0)</f>
        <v>0</v>
      </c>
      <c r="E52" s="71">
        <f t="shared" si="21"/>
        <v>718145.13681034744</v>
      </c>
      <c r="F52" s="75">
        <v>72000</v>
      </c>
      <c r="G52" s="76">
        <f t="shared" si="16"/>
        <v>9.9742380112548261</v>
      </c>
      <c r="I52" s="77">
        <f t="shared" si="22"/>
        <v>43</v>
      </c>
      <c r="J52" s="73">
        <f t="shared" si="4"/>
        <v>2024</v>
      </c>
      <c r="K52" s="78">
        <f t="shared" si="23"/>
        <v>45383</v>
      </c>
    </row>
    <row r="53" spans="2:11" outlineLevel="1">
      <c r="B53" s="78">
        <f t="shared" si="3"/>
        <v>45413</v>
      </c>
      <c r="C53" s="75">
        <v>833000.42663598061</v>
      </c>
      <c r="D53" s="71">
        <f>IF(F53&lt;&gt;0,VLOOKUP($J53,'Table 1'!$B$13:$C$33,2,FALSE)/12*1000*Study_MW,0)</f>
        <v>0</v>
      </c>
      <c r="E53" s="71">
        <f t="shared" si="21"/>
        <v>833000.42663598061</v>
      </c>
      <c r="F53" s="75">
        <v>74400</v>
      </c>
      <c r="G53" s="76">
        <f t="shared" si="16"/>
        <v>11.196242293494363</v>
      </c>
      <c r="I53" s="77">
        <f t="shared" si="22"/>
        <v>44</v>
      </c>
      <c r="J53" s="73">
        <f t="shared" si="4"/>
        <v>2024</v>
      </c>
      <c r="K53" s="78">
        <f t="shared" si="23"/>
        <v>45413</v>
      </c>
    </row>
    <row r="54" spans="2:11" outlineLevel="1">
      <c r="B54" s="78">
        <f t="shared" si="3"/>
        <v>45444</v>
      </c>
      <c r="C54" s="75">
        <v>933450.05893090367</v>
      </c>
      <c r="D54" s="71">
        <f>IF(F54&lt;&gt;0,VLOOKUP($J54,'Table 1'!$B$13:$C$33,2,FALSE)/12*1000*Study_MW,0)</f>
        <v>0</v>
      </c>
      <c r="E54" s="71">
        <f t="shared" si="21"/>
        <v>933450.05893090367</v>
      </c>
      <c r="F54" s="75">
        <v>72000</v>
      </c>
      <c r="G54" s="76">
        <f t="shared" si="16"/>
        <v>12.964584151818107</v>
      </c>
      <c r="I54" s="77">
        <f t="shared" si="22"/>
        <v>45</v>
      </c>
      <c r="J54" s="73">
        <f t="shared" si="4"/>
        <v>2024</v>
      </c>
      <c r="K54" s="78">
        <f t="shared" si="23"/>
        <v>45444</v>
      </c>
    </row>
    <row r="55" spans="2:11" outlineLevel="1">
      <c r="B55" s="78">
        <f t="shared" si="3"/>
        <v>45474</v>
      </c>
      <c r="C55" s="75">
        <v>3286980.4975973219</v>
      </c>
      <c r="D55" s="71">
        <f>IF(F55&lt;&gt;0,VLOOKUP($J55,'Table 1'!$B$13:$C$33,2,FALSE)/12*1000*Study_MW,0)</f>
        <v>0</v>
      </c>
      <c r="E55" s="71">
        <f t="shared" si="21"/>
        <v>3286980.4975973219</v>
      </c>
      <c r="F55" s="75">
        <v>74400</v>
      </c>
      <c r="G55" s="76">
        <f t="shared" si="16"/>
        <v>44.179845397813466</v>
      </c>
      <c r="I55" s="77">
        <f t="shared" si="22"/>
        <v>46</v>
      </c>
      <c r="J55" s="73">
        <f t="shared" si="4"/>
        <v>2024</v>
      </c>
      <c r="K55" s="78">
        <f t="shared" si="23"/>
        <v>45474</v>
      </c>
    </row>
    <row r="56" spans="2:11" outlineLevel="1">
      <c r="B56" s="78">
        <f t="shared" si="3"/>
        <v>45505</v>
      </c>
      <c r="C56" s="75">
        <v>1903519.1526174694</v>
      </c>
      <c r="D56" s="71">
        <f>IF(F56&lt;&gt;0,VLOOKUP($J56,'Table 1'!$B$13:$C$33,2,FALSE)/12*1000*Study_MW,0)</f>
        <v>0</v>
      </c>
      <c r="E56" s="71">
        <f t="shared" si="21"/>
        <v>1903519.1526174694</v>
      </c>
      <c r="F56" s="75">
        <v>74400</v>
      </c>
      <c r="G56" s="76">
        <f t="shared" si="16"/>
        <v>25.584934847008999</v>
      </c>
      <c r="I56" s="77">
        <f t="shared" si="22"/>
        <v>47</v>
      </c>
      <c r="J56" s="73">
        <f t="shared" si="4"/>
        <v>2024</v>
      </c>
      <c r="K56" s="78">
        <f t="shared" si="23"/>
        <v>45505</v>
      </c>
    </row>
    <row r="57" spans="2:11" outlineLevel="1">
      <c r="B57" s="78">
        <f t="shared" si="3"/>
        <v>45536</v>
      </c>
      <c r="C57" s="75">
        <v>1115784.8949969113</v>
      </c>
      <c r="D57" s="71">
        <f>IF(F57&lt;&gt;0,VLOOKUP($J57,'Table 1'!$B$13:$C$33,2,FALSE)/12*1000*Study_MW,0)</f>
        <v>0</v>
      </c>
      <c r="E57" s="71">
        <f t="shared" si="21"/>
        <v>1115784.8949969113</v>
      </c>
      <c r="F57" s="75">
        <v>72000</v>
      </c>
      <c r="G57" s="76">
        <f t="shared" si="16"/>
        <v>15.497012430512656</v>
      </c>
      <c r="I57" s="77">
        <f t="shared" si="22"/>
        <v>48</v>
      </c>
      <c r="J57" s="73">
        <f t="shared" si="4"/>
        <v>2024</v>
      </c>
      <c r="K57" s="78">
        <f t="shared" si="23"/>
        <v>45536</v>
      </c>
    </row>
    <row r="58" spans="2:11" outlineLevel="1">
      <c r="B58" s="78">
        <f t="shared" si="3"/>
        <v>45566</v>
      </c>
      <c r="C58" s="75">
        <v>905888.20149293542</v>
      </c>
      <c r="D58" s="71">
        <f>IF(F58&lt;&gt;0,VLOOKUP($J58,'Table 1'!$B$13:$C$33,2,FALSE)/12*1000*Study_MW,0)</f>
        <v>0</v>
      </c>
      <c r="E58" s="71">
        <f t="shared" si="21"/>
        <v>905888.20149293542</v>
      </c>
      <c r="F58" s="75">
        <v>74400</v>
      </c>
      <c r="G58" s="76">
        <f t="shared" si="16"/>
        <v>12.175916686733004</v>
      </c>
      <c r="I58" s="77">
        <f t="shared" si="22"/>
        <v>49</v>
      </c>
      <c r="J58" s="73">
        <f t="shared" si="4"/>
        <v>2024</v>
      </c>
      <c r="K58" s="78">
        <f t="shared" si="23"/>
        <v>45566</v>
      </c>
    </row>
    <row r="59" spans="2:11" outlineLevel="1">
      <c r="B59" s="78">
        <f t="shared" si="3"/>
        <v>45597</v>
      </c>
      <c r="C59" s="75">
        <v>966316.20030277967</v>
      </c>
      <c r="D59" s="71">
        <f>IF(F59&lt;&gt;0,VLOOKUP($J59,'Table 1'!$B$13:$C$33,2,FALSE)/12*1000*Study_MW,0)</f>
        <v>0</v>
      </c>
      <c r="E59" s="71">
        <f t="shared" si="21"/>
        <v>966316.20030277967</v>
      </c>
      <c r="F59" s="75">
        <v>72000</v>
      </c>
      <c r="G59" s="76">
        <f t="shared" si="16"/>
        <v>13.421058337538607</v>
      </c>
      <c r="I59" s="77">
        <f t="shared" si="22"/>
        <v>50</v>
      </c>
      <c r="J59" s="73">
        <f t="shared" si="4"/>
        <v>2024</v>
      </c>
      <c r="K59" s="78">
        <f t="shared" si="23"/>
        <v>45597</v>
      </c>
    </row>
    <row r="60" spans="2:11" outlineLevel="1">
      <c r="B60" s="82">
        <f t="shared" si="3"/>
        <v>45627</v>
      </c>
      <c r="C60" s="79">
        <v>1244933.7743821889</v>
      </c>
      <c r="D60" s="80">
        <f>IF(F60&lt;&gt;0,VLOOKUP($J60,'Table 1'!$B$13:$C$33,2,FALSE)/12*1000*Study_MW,0)</f>
        <v>0</v>
      </c>
      <c r="E60" s="80">
        <f t="shared" si="21"/>
        <v>1244933.7743821889</v>
      </c>
      <c r="F60" s="79">
        <v>74400</v>
      </c>
      <c r="G60" s="81">
        <f t="shared" si="16"/>
        <v>16.732980838470279</v>
      </c>
      <c r="I60" s="64">
        <f t="shared" si="22"/>
        <v>51</v>
      </c>
      <c r="J60" s="73">
        <f t="shared" si="4"/>
        <v>2024</v>
      </c>
      <c r="K60" s="82">
        <f t="shared" si="23"/>
        <v>45627</v>
      </c>
    </row>
    <row r="61" spans="2:11" outlineLevel="1">
      <c r="B61" s="74">
        <f t="shared" si="3"/>
        <v>45658</v>
      </c>
      <c r="C61" s="69">
        <v>1682414.5303990841</v>
      </c>
      <c r="D61" s="70">
        <f>IF(F61&lt;&gt;0,VLOOKUP($J61,'Table 1'!$B$13:$C$33,2,FALSE)/12*1000*Study_MW,0)</f>
        <v>0</v>
      </c>
      <c r="E61" s="70">
        <f t="shared" si="21"/>
        <v>1682414.5303990841</v>
      </c>
      <c r="F61" s="69">
        <v>74400</v>
      </c>
      <c r="G61" s="72">
        <f t="shared" si="16"/>
        <v>22.613098526869411</v>
      </c>
      <c r="I61" s="60">
        <f>I49+13</f>
        <v>53</v>
      </c>
      <c r="J61" s="73">
        <f t="shared" si="4"/>
        <v>2025</v>
      </c>
      <c r="K61" s="74">
        <f t="shared" si="23"/>
        <v>45658</v>
      </c>
    </row>
    <row r="62" spans="2:11" outlineLevel="1">
      <c r="B62" s="78">
        <f t="shared" si="3"/>
        <v>45689</v>
      </c>
      <c r="C62" s="75">
        <v>1130271.4487145841</v>
      </c>
      <c r="D62" s="71">
        <f>IF(F62&lt;&gt;0,VLOOKUP($J62,'Table 1'!$B$13:$C$33,2,FALSE)/12*1000*Study_MW,0)</f>
        <v>0</v>
      </c>
      <c r="E62" s="71">
        <f t="shared" si="21"/>
        <v>1130271.4487145841</v>
      </c>
      <c r="F62" s="75">
        <v>67200</v>
      </c>
      <c r="G62" s="76">
        <f t="shared" si="16"/>
        <v>16.819515605871786</v>
      </c>
      <c r="I62" s="77">
        <f t="shared" si="22"/>
        <v>54</v>
      </c>
      <c r="J62" s="73">
        <f t="shared" si="4"/>
        <v>2025</v>
      </c>
      <c r="K62" s="78">
        <f t="shared" si="23"/>
        <v>45689</v>
      </c>
    </row>
    <row r="63" spans="2:11" outlineLevel="1">
      <c r="B63" s="78">
        <f t="shared" si="3"/>
        <v>45717</v>
      </c>
      <c r="C63" s="75">
        <v>1015923.6062776893</v>
      </c>
      <c r="D63" s="71">
        <f>IF(F63&lt;&gt;0,VLOOKUP($J63,'Table 1'!$B$13:$C$33,2,FALSE)/12*1000*Study_MW,0)</f>
        <v>0</v>
      </c>
      <c r="E63" s="71">
        <f t="shared" si="21"/>
        <v>1015923.6062776893</v>
      </c>
      <c r="F63" s="75">
        <v>74400</v>
      </c>
      <c r="G63" s="76">
        <f t="shared" si="16"/>
        <v>13.654887181151738</v>
      </c>
      <c r="I63" s="77">
        <f t="shared" si="22"/>
        <v>55</v>
      </c>
      <c r="J63" s="73">
        <f t="shared" si="4"/>
        <v>2025</v>
      </c>
      <c r="K63" s="78">
        <f t="shared" si="23"/>
        <v>45717</v>
      </c>
    </row>
    <row r="64" spans="2:11" outlineLevel="1">
      <c r="B64" s="78">
        <f t="shared" si="3"/>
        <v>45748</v>
      </c>
      <c r="C64" s="75">
        <v>902472.23138307035</v>
      </c>
      <c r="D64" s="71">
        <f>IF(F64&lt;&gt;0,VLOOKUP($J64,'Table 1'!$B$13:$C$33,2,FALSE)/12*1000*Study_MW,0)</f>
        <v>0</v>
      </c>
      <c r="E64" s="71">
        <f t="shared" si="21"/>
        <v>902472.23138307035</v>
      </c>
      <c r="F64" s="75">
        <v>72000</v>
      </c>
      <c r="G64" s="76">
        <f t="shared" si="16"/>
        <v>12.534336546987088</v>
      </c>
      <c r="I64" s="77">
        <f t="shared" si="22"/>
        <v>56</v>
      </c>
      <c r="J64" s="73">
        <f t="shared" si="4"/>
        <v>2025</v>
      </c>
      <c r="K64" s="78">
        <f t="shared" si="23"/>
        <v>45748</v>
      </c>
    </row>
    <row r="65" spans="2:11" outlineLevel="1">
      <c r="B65" s="78">
        <f t="shared" si="3"/>
        <v>45778</v>
      </c>
      <c r="C65" s="75">
        <v>951005.17196390033</v>
      </c>
      <c r="D65" s="71">
        <f>IF(F65&lt;&gt;0,VLOOKUP($J65,'Table 1'!$B$13:$C$33,2,FALSE)/12*1000*Study_MW,0)</f>
        <v>0</v>
      </c>
      <c r="E65" s="71">
        <f t="shared" si="21"/>
        <v>951005.17196390033</v>
      </c>
      <c r="F65" s="75">
        <v>74400</v>
      </c>
      <c r="G65" s="76">
        <f t="shared" si="16"/>
        <v>12.782327580159951</v>
      </c>
      <c r="I65" s="77">
        <f t="shared" si="22"/>
        <v>57</v>
      </c>
      <c r="J65" s="73">
        <f t="shared" si="4"/>
        <v>2025</v>
      </c>
      <c r="K65" s="78">
        <f t="shared" si="23"/>
        <v>45778</v>
      </c>
    </row>
    <row r="66" spans="2:11" outlineLevel="1">
      <c r="B66" s="78">
        <f t="shared" si="3"/>
        <v>45809</v>
      </c>
      <c r="C66" s="75">
        <v>1131210.8613116443</v>
      </c>
      <c r="D66" s="71">
        <f>IF(F66&lt;&gt;0,VLOOKUP($J66,'Table 1'!$B$13:$C$33,2,FALSE)/12*1000*Study_MW,0)</f>
        <v>0</v>
      </c>
      <c r="E66" s="71">
        <f t="shared" si="21"/>
        <v>1131210.8613116443</v>
      </c>
      <c r="F66" s="75">
        <v>72000</v>
      </c>
      <c r="G66" s="76">
        <f t="shared" si="16"/>
        <v>15.711261962661727</v>
      </c>
      <c r="I66" s="77">
        <f t="shared" si="22"/>
        <v>58</v>
      </c>
      <c r="J66" s="73">
        <f t="shared" si="4"/>
        <v>2025</v>
      </c>
      <c r="K66" s="78">
        <f t="shared" si="23"/>
        <v>45809</v>
      </c>
    </row>
    <row r="67" spans="2:11" outlineLevel="1">
      <c r="B67" s="78">
        <f t="shared" si="3"/>
        <v>45839</v>
      </c>
      <c r="C67" s="75">
        <v>3930024.1072396934</v>
      </c>
      <c r="D67" s="71">
        <f>IF(F67&lt;&gt;0,VLOOKUP($J67,'Table 1'!$B$13:$C$33,2,FALSE)/12*1000*Study_MW,0)</f>
        <v>0</v>
      </c>
      <c r="E67" s="71">
        <f t="shared" si="21"/>
        <v>3930024.1072396934</v>
      </c>
      <c r="F67" s="75">
        <v>74400</v>
      </c>
      <c r="G67" s="76">
        <f t="shared" si="16"/>
        <v>52.822904667200177</v>
      </c>
      <c r="I67" s="77">
        <f t="shared" si="22"/>
        <v>59</v>
      </c>
      <c r="J67" s="73">
        <f t="shared" si="4"/>
        <v>2025</v>
      </c>
      <c r="K67" s="78">
        <f t="shared" si="23"/>
        <v>45839</v>
      </c>
    </row>
    <row r="68" spans="2:11" outlineLevel="1">
      <c r="B68" s="78">
        <f t="shared" si="3"/>
        <v>45870</v>
      </c>
      <c r="C68" s="75">
        <v>2370830.9230859131</v>
      </c>
      <c r="D68" s="71">
        <f>IF(F68&lt;&gt;0,VLOOKUP($J68,'Table 1'!$B$13:$C$33,2,FALSE)/12*1000*Study_MW,0)</f>
        <v>0</v>
      </c>
      <c r="E68" s="71">
        <f t="shared" si="21"/>
        <v>2370830.9230859131</v>
      </c>
      <c r="F68" s="75">
        <v>74400</v>
      </c>
      <c r="G68" s="76">
        <f t="shared" si="16"/>
        <v>31.866007030724639</v>
      </c>
      <c r="I68" s="77">
        <f t="shared" si="22"/>
        <v>60</v>
      </c>
      <c r="J68" s="73">
        <f t="shared" si="4"/>
        <v>2025</v>
      </c>
      <c r="K68" s="78">
        <f t="shared" si="23"/>
        <v>45870</v>
      </c>
    </row>
    <row r="69" spans="2:11" outlineLevel="1">
      <c r="B69" s="78">
        <f t="shared" si="3"/>
        <v>45901</v>
      </c>
      <c r="C69" s="75">
        <v>1226989.8626940548</v>
      </c>
      <c r="D69" s="71">
        <f>IF(F69&lt;&gt;0,VLOOKUP($J69,'Table 1'!$B$13:$C$33,2,FALSE)/12*1000*Study_MW,0)</f>
        <v>0</v>
      </c>
      <c r="E69" s="71">
        <f t="shared" si="21"/>
        <v>1226989.8626940548</v>
      </c>
      <c r="F69" s="75">
        <v>72000</v>
      </c>
      <c r="G69" s="76">
        <f t="shared" si="16"/>
        <v>17.04152587075076</v>
      </c>
      <c r="I69" s="77">
        <f t="shared" si="22"/>
        <v>61</v>
      </c>
      <c r="J69" s="73">
        <f t="shared" si="4"/>
        <v>2025</v>
      </c>
      <c r="K69" s="78">
        <f t="shared" si="23"/>
        <v>45901</v>
      </c>
    </row>
    <row r="70" spans="2:11" outlineLevel="1">
      <c r="B70" s="78">
        <f t="shared" si="3"/>
        <v>45931</v>
      </c>
      <c r="C70" s="75">
        <v>1040571.7570082098</v>
      </c>
      <c r="D70" s="71">
        <f>IF(F70&lt;&gt;0,VLOOKUP($J70,'Table 1'!$B$13:$C$33,2,FALSE)/12*1000*Study_MW,0)</f>
        <v>0</v>
      </c>
      <c r="E70" s="71">
        <f t="shared" si="21"/>
        <v>1040571.7570082098</v>
      </c>
      <c r="F70" s="75">
        <v>74400</v>
      </c>
      <c r="G70" s="76">
        <f t="shared" si="16"/>
        <v>13.986179529680239</v>
      </c>
      <c r="I70" s="77">
        <f t="shared" si="22"/>
        <v>62</v>
      </c>
      <c r="J70" s="73">
        <f t="shared" si="4"/>
        <v>2025</v>
      </c>
      <c r="K70" s="78">
        <f t="shared" si="23"/>
        <v>45931</v>
      </c>
    </row>
    <row r="71" spans="2:11" outlineLevel="1">
      <c r="B71" s="78">
        <f t="shared" si="3"/>
        <v>45962</v>
      </c>
      <c r="C71" s="75">
        <v>1108778.5732001215</v>
      </c>
      <c r="D71" s="71">
        <f>IF(F71&lt;&gt;0,VLOOKUP($J71,'Table 1'!$B$13:$C$33,2,FALSE)/12*1000*Study_MW,0)</f>
        <v>0</v>
      </c>
      <c r="E71" s="71">
        <f t="shared" si="21"/>
        <v>1108778.5732001215</v>
      </c>
      <c r="F71" s="75">
        <v>72000</v>
      </c>
      <c r="G71" s="76">
        <f t="shared" si="16"/>
        <v>15.399702405557244</v>
      </c>
      <c r="I71" s="77">
        <f t="shared" si="22"/>
        <v>63</v>
      </c>
      <c r="J71" s="73">
        <f t="shared" si="4"/>
        <v>2025</v>
      </c>
      <c r="K71" s="78">
        <f t="shared" si="23"/>
        <v>45962</v>
      </c>
    </row>
    <row r="72" spans="2:11" outlineLevel="1">
      <c r="B72" s="82">
        <f t="shared" si="3"/>
        <v>45992</v>
      </c>
      <c r="C72" s="79">
        <v>1417172.8332477361</v>
      </c>
      <c r="D72" s="80">
        <f>IF(F72&lt;&gt;0,VLOOKUP($J72,'Table 1'!$B$13:$C$33,2,FALSE)/12*1000*Study_MW,0)</f>
        <v>0</v>
      </c>
      <c r="E72" s="80">
        <f t="shared" si="21"/>
        <v>1417172.8332477361</v>
      </c>
      <c r="F72" s="79">
        <v>74400</v>
      </c>
      <c r="G72" s="81">
        <f t="shared" si="16"/>
        <v>19.048021952254519</v>
      </c>
      <c r="I72" s="64">
        <f t="shared" si="22"/>
        <v>64</v>
      </c>
      <c r="J72" s="73">
        <f t="shared" si="4"/>
        <v>2025</v>
      </c>
      <c r="K72" s="82">
        <f t="shared" si="23"/>
        <v>45992</v>
      </c>
    </row>
    <row r="73" spans="2:11" outlineLevel="1">
      <c r="B73" s="74">
        <f t="shared" si="3"/>
        <v>46023</v>
      </c>
      <c r="C73" s="69">
        <v>1373267.2959900647</v>
      </c>
      <c r="D73" s="70">
        <f>IF(F73&lt;&gt;0,VLOOKUP($J73,'Table 1'!$B$13:$C$33,2,FALSE)/12*1000*Study_MW,0)</f>
        <v>956247.329526752</v>
      </c>
      <c r="E73" s="70">
        <f t="shared" si="21"/>
        <v>2329514.625516817</v>
      </c>
      <c r="F73" s="69">
        <v>74400</v>
      </c>
      <c r="G73" s="72">
        <f t="shared" si="16"/>
        <v>31.310680450494853</v>
      </c>
      <c r="I73" s="60">
        <f>I61+13</f>
        <v>66</v>
      </c>
      <c r="J73" s="73">
        <f t="shared" si="4"/>
        <v>2026</v>
      </c>
      <c r="K73" s="74">
        <f t="shared" si="23"/>
        <v>46023</v>
      </c>
    </row>
    <row r="74" spans="2:11" outlineLevel="1">
      <c r="B74" s="78">
        <f t="shared" si="3"/>
        <v>46054</v>
      </c>
      <c r="C74" s="75">
        <v>1280662.6708540469</v>
      </c>
      <c r="D74" s="71">
        <f>IF(F74&lt;&gt;0,VLOOKUP($J74,'Table 1'!$B$13:$C$33,2,FALSE)/12*1000*Study_MW,0)</f>
        <v>956247.329526752</v>
      </c>
      <c r="E74" s="71">
        <f t="shared" si="21"/>
        <v>2236910.0003807992</v>
      </c>
      <c r="F74" s="75">
        <v>67200</v>
      </c>
      <c r="G74" s="76">
        <f t="shared" si="16"/>
        <v>33.287351196142843</v>
      </c>
      <c r="I74" s="77">
        <f t="shared" si="22"/>
        <v>67</v>
      </c>
      <c r="J74" s="73">
        <f t="shared" si="4"/>
        <v>2026</v>
      </c>
      <c r="K74" s="78">
        <f t="shared" si="23"/>
        <v>46054</v>
      </c>
    </row>
    <row r="75" spans="2:11" outlineLevel="1">
      <c r="B75" s="78">
        <f t="shared" si="3"/>
        <v>46082</v>
      </c>
      <c r="C75" s="75">
        <v>1144583.7848567367</v>
      </c>
      <c r="D75" s="71">
        <f>IF(F75&lt;&gt;0,VLOOKUP($J75,'Table 1'!$B$13:$C$33,2,FALSE)/12*1000*Study_MW,0)</f>
        <v>956247.329526752</v>
      </c>
      <c r="E75" s="71">
        <f t="shared" si="21"/>
        <v>2100831.1143834889</v>
      </c>
      <c r="F75" s="75">
        <v>74400</v>
      </c>
      <c r="G75" s="76">
        <f t="shared" si="16"/>
        <v>28.236977343864098</v>
      </c>
      <c r="I75" s="77">
        <f t="shared" si="22"/>
        <v>68</v>
      </c>
      <c r="J75" s="73">
        <f t="shared" si="4"/>
        <v>2026</v>
      </c>
      <c r="K75" s="78">
        <f t="shared" si="23"/>
        <v>46082</v>
      </c>
    </row>
    <row r="76" spans="2:11" outlineLevel="1">
      <c r="B76" s="78">
        <f t="shared" si="3"/>
        <v>46113</v>
      </c>
      <c r="C76" s="75">
        <v>895391.7470907867</v>
      </c>
      <c r="D76" s="71">
        <f>IF(F76&lt;&gt;0,VLOOKUP($J76,'Table 1'!$B$13:$C$33,2,FALSE)/12*1000*Study_MW,0)</f>
        <v>956247.329526752</v>
      </c>
      <c r="E76" s="71">
        <f t="shared" si="21"/>
        <v>1851639.0766175387</v>
      </c>
      <c r="F76" s="75">
        <v>72000</v>
      </c>
      <c r="G76" s="76">
        <f t="shared" si="16"/>
        <v>25.717209397465815</v>
      </c>
      <c r="I76" s="77">
        <f t="shared" si="22"/>
        <v>69</v>
      </c>
      <c r="J76" s="73">
        <f t="shared" si="4"/>
        <v>2026</v>
      </c>
      <c r="K76" s="78">
        <f t="shared" si="23"/>
        <v>46113</v>
      </c>
    </row>
    <row r="77" spans="2:11" outlineLevel="1">
      <c r="B77" s="78">
        <f t="shared" si="3"/>
        <v>46143</v>
      </c>
      <c r="C77" s="75">
        <v>1061130.4978954345</v>
      </c>
      <c r="D77" s="71">
        <f>IF(F77&lt;&gt;0,VLOOKUP($J77,'Table 1'!$B$13:$C$33,2,FALSE)/12*1000*Study_MW,0)</f>
        <v>956247.329526752</v>
      </c>
      <c r="E77" s="71">
        <f t="shared" si="21"/>
        <v>2017377.8274221865</v>
      </c>
      <c r="F77" s="75">
        <v>74400</v>
      </c>
      <c r="G77" s="76">
        <f t="shared" si="16"/>
        <v>27.115293379330463</v>
      </c>
      <c r="I77" s="77">
        <f t="shared" si="22"/>
        <v>70</v>
      </c>
      <c r="J77" s="73">
        <f t="shared" si="4"/>
        <v>2026</v>
      </c>
      <c r="K77" s="78">
        <f t="shared" si="23"/>
        <v>46143</v>
      </c>
    </row>
    <row r="78" spans="2:11" outlineLevel="1">
      <c r="B78" s="78">
        <f t="shared" ref="B78:B141" si="40">EDATE(B77,1)</f>
        <v>46174</v>
      </c>
      <c r="C78" s="75">
        <v>1713309.1945125312</v>
      </c>
      <c r="D78" s="71">
        <f>IF(F78&lt;&gt;0,VLOOKUP($J78,'Table 1'!$B$13:$C$33,2,FALSE)/12*1000*Study_MW,0)</f>
        <v>956247.329526752</v>
      </c>
      <c r="E78" s="71">
        <f t="shared" ref="E78:E141" si="41">C78+D78</f>
        <v>2669556.5240392834</v>
      </c>
      <c r="F78" s="75">
        <v>72000</v>
      </c>
      <c r="G78" s="76">
        <f t="shared" ref="G78:G141" si="42">IF(ISNUMBER($F78),E78/$F78,"")</f>
        <v>37.077173944990044</v>
      </c>
      <c r="I78" s="77">
        <f t="shared" si="22"/>
        <v>71</v>
      </c>
      <c r="J78" s="73">
        <f t="shared" ref="J78:J141" si="43">YEAR(B78)</f>
        <v>2026</v>
      </c>
      <c r="K78" s="78">
        <f t="shared" si="23"/>
        <v>46174</v>
      </c>
    </row>
    <row r="79" spans="2:11" outlineLevel="1">
      <c r="B79" s="78">
        <f t="shared" si="40"/>
        <v>46204</v>
      </c>
      <c r="C79" s="75">
        <v>2239909.9835474044</v>
      </c>
      <c r="D79" s="71">
        <f>IF(F79&lt;&gt;0,VLOOKUP($J79,'Table 1'!$B$13:$C$33,2,FALSE)/12*1000*Study_MW,0)</f>
        <v>956247.329526752</v>
      </c>
      <c r="E79" s="71">
        <f t="shared" si="41"/>
        <v>3196157.3130741566</v>
      </c>
      <c r="F79" s="75">
        <v>74400</v>
      </c>
      <c r="G79" s="76">
        <f t="shared" si="42"/>
        <v>42.959103670351567</v>
      </c>
      <c r="I79" s="77">
        <f t="shared" si="22"/>
        <v>72</v>
      </c>
      <c r="J79" s="73">
        <f t="shared" si="43"/>
        <v>2026</v>
      </c>
      <c r="K79" s="78">
        <f t="shared" si="23"/>
        <v>46204</v>
      </c>
    </row>
    <row r="80" spans="2:11" outlineLevel="1">
      <c r="B80" s="78">
        <f t="shared" si="40"/>
        <v>46235</v>
      </c>
      <c r="C80" s="75">
        <v>2257787.3610158861</v>
      </c>
      <c r="D80" s="71">
        <f>IF(F80&lt;&gt;0,VLOOKUP($J80,'Table 1'!$B$13:$C$33,2,FALSE)/12*1000*Study_MW,0)</f>
        <v>956247.329526752</v>
      </c>
      <c r="E80" s="71">
        <f t="shared" si="41"/>
        <v>3214034.6905426383</v>
      </c>
      <c r="F80" s="75">
        <v>74400</v>
      </c>
      <c r="G80" s="76">
        <f t="shared" si="42"/>
        <v>43.199391001917185</v>
      </c>
      <c r="I80" s="77">
        <f t="shared" si="22"/>
        <v>73</v>
      </c>
      <c r="J80" s="73">
        <f t="shared" si="43"/>
        <v>2026</v>
      </c>
      <c r="K80" s="78">
        <f t="shared" si="23"/>
        <v>46235</v>
      </c>
    </row>
    <row r="81" spans="2:11" outlineLevel="1">
      <c r="B81" s="78">
        <f t="shared" si="40"/>
        <v>46266</v>
      </c>
      <c r="C81" s="75">
        <v>1743065.1048676968</v>
      </c>
      <c r="D81" s="71">
        <f>IF(F81&lt;&gt;0,VLOOKUP($J81,'Table 1'!$B$13:$C$33,2,FALSE)/12*1000*Study_MW,0)</f>
        <v>956247.329526752</v>
      </c>
      <c r="E81" s="71">
        <f t="shared" si="41"/>
        <v>2699312.434394449</v>
      </c>
      <c r="F81" s="75">
        <v>72000</v>
      </c>
      <c r="G81" s="76">
        <f t="shared" si="42"/>
        <v>37.490450477700684</v>
      </c>
      <c r="I81" s="77">
        <f t="shared" si="22"/>
        <v>74</v>
      </c>
      <c r="J81" s="73">
        <f t="shared" si="43"/>
        <v>2026</v>
      </c>
      <c r="K81" s="78">
        <f t="shared" si="23"/>
        <v>46266</v>
      </c>
    </row>
    <row r="82" spans="2:11" outlineLevel="1">
      <c r="B82" s="78">
        <f t="shared" si="40"/>
        <v>46296</v>
      </c>
      <c r="C82" s="75">
        <v>1521604.7705273926</v>
      </c>
      <c r="D82" s="71">
        <f>IF(F82&lt;&gt;0,VLOOKUP($J82,'Table 1'!$B$13:$C$33,2,FALSE)/12*1000*Study_MW,0)</f>
        <v>956247.329526752</v>
      </c>
      <c r="E82" s="71">
        <f t="shared" si="41"/>
        <v>2477852.1000541449</v>
      </c>
      <c r="F82" s="75">
        <v>74400</v>
      </c>
      <c r="G82" s="76">
        <f t="shared" si="42"/>
        <v>33.304463710405173</v>
      </c>
      <c r="I82" s="77">
        <f t="shared" si="22"/>
        <v>75</v>
      </c>
      <c r="J82" s="73">
        <f t="shared" si="43"/>
        <v>2026</v>
      </c>
      <c r="K82" s="78">
        <f t="shared" si="23"/>
        <v>46296</v>
      </c>
    </row>
    <row r="83" spans="2:11" outlineLevel="1">
      <c r="B83" s="78">
        <f t="shared" si="40"/>
        <v>46327</v>
      </c>
      <c r="C83" s="75">
        <v>1345689.9650196731</v>
      </c>
      <c r="D83" s="71">
        <f>IF(F83&lt;&gt;0,VLOOKUP($J83,'Table 1'!$B$13:$C$33,2,FALSE)/12*1000*Study_MW,0)</f>
        <v>956247.329526752</v>
      </c>
      <c r="E83" s="71">
        <f t="shared" si="41"/>
        <v>2301937.2945464253</v>
      </c>
      <c r="F83" s="75">
        <v>72000</v>
      </c>
      <c r="G83" s="76">
        <f t="shared" si="42"/>
        <v>31.971351313144798</v>
      </c>
      <c r="I83" s="77">
        <f t="shared" si="22"/>
        <v>76</v>
      </c>
      <c r="J83" s="73">
        <f t="shared" si="43"/>
        <v>2026</v>
      </c>
      <c r="K83" s="78">
        <f t="shared" si="23"/>
        <v>46327</v>
      </c>
    </row>
    <row r="84" spans="2:11" outlineLevel="1">
      <c r="B84" s="82">
        <f t="shared" si="40"/>
        <v>46357</v>
      </c>
      <c r="C84" s="79">
        <v>1898158.1653554887</v>
      </c>
      <c r="D84" s="80">
        <f>IF(F84&lt;&gt;0,VLOOKUP($J84,'Table 1'!$B$13:$C$33,2,FALSE)/12*1000*Study_MW,0)</f>
        <v>956247.329526752</v>
      </c>
      <c r="E84" s="80">
        <f t="shared" si="41"/>
        <v>2854405.4948822409</v>
      </c>
      <c r="F84" s="79">
        <v>74400</v>
      </c>
      <c r="G84" s="81">
        <f t="shared" si="42"/>
        <v>38.365665253793559</v>
      </c>
      <c r="I84" s="64">
        <f t="shared" si="22"/>
        <v>77</v>
      </c>
      <c r="J84" s="73">
        <f t="shared" si="43"/>
        <v>2026</v>
      </c>
      <c r="K84" s="82">
        <f t="shared" si="23"/>
        <v>46357</v>
      </c>
    </row>
    <row r="85" spans="2:11" hidden="1" outlineLevel="1">
      <c r="B85" s="74">
        <f t="shared" si="40"/>
        <v>46388</v>
      </c>
      <c r="C85" s="69">
        <v>1713304.5971538424</v>
      </c>
      <c r="D85" s="70">
        <f>IF(F85&lt;&gt;0,VLOOKUP($J85,'Table 1'!$B$13:$C$33,2,FALSE)/12*1000*Study_MW,0)</f>
        <v>978310.59390420071</v>
      </c>
      <c r="E85" s="70">
        <f t="shared" si="41"/>
        <v>2691615.1910580434</v>
      </c>
      <c r="F85" s="69">
        <v>74400</v>
      </c>
      <c r="G85" s="72">
        <f t="shared" si="42"/>
        <v>36.17762353572639</v>
      </c>
      <c r="I85" s="60">
        <f>I73+13</f>
        <v>79</v>
      </c>
      <c r="J85" s="73">
        <f t="shared" si="43"/>
        <v>2027</v>
      </c>
      <c r="K85" s="74">
        <f t="shared" si="23"/>
        <v>46388</v>
      </c>
    </row>
    <row r="86" spans="2:11" hidden="1" outlineLevel="1">
      <c r="B86" s="78">
        <f t="shared" si="40"/>
        <v>46419</v>
      </c>
      <c r="C86" s="75">
        <v>1373338.3702621162</v>
      </c>
      <c r="D86" s="71">
        <f>IF(F86&lt;&gt;0,VLOOKUP($J86,'Table 1'!$B$13:$C$33,2,FALSE)/12*1000*Study_MW,0)</f>
        <v>978310.59390420071</v>
      </c>
      <c r="E86" s="71">
        <f t="shared" si="41"/>
        <v>2351648.9641663171</v>
      </c>
      <c r="F86" s="75">
        <v>67200</v>
      </c>
      <c r="G86" s="76">
        <f t="shared" si="42"/>
        <v>34.994776252474956</v>
      </c>
      <c r="I86" s="77">
        <f t="shared" si="22"/>
        <v>80</v>
      </c>
      <c r="J86" s="73">
        <f t="shared" si="43"/>
        <v>2027</v>
      </c>
      <c r="K86" s="78">
        <f t="shared" si="23"/>
        <v>46419</v>
      </c>
    </row>
    <row r="87" spans="2:11" hidden="1" outlineLevel="1">
      <c r="B87" s="78">
        <f t="shared" si="40"/>
        <v>46447</v>
      </c>
      <c r="C87" s="75">
        <v>1308073.6374949515</v>
      </c>
      <c r="D87" s="71">
        <f>IF(F87&lt;&gt;0,VLOOKUP($J87,'Table 1'!$B$13:$C$33,2,FALSE)/12*1000*Study_MW,0)</f>
        <v>978310.59390420071</v>
      </c>
      <c r="E87" s="71">
        <f t="shared" si="41"/>
        <v>2286384.2313991524</v>
      </c>
      <c r="F87" s="75">
        <v>74400</v>
      </c>
      <c r="G87" s="76">
        <f t="shared" si="42"/>
        <v>30.730970852139144</v>
      </c>
      <c r="I87" s="77">
        <f t="shared" si="22"/>
        <v>81</v>
      </c>
      <c r="J87" s="73">
        <f t="shared" si="43"/>
        <v>2027</v>
      </c>
      <c r="K87" s="78">
        <f t="shared" si="23"/>
        <v>46447</v>
      </c>
    </row>
    <row r="88" spans="2:11" hidden="1" outlineLevel="1">
      <c r="B88" s="78">
        <f t="shared" si="40"/>
        <v>46478</v>
      </c>
      <c r="C88" s="75">
        <v>1075609.8860825449</v>
      </c>
      <c r="D88" s="71">
        <f>IF(F88&lt;&gt;0,VLOOKUP($J88,'Table 1'!$B$13:$C$33,2,FALSE)/12*1000*Study_MW,0)</f>
        <v>978310.59390420071</v>
      </c>
      <c r="E88" s="71">
        <f t="shared" si="41"/>
        <v>2053920.4799867456</v>
      </c>
      <c r="F88" s="75">
        <v>72000</v>
      </c>
      <c r="G88" s="76">
        <f t="shared" si="42"/>
        <v>28.526673333149244</v>
      </c>
      <c r="I88" s="77">
        <f t="shared" si="22"/>
        <v>82</v>
      </c>
      <c r="J88" s="73">
        <f t="shared" si="43"/>
        <v>2027</v>
      </c>
      <c r="K88" s="78">
        <f t="shared" si="23"/>
        <v>46478</v>
      </c>
    </row>
    <row r="89" spans="2:11" hidden="1" outlineLevel="1">
      <c r="B89" s="78">
        <f t="shared" si="40"/>
        <v>46508</v>
      </c>
      <c r="C89" s="75">
        <v>1145041.1057037115</v>
      </c>
      <c r="D89" s="71">
        <f>IF(F89&lt;&gt;0,VLOOKUP($J89,'Table 1'!$B$13:$C$33,2,FALSE)/12*1000*Study_MW,0)</f>
        <v>978310.59390420071</v>
      </c>
      <c r="E89" s="71">
        <f t="shared" si="41"/>
        <v>2123351.6996079125</v>
      </c>
      <c r="F89" s="75">
        <v>74400</v>
      </c>
      <c r="G89" s="76">
        <f t="shared" si="42"/>
        <v>28.53967338182678</v>
      </c>
      <c r="I89" s="77">
        <f t="shared" si="22"/>
        <v>83</v>
      </c>
      <c r="J89" s="73">
        <f t="shared" si="43"/>
        <v>2027</v>
      </c>
      <c r="K89" s="78">
        <f t="shared" si="23"/>
        <v>46508</v>
      </c>
    </row>
    <row r="90" spans="2:11" hidden="1" outlineLevel="1">
      <c r="B90" s="78">
        <f t="shared" si="40"/>
        <v>46539</v>
      </c>
      <c r="C90" s="75">
        <v>1785665.4483998418</v>
      </c>
      <c r="D90" s="71">
        <f>IF(F90&lt;&gt;0,VLOOKUP($J90,'Table 1'!$B$13:$C$33,2,FALSE)/12*1000*Study_MW,0)</f>
        <v>978310.59390420071</v>
      </c>
      <c r="E90" s="71">
        <f t="shared" si="41"/>
        <v>2763976.0423040427</v>
      </c>
      <c r="F90" s="75">
        <v>72000</v>
      </c>
      <c r="G90" s="76">
        <f t="shared" si="42"/>
        <v>38.388556143111707</v>
      </c>
      <c r="I90" s="77">
        <f t="shared" ref="I90:I96" si="44">I78+13</f>
        <v>84</v>
      </c>
      <c r="J90" s="73">
        <f t="shared" si="43"/>
        <v>2027</v>
      </c>
      <c r="K90" s="78">
        <f t="shared" ref="K90:K153" si="45">IF(ISNUMBER(F90),IF(F90&lt;&gt;0,B90,""),"")</f>
        <v>46539</v>
      </c>
    </row>
    <row r="91" spans="2:11" hidden="1" outlineLevel="1">
      <c r="B91" s="78">
        <f t="shared" si="40"/>
        <v>46569</v>
      </c>
      <c r="C91" s="75">
        <v>2287732.5627232492</v>
      </c>
      <c r="D91" s="71">
        <f>IF(F91&lt;&gt;0,VLOOKUP($J91,'Table 1'!$B$13:$C$33,2,FALSE)/12*1000*Study_MW,0)</f>
        <v>978310.59390420071</v>
      </c>
      <c r="E91" s="71">
        <f t="shared" si="41"/>
        <v>3266043.1566274501</v>
      </c>
      <c r="F91" s="75">
        <v>74400</v>
      </c>
      <c r="G91" s="76">
        <f t="shared" si="42"/>
        <v>43.898429524562502</v>
      </c>
      <c r="I91" s="77">
        <f t="shared" si="44"/>
        <v>85</v>
      </c>
      <c r="J91" s="73">
        <f t="shared" si="43"/>
        <v>2027</v>
      </c>
      <c r="K91" s="78">
        <f t="shared" si="45"/>
        <v>46569</v>
      </c>
    </row>
    <row r="92" spans="2:11" hidden="1" outlineLevel="1">
      <c r="B92" s="78">
        <f t="shared" si="40"/>
        <v>46600</v>
      </c>
      <c r="C92" s="75">
        <v>2321324.3219799101</v>
      </c>
      <c r="D92" s="71">
        <f>IF(F92&lt;&gt;0,VLOOKUP($J92,'Table 1'!$B$13:$C$33,2,FALSE)/12*1000*Study_MW,0)</f>
        <v>978310.59390420071</v>
      </c>
      <c r="E92" s="71">
        <f t="shared" si="41"/>
        <v>3299634.9158841111</v>
      </c>
      <c r="F92" s="75">
        <v>74400</v>
      </c>
      <c r="G92" s="76">
        <f t="shared" si="42"/>
        <v>44.349931665109018</v>
      </c>
      <c r="I92" s="77">
        <f t="shared" si="44"/>
        <v>86</v>
      </c>
      <c r="J92" s="73">
        <f t="shared" si="43"/>
        <v>2027</v>
      </c>
      <c r="K92" s="78">
        <f t="shared" si="45"/>
        <v>46600</v>
      </c>
    </row>
    <row r="93" spans="2:11" hidden="1" outlineLevel="1">
      <c r="B93" s="78">
        <f t="shared" si="40"/>
        <v>46631</v>
      </c>
      <c r="C93" s="75">
        <v>1794178.358061105</v>
      </c>
      <c r="D93" s="71">
        <f>IF(F93&lt;&gt;0,VLOOKUP($J93,'Table 1'!$B$13:$C$33,2,FALSE)/12*1000*Study_MW,0)</f>
        <v>978310.59390420071</v>
      </c>
      <c r="E93" s="71">
        <f t="shared" si="41"/>
        <v>2772488.951965306</v>
      </c>
      <c r="F93" s="75">
        <v>72000</v>
      </c>
      <c r="G93" s="76">
        <f t="shared" si="42"/>
        <v>38.506790999518138</v>
      </c>
      <c r="I93" s="77">
        <f t="shared" si="44"/>
        <v>87</v>
      </c>
      <c r="J93" s="73">
        <f t="shared" si="43"/>
        <v>2027</v>
      </c>
      <c r="K93" s="78">
        <f t="shared" si="45"/>
        <v>46631</v>
      </c>
    </row>
    <row r="94" spans="2:11" hidden="1" outlineLevel="1">
      <c r="B94" s="78">
        <f t="shared" si="40"/>
        <v>46661</v>
      </c>
      <c r="C94" s="75">
        <v>1755171.7518427968</v>
      </c>
      <c r="D94" s="71">
        <f>IF(F94&lt;&gt;0,VLOOKUP($J94,'Table 1'!$B$13:$C$33,2,FALSE)/12*1000*Study_MW,0)</f>
        <v>978310.59390420071</v>
      </c>
      <c r="E94" s="71">
        <f t="shared" si="41"/>
        <v>2733482.3457469977</v>
      </c>
      <c r="F94" s="75">
        <v>74400</v>
      </c>
      <c r="G94" s="76">
        <f t="shared" si="42"/>
        <v>36.740354109502661</v>
      </c>
      <c r="I94" s="77">
        <f t="shared" si="44"/>
        <v>88</v>
      </c>
      <c r="J94" s="73">
        <f t="shared" si="43"/>
        <v>2027</v>
      </c>
      <c r="K94" s="78">
        <f t="shared" si="45"/>
        <v>46661</v>
      </c>
    </row>
    <row r="95" spans="2:11" hidden="1" outlineLevel="1">
      <c r="B95" s="78">
        <f t="shared" si="40"/>
        <v>46692</v>
      </c>
      <c r="C95" s="75">
        <v>1392162.7896945029</v>
      </c>
      <c r="D95" s="71">
        <f>IF(F95&lt;&gt;0,VLOOKUP($J95,'Table 1'!$B$13:$C$33,2,FALSE)/12*1000*Study_MW,0)</f>
        <v>978310.59390420071</v>
      </c>
      <c r="E95" s="71">
        <f t="shared" si="41"/>
        <v>2370473.3835987039</v>
      </c>
      <c r="F95" s="75">
        <v>72000</v>
      </c>
      <c r="G95" s="76">
        <f t="shared" si="42"/>
        <v>32.923241438870889</v>
      </c>
      <c r="I95" s="77">
        <f t="shared" si="44"/>
        <v>89</v>
      </c>
      <c r="J95" s="73">
        <f t="shared" si="43"/>
        <v>2027</v>
      </c>
      <c r="K95" s="78">
        <f t="shared" si="45"/>
        <v>46692</v>
      </c>
    </row>
    <row r="96" spans="2:11" hidden="1" outlineLevel="1">
      <c r="B96" s="82">
        <f t="shared" si="40"/>
        <v>46722</v>
      </c>
      <c r="C96" s="79">
        <v>1698057.2682085782</v>
      </c>
      <c r="D96" s="80">
        <f>IF(F96&lt;&gt;0,VLOOKUP($J96,'Table 1'!$B$13:$C$33,2,FALSE)/12*1000*Study_MW,0)</f>
        <v>978310.59390420071</v>
      </c>
      <c r="E96" s="80">
        <f t="shared" si="41"/>
        <v>2676367.8621127792</v>
      </c>
      <c r="F96" s="79">
        <v>74400</v>
      </c>
      <c r="G96" s="81">
        <f t="shared" si="42"/>
        <v>35.97268631872015</v>
      </c>
      <c r="I96" s="64">
        <f t="shared" si="44"/>
        <v>90</v>
      </c>
      <c r="J96" s="73">
        <f t="shared" si="43"/>
        <v>2027</v>
      </c>
      <c r="K96" s="82">
        <f t="shared" si="45"/>
        <v>46722</v>
      </c>
    </row>
    <row r="97" spans="2:11" hidden="1" outlineLevel="1">
      <c r="B97" s="74">
        <f t="shared" si="40"/>
        <v>46753</v>
      </c>
      <c r="C97" s="69">
        <v>1784041.8790027797</v>
      </c>
      <c r="D97" s="70">
        <f>IF(F97&lt;&gt;0,VLOOKUP($J97,'Table 1'!$B$13:$C$33,2,FALSE)/12*1000*Study_MW,0)</f>
        <v>1000832.1100805386</v>
      </c>
      <c r="E97" s="70">
        <f t="shared" si="41"/>
        <v>2784873.989083318</v>
      </c>
      <c r="F97" s="69">
        <v>74400</v>
      </c>
      <c r="G97" s="72">
        <f t="shared" si="42"/>
        <v>37.431102003808036</v>
      </c>
      <c r="I97" s="60">
        <f>I85+13</f>
        <v>92</v>
      </c>
      <c r="J97" s="73">
        <f t="shared" si="43"/>
        <v>2028</v>
      </c>
      <c r="K97" s="74">
        <f t="shared" si="45"/>
        <v>46753</v>
      </c>
    </row>
    <row r="98" spans="2:11" hidden="1" outlineLevel="1">
      <c r="B98" s="78">
        <f t="shared" si="40"/>
        <v>46784</v>
      </c>
      <c r="C98" s="75">
        <v>1735969.8434013277</v>
      </c>
      <c r="D98" s="71">
        <f>IF(F98&lt;&gt;0,VLOOKUP($J98,'Table 1'!$B$13:$C$33,2,FALSE)/12*1000*Study_MW,0)</f>
        <v>1000832.1100805386</v>
      </c>
      <c r="E98" s="71">
        <f t="shared" si="41"/>
        <v>2736801.953481866</v>
      </c>
      <c r="F98" s="75">
        <v>69600</v>
      </c>
      <c r="G98" s="76">
        <f t="shared" si="42"/>
        <v>39.321867147727957</v>
      </c>
      <c r="I98" s="77">
        <f t="shared" ref="I98:I120" si="46">I86+13</f>
        <v>93</v>
      </c>
      <c r="J98" s="73">
        <f t="shared" si="43"/>
        <v>2028</v>
      </c>
      <c r="K98" s="78">
        <f t="shared" si="45"/>
        <v>46784</v>
      </c>
    </row>
    <row r="99" spans="2:11" hidden="1" outlineLevel="1">
      <c r="B99" s="78">
        <f t="shared" si="40"/>
        <v>46813</v>
      </c>
      <c r="C99" s="75">
        <v>1549760.9303343147</v>
      </c>
      <c r="D99" s="71">
        <f>IF(F99&lt;&gt;0,VLOOKUP($J99,'Table 1'!$B$13:$C$33,2,FALSE)/12*1000*Study_MW,0)</f>
        <v>1000832.1100805386</v>
      </c>
      <c r="E99" s="71">
        <f t="shared" si="41"/>
        <v>2550593.040414853</v>
      </c>
      <c r="F99" s="75">
        <v>74400</v>
      </c>
      <c r="G99" s="76">
        <f t="shared" si="42"/>
        <v>34.282164521705013</v>
      </c>
      <c r="I99" s="77">
        <f t="shared" si="46"/>
        <v>94</v>
      </c>
      <c r="J99" s="73">
        <f t="shared" si="43"/>
        <v>2028</v>
      </c>
      <c r="K99" s="78">
        <f t="shared" si="45"/>
        <v>46813</v>
      </c>
    </row>
    <row r="100" spans="2:11" hidden="1" outlineLevel="1">
      <c r="B100" s="78">
        <f t="shared" si="40"/>
        <v>46844</v>
      </c>
      <c r="C100" s="75">
        <v>1281824.2069041878</v>
      </c>
      <c r="D100" s="71">
        <f>IF(F100&lt;&gt;0,VLOOKUP($J100,'Table 1'!$B$13:$C$33,2,FALSE)/12*1000*Study_MW,0)</f>
        <v>1000832.1100805386</v>
      </c>
      <c r="E100" s="71">
        <f t="shared" si="41"/>
        <v>2282656.3169847261</v>
      </c>
      <c r="F100" s="75">
        <v>72000</v>
      </c>
      <c r="G100" s="76">
        <f t="shared" si="42"/>
        <v>31.703559958121197</v>
      </c>
      <c r="I100" s="77">
        <f t="shared" si="46"/>
        <v>95</v>
      </c>
      <c r="J100" s="73">
        <f t="shared" si="43"/>
        <v>2028</v>
      </c>
      <c r="K100" s="78">
        <f t="shared" si="45"/>
        <v>46844</v>
      </c>
    </row>
    <row r="101" spans="2:11" hidden="1" outlineLevel="1">
      <c r="B101" s="78">
        <f t="shared" si="40"/>
        <v>46874</v>
      </c>
      <c r="C101" s="75">
        <v>1364909.9483194202</v>
      </c>
      <c r="D101" s="71">
        <f>IF(F101&lt;&gt;0,VLOOKUP($J101,'Table 1'!$B$13:$C$33,2,FALSE)/12*1000*Study_MW,0)</f>
        <v>1000832.1100805386</v>
      </c>
      <c r="E101" s="71">
        <f t="shared" si="41"/>
        <v>2365742.0583999585</v>
      </c>
      <c r="F101" s="75">
        <v>74400</v>
      </c>
      <c r="G101" s="76">
        <f t="shared" si="42"/>
        <v>31.7976083118274</v>
      </c>
      <c r="I101" s="77">
        <f t="shared" si="46"/>
        <v>96</v>
      </c>
      <c r="J101" s="73">
        <f t="shared" si="43"/>
        <v>2028</v>
      </c>
      <c r="K101" s="78">
        <f t="shared" si="45"/>
        <v>46874</v>
      </c>
    </row>
    <row r="102" spans="2:11" hidden="1" outlineLevel="1">
      <c r="B102" s="78">
        <f t="shared" si="40"/>
        <v>46905</v>
      </c>
      <c r="C102" s="75">
        <v>1949946.6898964047</v>
      </c>
      <c r="D102" s="71">
        <f>IF(F102&lt;&gt;0,VLOOKUP($J102,'Table 1'!$B$13:$C$33,2,FALSE)/12*1000*Study_MW,0)</f>
        <v>1000832.1100805386</v>
      </c>
      <c r="E102" s="71">
        <f t="shared" si="41"/>
        <v>2950778.7999769431</v>
      </c>
      <c r="F102" s="75">
        <v>72000</v>
      </c>
      <c r="G102" s="76">
        <f t="shared" si="42"/>
        <v>40.98303888856865</v>
      </c>
      <c r="I102" s="77">
        <f t="shared" si="46"/>
        <v>97</v>
      </c>
      <c r="J102" s="73">
        <f t="shared" si="43"/>
        <v>2028</v>
      </c>
      <c r="K102" s="78">
        <f t="shared" si="45"/>
        <v>46905</v>
      </c>
    </row>
    <row r="103" spans="2:11" hidden="1" outlineLevel="1">
      <c r="B103" s="78">
        <f t="shared" si="40"/>
        <v>46935</v>
      </c>
      <c r="C103" s="75">
        <v>2509284.1334314048</v>
      </c>
      <c r="D103" s="71">
        <f>IF(F103&lt;&gt;0,VLOOKUP($J103,'Table 1'!$B$13:$C$33,2,FALSE)/12*1000*Study_MW,0)</f>
        <v>1000832.1100805386</v>
      </c>
      <c r="E103" s="71">
        <f t="shared" si="41"/>
        <v>3510116.2435119431</v>
      </c>
      <c r="F103" s="75">
        <v>74400</v>
      </c>
      <c r="G103" s="76">
        <f t="shared" si="42"/>
        <v>47.178981767633644</v>
      </c>
      <c r="I103" s="77">
        <f t="shared" si="46"/>
        <v>98</v>
      </c>
      <c r="J103" s="73">
        <f t="shared" si="43"/>
        <v>2028</v>
      </c>
      <c r="K103" s="78">
        <f t="shared" si="45"/>
        <v>46935</v>
      </c>
    </row>
    <row r="104" spans="2:11" hidden="1" outlineLevel="1">
      <c r="B104" s="78">
        <f t="shared" si="40"/>
        <v>46966</v>
      </c>
      <c r="C104" s="75">
        <v>2553836.0348122418</v>
      </c>
      <c r="D104" s="71">
        <f>IF(F104&lt;&gt;0,VLOOKUP($J104,'Table 1'!$B$13:$C$33,2,FALSE)/12*1000*Study_MW,0)</f>
        <v>1000832.1100805386</v>
      </c>
      <c r="E104" s="71">
        <f t="shared" si="41"/>
        <v>3554668.1448927801</v>
      </c>
      <c r="F104" s="75">
        <v>74400</v>
      </c>
      <c r="G104" s="76">
        <f t="shared" si="42"/>
        <v>47.777797646408338</v>
      </c>
      <c r="I104" s="77">
        <f t="shared" si="46"/>
        <v>99</v>
      </c>
      <c r="J104" s="73">
        <f t="shared" si="43"/>
        <v>2028</v>
      </c>
      <c r="K104" s="78">
        <f t="shared" si="45"/>
        <v>46966</v>
      </c>
    </row>
    <row r="105" spans="2:11" hidden="1" outlineLevel="1">
      <c r="B105" s="78">
        <f t="shared" si="40"/>
        <v>46997</v>
      </c>
      <c r="C105" s="75">
        <v>2063696.9771468937</v>
      </c>
      <c r="D105" s="71">
        <f>IF(F105&lt;&gt;0,VLOOKUP($J105,'Table 1'!$B$13:$C$33,2,FALSE)/12*1000*Study_MW,0)</f>
        <v>1000832.1100805386</v>
      </c>
      <c r="E105" s="71">
        <f t="shared" si="41"/>
        <v>3064529.0872274321</v>
      </c>
      <c r="F105" s="75">
        <v>72000</v>
      </c>
      <c r="G105" s="76">
        <f t="shared" si="42"/>
        <v>42.562903989269891</v>
      </c>
      <c r="I105" s="77">
        <f t="shared" si="46"/>
        <v>100</v>
      </c>
      <c r="J105" s="73">
        <f t="shared" si="43"/>
        <v>2028</v>
      </c>
      <c r="K105" s="78">
        <f t="shared" si="45"/>
        <v>46997</v>
      </c>
    </row>
    <row r="106" spans="2:11" hidden="1" outlineLevel="1">
      <c r="B106" s="78">
        <f t="shared" si="40"/>
        <v>47027</v>
      </c>
      <c r="C106" s="75">
        <v>1944896.0038780272</v>
      </c>
      <c r="D106" s="71">
        <f>IF(F106&lt;&gt;0,VLOOKUP($J106,'Table 1'!$B$13:$C$33,2,FALSE)/12*1000*Study_MW,0)</f>
        <v>1000832.1100805386</v>
      </c>
      <c r="E106" s="71">
        <f t="shared" si="41"/>
        <v>2945728.1139585655</v>
      </c>
      <c r="F106" s="75">
        <v>74400</v>
      </c>
      <c r="G106" s="76">
        <f t="shared" si="42"/>
        <v>39.593119811271045</v>
      </c>
      <c r="I106" s="77">
        <f t="shared" si="46"/>
        <v>101</v>
      </c>
      <c r="J106" s="73">
        <f t="shared" si="43"/>
        <v>2028</v>
      </c>
      <c r="K106" s="78">
        <f t="shared" si="45"/>
        <v>47027</v>
      </c>
    </row>
    <row r="107" spans="2:11" hidden="1" outlineLevel="1">
      <c r="B107" s="78">
        <f t="shared" si="40"/>
        <v>47058</v>
      </c>
      <c r="C107" s="75">
        <v>1669801.967366904</v>
      </c>
      <c r="D107" s="71">
        <f>IF(F107&lt;&gt;0,VLOOKUP($J107,'Table 1'!$B$13:$C$33,2,FALSE)/12*1000*Study_MW,0)</f>
        <v>1000832.1100805386</v>
      </c>
      <c r="E107" s="71">
        <f t="shared" si="41"/>
        <v>2670634.0774474423</v>
      </c>
      <c r="F107" s="75">
        <v>72000</v>
      </c>
      <c r="G107" s="76">
        <f t="shared" si="42"/>
        <v>37.092139964547812</v>
      </c>
      <c r="I107" s="77">
        <f t="shared" si="46"/>
        <v>102</v>
      </c>
      <c r="J107" s="73">
        <f t="shared" si="43"/>
        <v>2028</v>
      </c>
      <c r="K107" s="78">
        <f t="shared" si="45"/>
        <v>47058</v>
      </c>
    </row>
    <row r="108" spans="2:11" hidden="1" outlineLevel="1">
      <c r="B108" s="82">
        <f t="shared" si="40"/>
        <v>47088</v>
      </c>
      <c r="C108" s="79">
        <v>2035165.7905968428</v>
      </c>
      <c r="D108" s="80">
        <f>IF(F108&lt;&gt;0,VLOOKUP($J108,'Table 1'!$B$13:$C$33,2,FALSE)/12*1000*Study_MW,0)</f>
        <v>1000832.1100805386</v>
      </c>
      <c r="E108" s="80">
        <f t="shared" si="41"/>
        <v>3035997.9006773811</v>
      </c>
      <c r="F108" s="79">
        <v>74400</v>
      </c>
      <c r="G108" s="81">
        <f t="shared" si="42"/>
        <v>40.80642339620136</v>
      </c>
      <c r="I108" s="64">
        <f t="shared" si="46"/>
        <v>103</v>
      </c>
      <c r="J108" s="73">
        <f t="shared" si="43"/>
        <v>2028</v>
      </c>
      <c r="K108" s="82">
        <f t="shared" si="45"/>
        <v>47088</v>
      </c>
    </row>
    <row r="109" spans="2:11" hidden="1" outlineLevel="1">
      <c r="B109" s="74">
        <f t="shared" si="40"/>
        <v>47119</v>
      </c>
      <c r="C109" s="69">
        <v>1948650.7692494392</v>
      </c>
      <c r="D109" s="70">
        <f>IF(F109&lt;&gt;0,VLOOKUP($J109,'Table 1'!$B$13:$C$33,2,FALSE)/12*1000*Study_MW,0)</f>
        <v>1023955.3461547175</v>
      </c>
      <c r="E109" s="70">
        <f t="shared" si="41"/>
        <v>2972606.115404157</v>
      </c>
      <c r="F109" s="69">
        <v>74400</v>
      </c>
      <c r="G109" s="72">
        <f t="shared" si="42"/>
        <v>39.954383271561248</v>
      </c>
      <c r="I109" s="60">
        <f>I97+13</f>
        <v>105</v>
      </c>
      <c r="J109" s="73">
        <f t="shared" si="43"/>
        <v>2029</v>
      </c>
      <c r="K109" s="74">
        <f t="shared" si="45"/>
        <v>47119</v>
      </c>
    </row>
    <row r="110" spans="2:11" hidden="1" outlineLevel="1">
      <c r="B110" s="78">
        <f t="shared" si="40"/>
        <v>47150</v>
      </c>
      <c r="C110" s="75">
        <v>1774440.4679976404</v>
      </c>
      <c r="D110" s="71">
        <f>IF(F110&lt;&gt;0,VLOOKUP($J110,'Table 1'!$B$13:$C$33,2,FALSE)/12*1000*Study_MW,0)</f>
        <v>1023955.3461547175</v>
      </c>
      <c r="E110" s="71">
        <f t="shared" si="41"/>
        <v>2798395.8141523581</v>
      </c>
      <c r="F110" s="75">
        <v>67200</v>
      </c>
      <c r="G110" s="76">
        <f t="shared" si="42"/>
        <v>41.642794853457708</v>
      </c>
      <c r="I110" s="77">
        <f t="shared" si="46"/>
        <v>106</v>
      </c>
      <c r="J110" s="73">
        <f t="shared" si="43"/>
        <v>2029</v>
      </c>
      <c r="K110" s="78">
        <f t="shared" si="45"/>
        <v>47150</v>
      </c>
    </row>
    <row r="111" spans="2:11" hidden="1" outlineLevel="1">
      <c r="B111" s="78">
        <f t="shared" si="40"/>
        <v>47178</v>
      </c>
      <c r="C111" s="75">
        <v>1623927.2844596058</v>
      </c>
      <c r="D111" s="71">
        <f>IF(F111&lt;&gt;0,VLOOKUP($J111,'Table 1'!$B$13:$C$33,2,FALSE)/12*1000*Study_MW,0)</f>
        <v>1023955.3461547175</v>
      </c>
      <c r="E111" s="71">
        <f t="shared" si="41"/>
        <v>2647882.6306143235</v>
      </c>
      <c r="F111" s="75">
        <v>74400</v>
      </c>
      <c r="G111" s="76">
        <f t="shared" si="42"/>
        <v>35.58982030395596</v>
      </c>
      <c r="I111" s="77">
        <f t="shared" si="46"/>
        <v>107</v>
      </c>
      <c r="J111" s="73">
        <f t="shared" si="43"/>
        <v>2029</v>
      </c>
      <c r="K111" s="78">
        <f t="shared" si="45"/>
        <v>47178</v>
      </c>
    </row>
    <row r="112" spans="2:11" hidden="1" outlineLevel="1">
      <c r="B112" s="78">
        <f t="shared" si="40"/>
        <v>47209</v>
      </c>
      <c r="C112" s="75">
        <v>1495436.2050321251</v>
      </c>
      <c r="D112" s="71">
        <f>IF(F112&lt;&gt;0,VLOOKUP($J112,'Table 1'!$B$13:$C$33,2,FALSE)/12*1000*Study_MW,0)</f>
        <v>1023955.3461547175</v>
      </c>
      <c r="E112" s="71">
        <f t="shared" si="41"/>
        <v>2519391.5511868428</v>
      </c>
      <c r="F112" s="75">
        <v>72000</v>
      </c>
      <c r="G112" s="76">
        <f t="shared" si="42"/>
        <v>34.991549322039482</v>
      </c>
      <c r="I112" s="77">
        <f t="shared" si="46"/>
        <v>108</v>
      </c>
      <c r="J112" s="73">
        <f t="shared" si="43"/>
        <v>2029</v>
      </c>
      <c r="K112" s="78">
        <f t="shared" si="45"/>
        <v>47209</v>
      </c>
    </row>
    <row r="113" spans="2:11" hidden="1" outlineLevel="1">
      <c r="B113" s="78">
        <f t="shared" si="40"/>
        <v>47239</v>
      </c>
      <c r="C113" s="75">
        <v>1372055.403758809</v>
      </c>
      <c r="D113" s="71">
        <f>IF(F113&lt;&gt;0,VLOOKUP($J113,'Table 1'!$B$13:$C$33,2,FALSE)/12*1000*Study_MW,0)</f>
        <v>1023955.3461547175</v>
      </c>
      <c r="E113" s="71">
        <f t="shared" si="41"/>
        <v>2396010.7499135267</v>
      </c>
      <c r="F113" s="75">
        <v>74400</v>
      </c>
      <c r="G113" s="76">
        <f t="shared" si="42"/>
        <v>32.20444556335385</v>
      </c>
      <c r="I113" s="77">
        <f t="shared" si="46"/>
        <v>109</v>
      </c>
      <c r="J113" s="73">
        <f t="shared" si="43"/>
        <v>2029</v>
      </c>
      <c r="K113" s="78">
        <f t="shared" si="45"/>
        <v>47239</v>
      </c>
    </row>
    <row r="114" spans="2:11" hidden="1" outlineLevel="1">
      <c r="B114" s="78">
        <f t="shared" si="40"/>
        <v>47270</v>
      </c>
      <c r="C114" s="75">
        <v>1955984.9693540335</v>
      </c>
      <c r="D114" s="71">
        <f>IF(F114&lt;&gt;0,VLOOKUP($J114,'Table 1'!$B$13:$C$33,2,FALSE)/12*1000*Study_MW,0)</f>
        <v>1023955.3461547175</v>
      </c>
      <c r="E114" s="71">
        <f t="shared" si="41"/>
        <v>2979940.3155087512</v>
      </c>
      <c r="F114" s="75">
        <v>72000</v>
      </c>
      <c r="G114" s="76">
        <f t="shared" si="42"/>
        <v>41.388059937621541</v>
      </c>
      <c r="I114" s="77">
        <f t="shared" si="46"/>
        <v>110</v>
      </c>
      <c r="J114" s="73">
        <f t="shared" si="43"/>
        <v>2029</v>
      </c>
      <c r="K114" s="78">
        <f t="shared" si="45"/>
        <v>47270</v>
      </c>
    </row>
    <row r="115" spans="2:11" hidden="1" outlineLevel="1">
      <c r="B115" s="78">
        <f t="shared" si="40"/>
        <v>47300</v>
      </c>
      <c r="C115" s="75">
        <v>2737057.8733037114</v>
      </c>
      <c r="D115" s="71">
        <f>IF(F115&lt;&gt;0,VLOOKUP($J115,'Table 1'!$B$13:$C$33,2,FALSE)/12*1000*Study_MW,0)</f>
        <v>1023955.3461547175</v>
      </c>
      <c r="E115" s="71">
        <f t="shared" si="41"/>
        <v>3761013.2194584291</v>
      </c>
      <c r="F115" s="75">
        <v>74400</v>
      </c>
      <c r="G115" s="76">
        <f t="shared" si="42"/>
        <v>50.551252949710069</v>
      </c>
      <c r="I115" s="77">
        <f t="shared" si="46"/>
        <v>111</v>
      </c>
      <c r="J115" s="73">
        <f t="shared" si="43"/>
        <v>2029</v>
      </c>
      <c r="K115" s="78">
        <f t="shared" si="45"/>
        <v>47300</v>
      </c>
    </row>
    <row r="116" spans="2:11" hidden="1" outlineLevel="1">
      <c r="B116" s="78">
        <f t="shared" si="40"/>
        <v>47331</v>
      </c>
      <c r="C116" s="75">
        <v>2791831.2501403391</v>
      </c>
      <c r="D116" s="71">
        <f>IF(F116&lt;&gt;0,VLOOKUP($J116,'Table 1'!$B$13:$C$33,2,FALSE)/12*1000*Study_MW,0)</f>
        <v>1023955.3461547175</v>
      </c>
      <c r="E116" s="71">
        <f t="shared" si="41"/>
        <v>3815786.5962950569</v>
      </c>
      <c r="F116" s="75">
        <v>74400</v>
      </c>
      <c r="G116" s="76">
        <f t="shared" si="42"/>
        <v>51.287454251277644</v>
      </c>
      <c r="I116" s="77">
        <f t="shared" si="46"/>
        <v>112</v>
      </c>
      <c r="J116" s="73">
        <f t="shared" si="43"/>
        <v>2029</v>
      </c>
      <c r="K116" s="78">
        <f t="shared" si="45"/>
        <v>47331</v>
      </c>
    </row>
    <row r="117" spans="2:11" hidden="1" outlineLevel="1">
      <c r="B117" s="78">
        <f t="shared" si="40"/>
        <v>47362</v>
      </c>
      <c r="C117" s="75">
        <v>2224497.955140084</v>
      </c>
      <c r="D117" s="71">
        <f>IF(F117&lt;&gt;0,VLOOKUP($J117,'Table 1'!$B$13:$C$33,2,FALSE)/12*1000*Study_MW,0)</f>
        <v>1023955.3461547175</v>
      </c>
      <c r="E117" s="71">
        <f t="shared" si="41"/>
        <v>3248453.3012948018</v>
      </c>
      <c r="F117" s="75">
        <v>72000</v>
      </c>
      <c r="G117" s="76">
        <f t="shared" si="42"/>
        <v>45.1174069624278</v>
      </c>
      <c r="I117" s="77">
        <f t="shared" si="46"/>
        <v>113</v>
      </c>
      <c r="J117" s="73">
        <f t="shared" si="43"/>
        <v>2029</v>
      </c>
      <c r="K117" s="78">
        <f t="shared" si="45"/>
        <v>47362</v>
      </c>
    </row>
    <row r="118" spans="2:11" hidden="1" outlineLevel="1">
      <c r="B118" s="78">
        <f t="shared" si="40"/>
        <v>47392</v>
      </c>
      <c r="C118" s="75">
        <v>2133408.8461015522</v>
      </c>
      <c r="D118" s="71">
        <f>IF(F118&lt;&gt;0,VLOOKUP($J118,'Table 1'!$B$13:$C$33,2,FALSE)/12*1000*Study_MW,0)</f>
        <v>1023955.3461547175</v>
      </c>
      <c r="E118" s="71">
        <f t="shared" si="41"/>
        <v>3157364.19225627</v>
      </c>
      <c r="F118" s="75">
        <v>74400</v>
      </c>
      <c r="G118" s="76">
        <f t="shared" si="42"/>
        <v>42.43769075613266</v>
      </c>
      <c r="I118" s="77">
        <f t="shared" si="46"/>
        <v>114</v>
      </c>
      <c r="J118" s="73">
        <f t="shared" si="43"/>
        <v>2029</v>
      </c>
      <c r="K118" s="78">
        <f t="shared" si="45"/>
        <v>47392</v>
      </c>
    </row>
    <row r="119" spans="2:11" hidden="1" outlineLevel="1">
      <c r="B119" s="78">
        <f t="shared" si="40"/>
        <v>47423</v>
      </c>
      <c r="C119" s="75">
        <v>1887017.8364644796</v>
      </c>
      <c r="D119" s="71">
        <f>IF(F119&lt;&gt;0,VLOOKUP($J119,'Table 1'!$B$13:$C$33,2,FALSE)/12*1000*Study_MW,0)</f>
        <v>1023955.3461547175</v>
      </c>
      <c r="E119" s="71">
        <f t="shared" si="41"/>
        <v>2910973.1826191973</v>
      </c>
      <c r="F119" s="75">
        <v>72000</v>
      </c>
      <c r="G119" s="76">
        <f t="shared" si="42"/>
        <v>40.430183091933294</v>
      </c>
      <c r="I119" s="77">
        <f t="shared" si="46"/>
        <v>115</v>
      </c>
      <c r="J119" s="73">
        <f t="shared" si="43"/>
        <v>2029</v>
      </c>
      <c r="K119" s="78">
        <f t="shared" si="45"/>
        <v>47423</v>
      </c>
    </row>
    <row r="120" spans="2:11" hidden="1" outlineLevel="1">
      <c r="B120" s="82">
        <f t="shared" si="40"/>
        <v>47453</v>
      </c>
      <c r="C120" s="79">
        <v>2231885.7274570912</v>
      </c>
      <c r="D120" s="80">
        <f>IF(F120&lt;&gt;0,VLOOKUP($J120,'Table 1'!$B$13:$C$33,2,FALSE)/12*1000*Study_MW,0)</f>
        <v>1023955.3461547175</v>
      </c>
      <c r="E120" s="80">
        <f t="shared" si="41"/>
        <v>3255841.0736118089</v>
      </c>
      <c r="F120" s="79">
        <v>74400</v>
      </c>
      <c r="G120" s="81">
        <f t="shared" si="42"/>
        <v>43.761304752846897</v>
      </c>
      <c r="I120" s="64">
        <f t="shared" si="46"/>
        <v>116</v>
      </c>
      <c r="J120" s="73">
        <f t="shared" si="43"/>
        <v>2029</v>
      </c>
      <c r="K120" s="82">
        <f t="shared" si="45"/>
        <v>47453</v>
      </c>
    </row>
    <row r="121" spans="2:11" hidden="1" outlineLevel="1">
      <c r="B121" s="74">
        <f t="shared" si="40"/>
        <v>47484</v>
      </c>
      <c r="C121" s="69">
        <v>1794892.9111847878</v>
      </c>
      <c r="D121" s="70">
        <f>IF(F121&lt;&gt;0,VLOOKUP($J121,'Table 1'!$B$13:$C$33,2,FALSE)/12*1000*Study_MW,0)</f>
        <v>1047508.3821559257</v>
      </c>
      <c r="E121" s="70">
        <f t="shared" si="41"/>
        <v>2842401.2933407137</v>
      </c>
      <c r="F121" s="69">
        <v>74400</v>
      </c>
      <c r="G121" s="72">
        <f t="shared" si="42"/>
        <v>38.204318458880557</v>
      </c>
      <c r="I121" s="60">
        <f>I109+13</f>
        <v>118</v>
      </c>
      <c r="J121" s="73">
        <f t="shared" si="43"/>
        <v>2030</v>
      </c>
      <c r="K121" s="74">
        <f t="shared" si="45"/>
        <v>47484</v>
      </c>
    </row>
    <row r="122" spans="2:11" hidden="1" outlineLevel="1">
      <c r="B122" s="78">
        <f t="shared" si="40"/>
        <v>47515</v>
      </c>
      <c r="C122" s="75">
        <v>1715410.0504254401</v>
      </c>
      <c r="D122" s="71">
        <f>IF(F122&lt;&gt;0,VLOOKUP($J122,'Table 1'!$B$13:$C$33,2,FALSE)/12*1000*Study_MW,0)</f>
        <v>1047508.3821559257</v>
      </c>
      <c r="E122" s="71">
        <f t="shared" si="41"/>
        <v>2762918.432581366</v>
      </c>
      <c r="F122" s="75">
        <v>67200</v>
      </c>
      <c r="G122" s="76">
        <f t="shared" si="42"/>
        <v>41.114857627698896</v>
      </c>
      <c r="I122" s="77">
        <f t="shared" ref="I122:I132" si="47">I110+13</f>
        <v>119</v>
      </c>
      <c r="J122" s="73">
        <f t="shared" si="43"/>
        <v>2030</v>
      </c>
      <c r="K122" s="78">
        <f t="shared" si="45"/>
        <v>47515</v>
      </c>
    </row>
    <row r="123" spans="2:11" hidden="1" outlineLevel="1">
      <c r="B123" s="78">
        <f t="shared" si="40"/>
        <v>47543</v>
      </c>
      <c r="C123" s="75">
        <v>1451445.1476103365</v>
      </c>
      <c r="D123" s="71">
        <f>IF(F123&lt;&gt;0,VLOOKUP($J123,'Table 1'!$B$13:$C$33,2,FALSE)/12*1000*Study_MW,0)</f>
        <v>1047508.3821559257</v>
      </c>
      <c r="E123" s="71">
        <f t="shared" si="41"/>
        <v>2498953.5297662625</v>
      </c>
      <c r="F123" s="75">
        <v>74400</v>
      </c>
      <c r="G123" s="76">
        <f t="shared" si="42"/>
        <v>33.588085077503528</v>
      </c>
      <c r="I123" s="77">
        <f t="shared" si="47"/>
        <v>120</v>
      </c>
      <c r="J123" s="73">
        <f t="shared" si="43"/>
        <v>2030</v>
      </c>
      <c r="K123" s="78">
        <f t="shared" si="45"/>
        <v>47543</v>
      </c>
    </row>
    <row r="124" spans="2:11" hidden="1" outlineLevel="1">
      <c r="B124" s="78">
        <f t="shared" si="40"/>
        <v>47574</v>
      </c>
      <c r="C124" s="75">
        <v>1234596.4267623276</v>
      </c>
      <c r="D124" s="71">
        <f>IF(F124&lt;&gt;0,VLOOKUP($J124,'Table 1'!$B$13:$C$33,2,FALSE)/12*1000*Study_MW,0)</f>
        <v>1047508.3821559257</v>
      </c>
      <c r="E124" s="71">
        <f t="shared" si="41"/>
        <v>2282104.8089182535</v>
      </c>
      <c r="F124" s="75">
        <v>72000</v>
      </c>
      <c r="G124" s="76">
        <f t="shared" si="42"/>
        <v>31.695900123864632</v>
      </c>
      <c r="I124" s="77">
        <f t="shared" si="47"/>
        <v>121</v>
      </c>
      <c r="J124" s="73">
        <f t="shared" si="43"/>
        <v>2030</v>
      </c>
      <c r="K124" s="78">
        <f t="shared" si="45"/>
        <v>47574</v>
      </c>
    </row>
    <row r="125" spans="2:11" hidden="1" outlineLevel="1">
      <c r="B125" s="78">
        <f t="shared" si="40"/>
        <v>47604</v>
      </c>
      <c r="C125" s="75">
        <v>1119870.3196608573</v>
      </c>
      <c r="D125" s="71">
        <f>IF(F125&lt;&gt;0,VLOOKUP($J125,'Table 1'!$B$13:$C$33,2,FALSE)/12*1000*Study_MW,0)</f>
        <v>1047508.3821559257</v>
      </c>
      <c r="E125" s="71">
        <f t="shared" si="41"/>
        <v>2167378.7018167833</v>
      </c>
      <c r="F125" s="75">
        <v>74400</v>
      </c>
      <c r="G125" s="76">
        <f t="shared" si="42"/>
        <v>29.131434164204077</v>
      </c>
      <c r="I125" s="77">
        <f t="shared" si="47"/>
        <v>122</v>
      </c>
      <c r="J125" s="73">
        <f t="shared" si="43"/>
        <v>2030</v>
      </c>
      <c r="K125" s="78">
        <f t="shared" si="45"/>
        <v>47604</v>
      </c>
    </row>
    <row r="126" spans="2:11" hidden="1" outlineLevel="1">
      <c r="B126" s="78">
        <f t="shared" si="40"/>
        <v>47635</v>
      </c>
      <c r="C126" s="75">
        <v>1929039.9573876113</v>
      </c>
      <c r="D126" s="71">
        <f>IF(F126&lt;&gt;0,VLOOKUP($J126,'Table 1'!$B$13:$C$33,2,FALSE)/12*1000*Study_MW,0)</f>
        <v>1047508.3821559257</v>
      </c>
      <c r="E126" s="71">
        <f t="shared" si="41"/>
        <v>2976548.3395435372</v>
      </c>
      <c r="F126" s="75">
        <v>72000</v>
      </c>
      <c r="G126" s="76">
        <f t="shared" si="42"/>
        <v>41.340949160326907</v>
      </c>
      <c r="I126" s="77">
        <f t="shared" si="47"/>
        <v>123</v>
      </c>
      <c r="J126" s="73">
        <f t="shared" si="43"/>
        <v>2030</v>
      </c>
      <c r="K126" s="78">
        <f t="shared" si="45"/>
        <v>47635</v>
      </c>
    </row>
    <row r="127" spans="2:11" hidden="1" outlineLevel="1">
      <c r="B127" s="78">
        <f t="shared" si="40"/>
        <v>47665</v>
      </c>
      <c r="C127" s="75">
        <v>2785851.0555937588</v>
      </c>
      <c r="D127" s="71">
        <f>IF(F127&lt;&gt;0,VLOOKUP($J127,'Table 1'!$B$13:$C$33,2,FALSE)/12*1000*Study_MW,0)</f>
        <v>1047508.3821559257</v>
      </c>
      <c r="E127" s="71">
        <f t="shared" si="41"/>
        <v>3833359.4377496848</v>
      </c>
      <c r="F127" s="75">
        <v>74400</v>
      </c>
      <c r="G127" s="76">
        <f t="shared" si="42"/>
        <v>51.5236483568506</v>
      </c>
      <c r="I127" s="77">
        <f t="shared" si="47"/>
        <v>124</v>
      </c>
      <c r="J127" s="73">
        <f t="shared" si="43"/>
        <v>2030</v>
      </c>
      <c r="K127" s="78">
        <f t="shared" si="45"/>
        <v>47665</v>
      </c>
    </row>
    <row r="128" spans="2:11" hidden="1" outlineLevel="1">
      <c r="B128" s="78">
        <f t="shared" si="40"/>
        <v>47696</v>
      </c>
      <c r="C128" s="75">
        <v>2843860.214479208</v>
      </c>
      <c r="D128" s="71">
        <f>IF(F128&lt;&gt;0,VLOOKUP($J128,'Table 1'!$B$13:$C$33,2,FALSE)/12*1000*Study_MW,0)</f>
        <v>1047508.3821559257</v>
      </c>
      <c r="E128" s="71">
        <f t="shared" si="41"/>
        <v>3891368.596635134</v>
      </c>
      <c r="F128" s="75">
        <v>74400</v>
      </c>
      <c r="G128" s="76">
        <f t="shared" si="42"/>
        <v>52.303341352622766</v>
      </c>
      <c r="I128" s="77">
        <f t="shared" si="47"/>
        <v>125</v>
      </c>
      <c r="J128" s="73">
        <f t="shared" si="43"/>
        <v>2030</v>
      </c>
      <c r="K128" s="78">
        <f t="shared" si="45"/>
        <v>47696</v>
      </c>
    </row>
    <row r="129" spans="2:11" hidden="1" outlineLevel="1">
      <c r="B129" s="78">
        <f t="shared" si="40"/>
        <v>47727</v>
      </c>
      <c r="C129" s="75">
        <v>2097809.3683646917</v>
      </c>
      <c r="D129" s="71">
        <f>IF(F129&lt;&gt;0,VLOOKUP($J129,'Table 1'!$B$13:$C$33,2,FALSE)/12*1000*Study_MW,0)</f>
        <v>1047508.3821559257</v>
      </c>
      <c r="E129" s="71">
        <f t="shared" si="41"/>
        <v>3145317.7505206177</v>
      </c>
      <c r="F129" s="75">
        <v>72000</v>
      </c>
      <c r="G129" s="76">
        <f t="shared" si="42"/>
        <v>43.684968757230799</v>
      </c>
      <c r="I129" s="77">
        <f t="shared" si="47"/>
        <v>126</v>
      </c>
      <c r="J129" s="73">
        <f t="shared" si="43"/>
        <v>2030</v>
      </c>
      <c r="K129" s="78">
        <f t="shared" si="45"/>
        <v>47727</v>
      </c>
    </row>
    <row r="130" spans="2:11" hidden="1" outlineLevel="1">
      <c r="B130" s="78">
        <f t="shared" si="40"/>
        <v>47757</v>
      </c>
      <c r="C130" s="75">
        <v>2046315.9342501611</v>
      </c>
      <c r="D130" s="71">
        <f>IF(F130&lt;&gt;0,VLOOKUP($J130,'Table 1'!$B$13:$C$33,2,FALSE)/12*1000*Study_MW,0)</f>
        <v>1047508.3821559257</v>
      </c>
      <c r="E130" s="71">
        <f t="shared" si="41"/>
        <v>3093824.316406087</v>
      </c>
      <c r="F130" s="75">
        <v>74400</v>
      </c>
      <c r="G130" s="76">
        <f t="shared" si="42"/>
        <v>41.58366016674848</v>
      </c>
      <c r="I130" s="77">
        <f t="shared" si="47"/>
        <v>127</v>
      </c>
      <c r="J130" s="73">
        <f t="shared" si="43"/>
        <v>2030</v>
      </c>
      <c r="K130" s="78">
        <f t="shared" si="45"/>
        <v>47757</v>
      </c>
    </row>
    <row r="131" spans="2:11" hidden="1" outlineLevel="1">
      <c r="B131" s="78">
        <f t="shared" si="40"/>
        <v>47788</v>
      </c>
      <c r="C131" s="75">
        <v>1794011.5179905444</v>
      </c>
      <c r="D131" s="71">
        <f>IF(F131&lt;&gt;0,VLOOKUP($J131,'Table 1'!$B$13:$C$33,2,FALSE)/12*1000*Study_MW,0)</f>
        <v>1047508.3821559257</v>
      </c>
      <c r="E131" s="71">
        <f t="shared" si="41"/>
        <v>2841519.9001464704</v>
      </c>
      <c r="F131" s="75">
        <v>72000</v>
      </c>
      <c r="G131" s="76">
        <f t="shared" si="42"/>
        <v>39.465554168700976</v>
      </c>
      <c r="I131" s="77">
        <f t="shared" si="47"/>
        <v>128</v>
      </c>
      <c r="J131" s="73">
        <f t="shared" si="43"/>
        <v>2030</v>
      </c>
      <c r="K131" s="78">
        <f t="shared" si="45"/>
        <v>47788</v>
      </c>
    </row>
    <row r="132" spans="2:11" hidden="1" outlineLevel="1">
      <c r="B132" s="82">
        <f t="shared" si="40"/>
        <v>47818</v>
      </c>
      <c r="C132" s="79">
        <v>2211317.949170202</v>
      </c>
      <c r="D132" s="80">
        <f>IF(F132&lt;&gt;0,VLOOKUP($J132,'Table 1'!$B$13:$C$33,2,FALSE)/12*1000*Study_MW,0)</f>
        <v>1047508.3821559257</v>
      </c>
      <c r="E132" s="80">
        <f t="shared" si="41"/>
        <v>3258826.331326128</v>
      </c>
      <c r="F132" s="79">
        <v>74400</v>
      </c>
      <c r="G132" s="81">
        <f t="shared" si="42"/>
        <v>43.801429184490971</v>
      </c>
      <c r="I132" s="64">
        <f t="shared" si="47"/>
        <v>129</v>
      </c>
      <c r="J132" s="73">
        <f t="shared" si="43"/>
        <v>2030</v>
      </c>
      <c r="K132" s="82">
        <f t="shared" si="45"/>
        <v>47818</v>
      </c>
    </row>
    <row r="133" spans="2:11" hidden="1" outlineLevel="1">
      <c r="B133" s="74">
        <f t="shared" si="40"/>
        <v>47849</v>
      </c>
      <c r="C133" s="69">
        <v>2046861.3660211265</v>
      </c>
      <c r="D133" s="70">
        <f>IF(F133&lt;&gt;0,VLOOKUP($J133,'Table 1'!$B$13:$C$33,2,FALSE)/12*1000*Study_MW,0)</f>
        <v>1071663.1380549751</v>
      </c>
      <c r="E133" s="70">
        <f t="shared" si="41"/>
        <v>3118524.5040761018</v>
      </c>
      <c r="F133" s="69">
        <v>74400</v>
      </c>
      <c r="G133" s="72">
        <f t="shared" si="42"/>
        <v>41.915651936506748</v>
      </c>
      <c r="I133" s="60">
        <f>I13</f>
        <v>1</v>
      </c>
      <c r="J133" s="73">
        <f t="shared" si="43"/>
        <v>2031</v>
      </c>
      <c r="K133" s="74">
        <f t="shared" si="45"/>
        <v>47849</v>
      </c>
    </row>
    <row r="134" spans="2:11" hidden="1" outlineLevel="1">
      <c r="B134" s="78">
        <f t="shared" si="40"/>
        <v>47880</v>
      </c>
      <c r="C134" s="75">
        <v>1846913.6286498308</v>
      </c>
      <c r="D134" s="71">
        <f>IF(F134&lt;&gt;0,VLOOKUP($J134,'Table 1'!$B$13:$C$33,2,FALSE)/12*1000*Study_MW,0)</f>
        <v>1071663.1380549751</v>
      </c>
      <c r="E134" s="71">
        <f t="shared" si="41"/>
        <v>2918576.7667048061</v>
      </c>
      <c r="F134" s="75">
        <v>67200</v>
      </c>
      <c r="G134" s="76">
        <f t="shared" si="42"/>
        <v>43.431201885488186</v>
      </c>
      <c r="I134" s="77">
        <f t="shared" ref="I134:I197" si="48">I14</f>
        <v>2</v>
      </c>
      <c r="J134" s="73">
        <f t="shared" si="43"/>
        <v>2031</v>
      </c>
      <c r="K134" s="78">
        <f t="shared" si="45"/>
        <v>47880</v>
      </c>
    </row>
    <row r="135" spans="2:11" hidden="1" outlineLevel="1">
      <c r="B135" s="78">
        <f t="shared" si="40"/>
        <v>47908</v>
      </c>
      <c r="C135" s="75">
        <v>1595368.0330776125</v>
      </c>
      <c r="D135" s="71">
        <f>IF(F135&lt;&gt;0,VLOOKUP($J135,'Table 1'!$B$13:$C$33,2,FALSE)/12*1000*Study_MW,0)</f>
        <v>1071663.1380549751</v>
      </c>
      <c r="E135" s="71">
        <f t="shared" si="41"/>
        <v>2667031.1711325878</v>
      </c>
      <c r="F135" s="75">
        <v>74400</v>
      </c>
      <c r="G135" s="76">
        <f t="shared" si="42"/>
        <v>35.847193160384244</v>
      </c>
      <c r="I135" s="77">
        <f t="shared" si="48"/>
        <v>3</v>
      </c>
      <c r="J135" s="73">
        <f t="shared" si="43"/>
        <v>2031</v>
      </c>
      <c r="K135" s="78">
        <f t="shared" si="45"/>
        <v>47908</v>
      </c>
    </row>
    <row r="136" spans="2:11" hidden="1" outlineLevel="1">
      <c r="B136" s="78">
        <f t="shared" si="40"/>
        <v>47939</v>
      </c>
      <c r="C136" s="75">
        <v>1263350.6444798708</v>
      </c>
      <c r="D136" s="71">
        <f>IF(F136&lt;&gt;0,VLOOKUP($J136,'Table 1'!$B$13:$C$33,2,FALSE)/12*1000*Study_MW,0)</f>
        <v>1071663.1380549751</v>
      </c>
      <c r="E136" s="71">
        <f t="shared" si="41"/>
        <v>2335013.7825348461</v>
      </c>
      <c r="F136" s="75">
        <v>72000</v>
      </c>
      <c r="G136" s="76">
        <f t="shared" si="42"/>
        <v>32.430746979650642</v>
      </c>
      <c r="I136" s="77">
        <f t="shared" si="48"/>
        <v>4</v>
      </c>
      <c r="J136" s="73">
        <f t="shared" si="43"/>
        <v>2031</v>
      </c>
      <c r="K136" s="78">
        <f t="shared" si="45"/>
        <v>47939</v>
      </c>
    </row>
    <row r="137" spans="2:11" hidden="1" outlineLevel="1">
      <c r="B137" s="78">
        <f t="shared" si="40"/>
        <v>47969</v>
      </c>
      <c r="C137" s="75">
        <v>1108666.8759327233</v>
      </c>
      <c r="D137" s="71">
        <f>IF(F137&lt;&gt;0,VLOOKUP($J137,'Table 1'!$B$13:$C$33,2,FALSE)/12*1000*Study_MW,0)</f>
        <v>1071663.1380549751</v>
      </c>
      <c r="E137" s="71">
        <f t="shared" si="41"/>
        <v>2180330.0139876986</v>
      </c>
      <c r="F137" s="75">
        <v>74400</v>
      </c>
      <c r="G137" s="76">
        <f t="shared" si="42"/>
        <v>29.305510940694873</v>
      </c>
      <c r="I137" s="77">
        <f t="shared" si="48"/>
        <v>5</v>
      </c>
      <c r="J137" s="73">
        <f t="shared" si="43"/>
        <v>2031</v>
      </c>
      <c r="K137" s="78">
        <f t="shared" si="45"/>
        <v>47969</v>
      </c>
    </row>
    <row r="138" spans="2:11" hidden="1" outlineLevel="1">
      <c r="B138" s="78">
        <f t="shared" si="40"/>
        <v>48000</v>
      </c>
      <c r="C138" s="75">
        <v>2040072.3876934201</v>
      </c>
      <c r="D138" s="71">
        <f>IF(F138&lt;&gt;0,VLOOKUP($J138,'Table 1'!$B$13:$C$33,2,FALSE)/12*1000*Study_MW,0)</f>
        <v>1071663.1380549751</v>
      </c>
      <c r="E138" s="71">
        <f t="shared" si="41"/>
        <v>3111735.5257483954</v>
      </c>
      <c r="F138" s="75">
        <v>72000</v>
      </c>
      <c r="G138" s="76">
        <f t="shared" si="42"/>
        <v>43.218548968727717</v>
      </c>
      <c r="I138" s="77">
        <f t="shared" si="48"/>
        <v>6</v>
      </c>
      <c r="J138" s="73">
        <f t="shared" si="43"/>
        <v>2031</v>
      </c>
      <c r="K138" s="78">
        <f t="shared" si="45"/>
        <v>48000</v>
      </c>
    </row>
    <row r="139" spans="2:11" hidden="1" outlineLevel="1">
      <c r="B139" s="78">
        <f t="shared" si="40"/>
        <v>48030</v>
      </c>
      <c r="C139" s="75">
        <v>2887495.3583469391</v>
      </c>
      <c r="D139" s="71">
        <f>IF(F139&lt;&gt;0,VLOOKUP($J139,'Table 1'!$B$13:$C$33,2,FALSE)/12*1000*Study_MW,0)</f>
        <v>1071663.1380549751</v>
      </c>
      <c r="E139" s="71">
        <f t="shared" si="41"/>
        <v>3959158.4964019144</v>
      </c>
      <c r="F139" s="75">
        <v>74400</v>
      </c>
      <c r="G139" s="76">
        <f t="shared" si="42"/>
        <v>53.214495919380568</v>
      </c>
      <c r="I139" s="77">
        <f t="shared" si="48"/>
        <v>7</v>
      </c>
      <c r="J139" s="73">
        <f t="shared" si="43"/>
        <v>2031</v>
      </c>
      <c r="K139" s="78">
        <f t="shared" si="45"/>
        <v>48030</v>
      </c>
    </row>
    <row r="140" spans="2:11" hidden="1" outlineLevel="1">
      <c r="B140" s="78">
        <f t="shared" si="40"/>
        <v>48061</v>
      </c>
      <c r="C140" s="75">
        <v>2962863.7216546535</v>
      </c>
      <c r="D140" s="71">
        <f>IF(F140&lt;&gt;0,VLOOKUP($J140,'Table 1'!$B$13:$C$33,2,FALSE)/12*1000*Study_MW,0)</f>
        <v>1071663.1380549751</v>
      </c>
      <c r="E140" s="71">
        <f t="shared" si="41"/>
        <v>4034526.8597096289</v>
      </c>
      <c r="F140" s="75">
        <v>74400</v>
      </c>
      <c r="G140" s="76">
        <f t="shared" si="42"/>
        <v>54.227511555236944</v>
      </c>
      <c r="I140" s="77">
        <f t="shared" si="48"/>
        <v>8</v>
      </c>
      <c r="J140" s="73">
        <f t="shared" si="43"/>
        <v>2031</v>
      </c>
      <c r="K140" s="78">
        <f t="shared" si="45"/>
        <v>48061</v>
      </c>
    </row>
    <row r="141" spans="2:11" hidden="1" outlineLevel="1">
      <c r="B141" s="78">
        <f t="shared" si="40"/>
        <v>48092</v>
      </c>
      <c r="C141" s="75">
        <v>2051358.7593114674</v>
      </c>
      <c r="D141" s="71">
        <f>IF(F141&lt;&gt;0,VLOOKUP($J141,'Table 1'!$B$13:$C$33,2,FALSE)/12*1000*Study_MW,0)</f>
        <v>1071663.1380549751</v>
      </c>
      <c r="E141" s="71">
        <f t="shared" si="41"/>
        <v>3123021.8973664427</v>
      </c>
      <c r="F141" s="75">
        <v>72000</v>
      </c>
      <c r="G141" s="76">
        <f t="shared" si="42"/>
        <v>43.375304130089482</v>
      </c>
      <c r="I141" s="77">
        <f t="shared" si="48"/>
        <v>9</v>
      </c>
      <c r="J141" s="73">
        <f t="shared" si="43"/>
        <v>2031</v>
      </c>
      <c r="K141" s="78">
        <f t="shared" si="45"/>
        <v>48092</v>
      </c>
    </row>
    <row r="142" spans="2:11" hidden="1" outlineLevel="1">
      <c r="B142" s="78">
        <f t="shared" ref="B142:B205" si="49">EDATE(B141,1)</f>
        <v>48122</v>
      </c>
      <c r="C142" s="75">
        <v>2078447.826725319</v>
      </c>
      <c r="D142" s="71">
        <f>IF(F142&lt;&gt;0,VLOOKUP($J142,'Table 1'!$B$13:$C$33,2,FALSE)/12*1000*Study_MW,0)</f>
        <v>1071663.1380549751</v>
      </c>
      <c r="E142" s="71">
        <f t="shared" ref="E142:E192" si="50">C142+D142</f>
        <v>3150110.9647802943</v>
      </c>
      <c r="F142" s="75">
        <v>74400</v>
      </c>
      <c r="G142" s="76">
        <f t="shared" ref="G142:G192" si="51">IF(ISNUMBER($F142),E142/$F142,"")</f>
        <v>42.340201139520083</v>
      </c>
      <c r="I142" s="77">
        <f t="shared" si="48"/>
        <v>10</v>
      </c>
      <c r="J142" s="73">
        <f t="shared" ref="J142:J192" si="52">YEAR(B142)</f>
        <v>2031</v>
      </c>
      <c r="K142" s="78">
        <f t="shared" si="45"/>
        <v>48122</v>
      </c>
    </row>
    <row r="143" spans="2:11" hidden="1" outlineLevel="1">
      <c r="B143" s="78">
        <f t="shared" si="49"/>
        <v>48153</v>
      </c>
      <c r="C143" s="75">
        <v>1859970.609680593</v>
      </c>
      <c r="D143" s="71">
        <f>IF(F143&lt;&gt;0,VLOOKUP($J143,'Table 1'!$B$13:$C$33,2,FALSE)/12*1000*Study_MW,0)</f>
        <v>1071663.1380549751</v>
      </c>
      <c r="E143" s="71">
        <f t="shared" si="50"/>
        <v>2931633.7477355683</v>
      </c>
      <c r="F143" s="75">
        <v>72000</v>
      </c>
      <c r="G143" s="76">
        <f t="shared" si="51"/>
        <v>40.717135385216224</v>
      </c>
      <c r="I143" s="77">
        <f t="shared" si="48"/>
        <v>11</v>
      </c>
      <c r="J143" s="73">
        <f t="shared" si="52"/>
        <v>2031</v>
      </c>
      <c r="K143" s="78">
        <f t="shared" si="45"/>
        <v>48153</v>
      </c>
    </row>
    <row r="144" spans="2:11" hidden="1" outlineLevel="1">
      <c r="B144" s="82">
        <f t="shared" si="49"/>
        <v>48183</v>
      </c>
      <c r="C144" s="79">
        <v>2607318.8286887109</v>
      </c>
      <c r="D144" s="80">
        <f>IF(F144&lt;&gt;0,VLOOKUP($J144,'Table 1'!$B$13:$C$33,2,FALSE)/12*1000*Study_MW,0)</f>
        <v>1071663.1380549751</v>
      </c>
      <c r="E144" s="80">
        <f t="shared" si="50"/>
        <v>3678981.9667436862</v>
      </c>
      <c r="F144" s="79">
        <v>74400</v>
      </c>
      <c r="G144" s="81">
        <f t="shared" si="51"/>
        <v>49.448682348705461</v>
      </c>
      <c r="I144" s="64">
        <f t="shared" si="48"/>
        <v>12</v>
      </c>
      <c r="J144" s="73">
        <f t="shared" si="52"/>
        <v>2031</v>
      </c>
      <c r="K144" s="82">
        <f t="shared" si="45"/>
        <v>48183</v>
      </c>
    </row>
    <row r="145" spans="2:11" hidden="1" outlineLevel="1">
      <c r="B145" s="74">
        <f t="shared" si="49"/>
        <v>48214</v>
      </c>
      <c r="C145" s="69">
        <v>2229356.0202643871</v>
      </c>
      <c r="D145" s="70">
        <f>IF(F145&lt;&gt;0,VLOOKUP($J145,'Table 1'!$B$13:$C$33,2,FALSE)/12*1000*Study_MW,0)</f>
        <v>1096247.6938810537</v>
      </c>
      <c r="E145" s="70">
        <f t="shared" si="50"/>
        <v>3325603.7141454406</v>
      </c>
      <c r="F145" s="69">
        <v>74400</v>
      </c>
      <c r="G145" s="72">
        <f t="shared" si="51"/>
        <v>44.698974652492481</v>
      </c>
      <c r="I145" s="60">
        <f>I25</f>
        <v>14</v>
      </c>
      <c r="J145" s="73">
        <f t="shared" si="52"/>
        <v>2032</v>
      </c>
      <c r="K145" s="74">
        <f t="shared" si="45"/>
        <v>48214</v>
      </c>
    </row>
    <row r="146" spans="2:11" hidden="1" outlineLevel="1">
      <c r="B146" s="78">
        <f t="shared" si="49"/>
        <v>48245</v>
      </c>
      <c r="C146" s="75">
        <v>1978952.8415814042</v>
      </c>
      <c r="D146" s="71">
        <f>IF(F146&lt;&gt;0,VLOOKUP($J146,'Table 1'!$B$13:$C$33,2,FALSE)/12*1000*Study_MW,0)</f>
        <v>1096247.6938810537</v>
      </c>
      <c r="E146" s="71">
        <f t="shared" si="50"/>
        <v>3075200.5354624577</v>
      </c>
      <c r="F146" s="75">
        <v>69600</v>
      </c>
      <c r="G146" s="76">
        <f t="shared" si="51"/>
        <v>44.183915739403126</v>
      </c>
      <c r="I146" s="77">
        <f t="shared" si="48"/>
        <v>15</v>
      </c>
      <c r="J146" s="73">
        <f t="shared" si="52"/>
        <v>2032</v>
      </c>
      <c r="K146" s="78">
        <f t="shared" si="45"/>
        <v>48245</v>
      </c>
    </row>
    <row r="147" spans="2:11" hidden="1" outlineLevel="1">
      <c r="B147" s="78">
        <f t="shared" si="49"/>
        <v>48274</v>
      </c>
      <c r="C147" s="75">
        <v>1640136.4502450526</v>
      </c>
      <c r="D147" s="71">
        <f>IF(F147&lt;&gt;0,VLOOKUP($J147,'Table 1'!$B$13:$C$33,2,FALSE)/12*1000*Study_MW,0)</f>
        <v>1096247.6938810537</v>
      </c>
      <c r="E147" s="71">
        <f t="shared" si="50"/>
        <v>2736384.1441261061</v>
      </c>
      <c r="F147" s="75">
        <v>74400</v>
      </c>
      <c r="G147" s="76">
        <f t="shared" si="51"/>
        <v>36.779356775888523</v>
      </c>
      <c r="I147" s="77">
        <f t="shared" si="48"/>
        <v>16</v>
      </c>
      <c r="J147" s="73">
        <f t="shared" si="52"/>
        <v>2032</v>
      </c>
      <c r="K147" s="78">
        <f t="shared" si="45"/>
        <v>48274</v>
      </c>
    </row>
    <row r="148" spans="2:11" hidden="1" outlineLevel="1">
      <c r="B148" s="78">
        <f t="shared" si="49"/>
        <v>48305</v>
      </c>
      <c r="C148" s="75">
        <v>1460758.5899008662</v>
      </c>
      <c r="D148" s="71">
        <f>IF(F148&lt;&gt;0,VLOOKUP($J148,'Table 1'!$B$13:$C$33,2,FALSE)/12*1000*Study_MW,0)</f>
        <v>1096247.6938810537</v>
      </c>
      <c r="E148" s="71">
        <f t="shared" si="50"/>
        <v>2557006.2837819196</v>
      </c>
      <c r="F148" s="75">
        <v>72000</v>
      </c>
      <c r="G148" s="76">
        <f t="shared" si="51"/>
        <v>35.513976163637771</v>
      </c>
      <c r="I148" s="77">
        <f t="shared" si="48"/>
        <v>17</v>
      </c>
      <c r="J148" s="73">
        <f t="shared" si="52"/>
        <v>2032</v>
      </c>
      <c r="K148" s="78">
        <f t="shared" si="45"/>
        <v>48305</v>
      </c>
    </row>
    <row r="149" spans="2:11" hidden="1" outlineLevel="1">
      <c r="B149" s="78">
        <f t="shared" si="49"/>
        <v>48335</v>
      </c>
      <c r="C149" s="75">
        <v>1172532.0917903334</v>
      </c>
      <c r="D149" s="71">
        <f>IF(F149&lt;&gt;0,VLOOKUP($J149,'Table 1'!$B$13:$C$33,2,FALSE)/12*1000*Study_MW,0)</f>
        <v>1096247.6938810537</v>
      </c>
      <c r="E149" s="71">
        <f t="shared" si="50"/>
        <v>2268779.7856713869</v>
      </c>
      <c r="F149" s="75">
        <v>74400</v>
      </c>
      <c r="G149" s="76">
        <f t="shared" si="51"/>
        <v>30.494351957948748</v>
      </c>
      <c r="I149" s="77">
        <f t="shared" si="48"/>
        <v>18</v>
      </c>
      <c r="J149" s="73">
        <f t="shared" si="52"/>
        <v>2032</v>
      </c>
      <c r="K149" s="78">
        <f t="shared" si="45"/>
        <v>48335</v>
      </c>
    </row>
    <row r="150" spans="2:11" hidden="1" outlineLevel="1">
      <c r="B150" s="78">
        <f t="shared" si="49"/>
        <v>48366</v>
      </c>
      <c r="C150" s="75">
        <v>2097735.0396086276</v>
      </c>
      <c r="D150" s="71">
        <f>IF(F150&lt;&gt;0,VLOOKUP($J150,'Table 1'!$B$13:$C$33,2,FALSE)/12*1000*Study_MW,0)</f>
        <v>1096247.6938810537</v>
      </c>
      <c r="E150" s="71">
        <f t="shared" si="50"/>
        <v>3193982.733489681</v>
      </c>
      <c r="F150" s="75">
        <v>72000</v>
      </c>
      <c r="G150" s="76">
        <f t="shared" si="51"/>
        <v>44.360871298467792</v>
      </c>
      <c r="I150" s="77">
        <f t="shared" si="48"/>
        <v>19</v>
      </c>
      <c r="J150" s="73">
        <f t="shared" si="52"/>
        <v>2032</v>
      </c>
      <c r="K150" s="78">
        <f t="shared" si="45"/>
        <v>48366</v>
      </c>
    </row>
    <row r="151" spans="2:11" hidden="1" outlineLevel="1">
      <c r="B151" s="78">
        <f t="shared" si="49"/>
        <v>48396</v>
      </c>
      <c r="C151" s="75">
        <v>2979970.9697275758</v>
      </c>
      <c r="D151" s="71">
        <f>IF(F151&lt;&gt;0,VLOOKUP($J151,'Table 1'!$B$13:$C$33,2,FALSE)/12*1000*Study_MW,0)</f>
        <v>1096247.6938810537</v>
      </c>
      <c r="E151" s="71">
        <f t="shared" si="50"/>
        <v>4076218.6636086293</v>
      </c>
      <c r="F151" s="75">
        <v>74400</v>
      </c>
      <c r="G151" s="76">
        <f t="shared" si="51"/>
        <v>54.787885263556845</v>
      </c>
      <c r="I151" s="77">
        <f t="shared" si="48"/>
        <v>20</v>
      </c>
      <c r="J151" s="73">
        <f t="shared" si="52"/>
        <v>2032</v>
      </c>
      <c r="K151" s="78">
        <f t="shared" si="45"/>
        <v>48396</v>
      </c>
    </row>
    <row r="152" spans="2:11" hidden="1" outlineLevel="1">
      <c r="B152" s="78">
        <f t="shared" si="49"/>
        <v>48427</v>
      </c>
      <c r="C152" s="75">
        <v>3030381.505797267</v>
      </c>
      <c r="D152" s="71">
        <f>IF(F152&lt;&gt;0,VLOOKUP($J152,'Table 1'!$B$13:$C$33,2,FALSE)/12*1000*Study_MW,0)</f>
        <v>1096247.6938810537</v>
      </c>
      <c r="E152" s="71">
        <f t="shared" si="50"/>
        <v>4126629.1996783204</v>
      </c>
      <c r="F152" s="75">
        <v>74400</v>
      </c>
      <c r="G152" s="76">
        <f t="shared" si="51"/>
        <v>55.465446232235493</v>
      </c>
      <c r="I152" s="77">
        <f t="shared" si="48"/>
        <v>21</v>
      </c>
      <c r="J152" s="73">
        <f t="shared" si="52"/>
        <v>2032</v>
      </c>
      <c r="K152" s="78">
        <f t="shared" si="45"/>
        <v>48427</v>
      </c>
    </row>
    <row r="153" spans="2:11" hidden="1" outlineLevel="1">
      <c r="B153" s="78">
        <f t="shared" si="49"/>
        <v>48458</v>
      </c>
      <c r="C153" s="75">
        <v>2175102.4295320362</v>
      </c>
      <c r="D153" s="71">
        <f>IF(F153&lt;&gt;0,VLOOKUP($J153,'Table 1'!$B$13:$C$33,2,FALSE)/12*1000*Study_MW,0)</f>
        <v>1096247.6938810537</v>
      </c>
      <c r="E153" s="71">
        <f t="shared" si="50"/>
        <v>3271350.1234130897</v>
      </c>
      <c r="F153" s="75">
        <v>72000</v>
      </c>
      <c r="G153" s="76">
        <f t="shared" si="51"/>
        <v>45.435418380737353</v>
      </c>
      <c r="I153" s="77">
        <f t="shared" si="48"/>
        <v>22</v>
      </c>
      <c r="J153" s="73">
        <f t="shared" si="52"/>
        <v>2032</v>
      </c>
      <c r="K153" s="78">
        <f t="shared" si="45"/>
        <v>48458</v>
      </c>
    </row>
    <row r="154" spans="2:11" hidden="1" outlineLevel="1">
      <c r="B154" s="78">
        <f t="shared" si="49"/>
        <v>48488</v>
      </c>
      <c r="C154" s="75">
        <v>2314024.2066824734</v>
      </c>
      <c r="D154" s="71">
        <f>IF(F154&lt;&gt;0,VLOOKUP($J154,'Table 1'!$B$13:$C$33,2,FALSE)/12*1000*Study_MW,0)</f>
        <v>1096247.6938810537</v>
      </c>
      <c r="E154" s="71">
        <f t="shared" si="50"/>
        <v>3410271.9005635269</v>
      </c>
      <c r="F154" s="75">
        <v>74400</v>
      </c>
      <c r="G154" s="76">
        <f t="shared" si="51"/>
        <v>45.83698791080009</v>
      </c>
      <c r="I154" s="77">
        <f t="shared" si="48"/>
        <v>23</v>
      </c>
      <c r="J154" s="73">
        <f t="shared" si="52"/>
        <v>2032</v>
      </c>
      <c r="K154" s="78">
        <f t="shared" ref="K154:K192" si="53">IF(ISNUMBER(F154),IF(F154&lt;&gt;0,B154,""),"")</f>
        <v>48488</v>
      </c>
    </row>
    <row r="155" spans="2:11" hidden="1" outlineLevel="1">
      <c r="B155" s="78">
        <f t="shared" si="49"/>
        <v>48519</v>
      </c>
      <c r="C155" s="75">
        <v>2332853.5730812103</v>
      </c>
      <c r="D155" s="71">
        <f>IF(F155&lt;&gt;0,VLOOKUP($J155,'Table 1'!$B$13:$C$33,2,FALSE)/12*1000*Study_MW,0)</f>
        <v>1096247.6938810537</v>
      </c>
      <c r="E155" s="71">
        <f t="shared" si="50"/>
        <v>3429101.2669622637</v>
      </c>
      <c r="F155" s="75">
        <v>72000</v>
      </c>
      <c r="G155" s="76">
        <f t="shared" si="51"/>
        <v>47.626406485586998</v>
      </c>
      <c r="I155" s="77">
        <f t="shared" si="48"/>
        <v>24</v>
      </c>
      <c r="J155" s="73">
        <f t="shared" si="52"/>
        <v>2032</v>
      </c>
      <c r="K155" s="78">
        <f t="shared" si="53"/>
        <v>48519</v>
      </c>
    </row>
    <row r="156" spans="2:11" hidden="1" outlineLevel="1">
      <c r="B156" s="82">
        <f t="shared" si="49"/>
        <v>48549</v>
      </c>
      <c r="C156" s="79">
        <v>2700415.307130754</v>
      </c>
      <c r="D156" s="80">
        <f>IF(F156&lt;&gt;0,VLOOKUP($J156,'Table 1'!$B$13:$C$33,2,FALSE)/12*1000*Study_MW,0)</f>
        <v>1096247.6938810537</v>
      </c>
      <c r="E156" s="80">
        <f t="shared" si="50"/>
        <v>3796663.0010118075</v>
      </c>
      <c r="F156" s="79">
        <v>74400</v>
      </c>
      <c r="G156" s="81">
        <f t="shared" si="51"/>
        <v>51.030416680266228</v>
      </c>
      <c r="I156" s="64">
        <f t="shared" si="48"/>
        <v>25</v>
      </c>
      <c r="J156" s="73">
        <f t="shared" si="52"/>
        <v>2032</v>
      </c>
      <c r="K156" s="82">
        <f t="shared" si="53"/>
        <v>48549</v>
      </c>
    </row>
    <row r="157" spans="2:11" hidden="1" outlineLevel="1">
      <c r="B157" s="74">
        <f t="shared" si="49"/>
        <v>48580</v>
      </c>
      <c r="C157" s="69">
        <v>2303691.3318811953</v>
      </c>
      <c r="D157" s="70">
        <f>IF(F157&lt;&gt;0,VLOOKUP($J157,'Table 1'!$B$13:$C$33,2,FALSE)/12*1000*Study_MW,0)</f>
        <v>1121433.9696049734</v>
      </c>
      <c r="E157" s="70">
        <f t="shared" si="50"/>
        <v>3425125.301486169</v>
      </c>
      <c r="F157" s="69">
        <v>74400</v>
      </c>
      <c r="G157" s="72">
        <f t="shared" si="51"/>
        <v>46.036630396319474</v>
      </c>
      <c r="I157" s="60">
        <f>I37</f>
        <v>27</v>
      </c>
      <c r="J157" s="73">
        <f t="shared" si="52"/>
        <v>2033</v>
      </c>
      <c r="K157" s="74">
        <f t="shared" si="53"/>
        <v>48580</v>
      </c>
    </row>
    <row r="158" spans="2:11" hidden="1" outlineLevel="1">
      <c r="B158" s="78">
        <f t="shared" si="49"/>
        <v>48611</v>
      </c>
      <c r="C158" s="75">
        <v>2036555.4708306789</v>
      </c>
      <c r="D158" s="71">
        <f>IF(F158&lt;&gt;0,VLOOKUP($J158,'Table 1'!$B$13:$C$33,2,FALSE)/12*1000*Study_MW,0)</f>
        <v>1121433.9696049734</v>
      </c>
      <c r="E158" s="71">
        <f t="shared" si="50"/>
        <v>3157989.4404356526</v>
      </c>
      <c r="F158" s="75">
        <v>67200</v>
      </c>
      <c r="G158" s="76">
        <f t="shared" si="51"/>
        <v>46.9938904826734</v>
      </c>
      <c r="I158" s="77">
        <f t="shared" si="48"/>
        <v>28</v>
      </c>
      <c r="J158" s="73">
        <f t="shared" si="52"/>
        <v>2033</v>
      </c>
      <c r="K158" s="78">
        <f t="shared" si="53"/>
        <v>48611</v>
      </c>
    </row>
    <row r="159" spans="2:11" hidden="1" outlineLevel="1">
      <c r="B159" s="78">
        <f t="shared" si="49"/>
        <v>48639</v>
      </c>
      <c r="C159" s="75">
        <v>1708057.8163940012</v>
      </c>
      <c r="D159" s="71">
        <f>IF(F159&lt;&gt;0,VLOOKUP($J159,'Table 1'!$B$13:$C$33,2,FALSE)/12*1000*Study_MW,0)</f>
        <v>1121433.9696049734</v>
      </c>
      <c r="E159" s="71">
        <f t="shared" si="50"/>
        <v>2829491.7859989749</v>
      </c>
      <c r="F159" s="75">
        <v>74400</v>
      </c>
      <c r="G159" s="76">
        <f t="shared" si="51"/>
        <v>38.030803575255042</v>
      </c>
      <c r="I159" s="77">
        <f t="shared" si="48"/>
        <v>29</v>
      </c>
      <c r="J159" s="73">
        <f t="shared" si="52"/>
        <v>2033</v>
      </c>
      <c r="K159" s="78">
        <f t="shared" si="53"/>
        <v>48639</v>
      </c>
    </row>
    <row r="160" spans="2:11" hidden="1" outlineLevel="1">
      <c r="B160" s="78">
        <f t="shared" si="49"/>
        <v>48670</v>
      </c>
      <c r="C160" s="75">
        <v>1310309.6651494205</v>
      </c>
      <c r="D160" s="71">
        <f>IF(F160&lt;&gt;0,VLOOKUP($J160,'Table 1'!$B$13:$C$33,2,FALSE)/12*1000*Study_MW,0)</f>
        <v>1121433.9696049734</v>
      </c>
      <c r="E160" s="71">
        <f t="shared" si="50"/>
        <v>2431743.6347543942</v>
      </c>
      <c r="F160" s="75">
        <v>72000</v>
      </c>
      <c r="G160" s="76">
        <f t="shared" si="51"/>
        <v>33.774217149366585</v>
      </c>
      <c r="I160" s="77">
        <f t="shared" si="48"/>
        <v>30</v>
      </c>
      <c r="J160" s="73">
        <f t="shared" si="52"/>
        <v>2033</v>
      </c>
      <c r="K160" s="78">
        <f t="shared" si="53"/>
        <v>48670</v>
      </c>
    </row>
    <row r="161" spans="2:11" hidden="1" outlineLevel="1">
      <c r="B161" s="78">
        <f t="shared" si="49"/>
        <v>48700</v>
      </c>
      <c r="C161" s="75">
        <v>1230311.8477414548</v>
      </c>
      <c r="D161" s="71">
        <f>IF(F161&lt;&gt;0,VLOOKUP($J161,'Table 1'!$B$13:$C$33,2,FALSE)/12*1000*Study_MW,0)</f>
        <v>1121433.9696049734</v>
      </c>
      <c r="E161" s="71">
        <f t="shared" si="50"/>
        <v>2351745.8173464285</v>
      </c>
      <c r="F161" s="75">
        <v>74400</v>
      </c>
      <c r="G161" s="76">
        <f t="shared" si="51"/>
        <v>31.609486792290706</v>
      </c>
      <c r="I161" s="77">
        <f t="shared" si="48"/>
        <v>31</v>
      </c>
      <c r="J161" s="73">
        <f t="shared" si="52"/>
        <v>2033</v>
      </c>
      <c r="K161" s="78">
        <f t="shared" si="53"/>
        <v>48700</v>
      </c>
    </row>
    <row r="162" spans="2:11" hidden="1" outlineLevel="1">
      <c r="B162" s="78">
        <f t="shared" si="49"/>
        <v>48731</v>
      </c>
      <c r="C162" s="75">
        <v>2119008.3435972333</v>
      </c>
      <c r="D162" s="71">
        <f>IF(F162&lt;&gt;0,VLOOKUP($J162,'Table 1'!$B$13:$C$33,2,FALSE)/12*1000*Study_MW,0)</f>
        <v>1121433.9696049734</v>
      </c>
      <c r="E162" s="71">
        <f t="shared" si="50"/>
        <v>3240442.313202207</v>
      </c>
      <c r="F162" s="75">
        <v>72000</v>
      </c>
      <c r="G162" s="76">
        <f t="shared" si="51"/>
        <v>45.006143238919542</v>
      </c>
      <c r="I162" s="77">
        <f t="shared" si="48"/>
        <v>32</v>
      </c>
      <c r="J162" s="73">
        <f t="shared" si="52"/>
        <v>2033</v>
      </c>
      <c r="K162" s="78">
        <f t="shared" si="53"/>
        <v>48731</v>
      </c>
    </row>
    <row r="163" spans="2:11" hidden="1" outlineLevel="1">
      <c r="B163" s="78">
        <f t="shared" si="49"/>
        <v>48761</v>
      </c>
      <c r="C163" s="75">
        <v>2987983.5890581012</v>
      </c>
      <c r="D163" s="71">
        <f>IF(F163&lt;&gt;0,VLOOKUP($J163,'Table 1'!$B$13:$C$33,2,FALSE)/12*1000*Study_MW,0)</f>
        <v>1121433.9696049734</v>
      </c>
      <c r="E163" s="71">
        <f t="shared" si="50"/>
        <v>4109417.5586630749</v>
      </c>
      <c r="F163" s="75">
        <v>74400</v>
      </c>
      <c r="G163" s="76">
        <f t="shared" si="51"/>
        <v>55.234106971277889</v>
      </c>
      <c r="I163" s="77">
        <f t="shared" si="48"/>
        <v>33</v>
      </c>
      <c r="J163" s="73">
        <f t="shared" si="52"/>
        <v>2033</v>
      </c>
      <c r="K163" s="78">
        <f t="shared" si="53"/>
        <v>48761</v>
      </c>
    </row>
    <row r="164" spans="2:11" hidden="1" outlineLevel="1">
      <c r="B164" s="78">
        <f t="shared" si="49"/>
        <v>48792</v>
      </c>
      <c r="C164" s="75">
        <v>3086617.7224743068</v>
      </c>
      <c r="D164" s="71">
        <f>IF(F164&lt;&gt;0,VLOOKUP($J164,'Table 1'!$B$13:$C$33,2,FALSE)/12*1000*Study_MW,0)</f>
        <v>1121433.9696049734</v>
      </c>
      <c r="E164" s="71">
        <f t="shared" si="50"/>
        <v>4208051.6920792805</v>
      </c>
      <c r="F164" s="75">
        <v>74400</v>
      </c>
      <c r="G164" s="76">
        <f t="shared" si="51"/>
        <v>56.559834570958074</v>
      </c>
      <c r="I164" s="77">
        <f t="shared" si="48"/>
        <v>34</v>
      </c>
      <c r="J164" s="73">
        <f t="shared" si="52"/>
        <v>2033</v>
      </c>
      <c r="K164" s="78">
        <f t="shared" si="53"/>
        <v>48792</v>
      </c>
    </row>
    <row r="165" spans="2:11" hidden="1" outlineLevel="1">
      <c r="B165" s="78">
        <f t="shared" si="49"/>
        <v>48823</v>
      </c>
      <c r="C165" s="75">
        <v>2270011.7212138921</v>
      </c>
      <c r="D165" s="71">
        <f>IF(F165&lt;&gt;0,VLOOKUP($J165,'Table 1'!$B$13:$C$33,2,FALSE)/12*1000*Study_MW,0)</f>
        <v>1121433.9696049734</v>
      </c>
      <c r="E165" s="71">
        <f t="shared" si="50"/>
        <v>3391445.6908188658</v>
      </c>
      <c r="F165" s="75">
        <v>72000</v>
      </c>
      <c r="G165" s="76">
        <f t="shared" si="51"/>
        <v>47.10341237248425</v>
      </c>
      <c r="I165" s="77">
        <f t="shared" si="48"/>
        <v>35</v>
      </c>
      <c r="J165" s="73">
        <f t="shared" si="52"/>
        <v>2033</v>
      </c>
      <c r="K165" s="78">
        <f t="shared" si="53"/>
        <v>48823</v>
      </c>
    </row>
    <row r="166" spans="2:11" hidden="1" outlineLevel="1">
      <c r="B166" s="78">
        <f t="shared" si="49"/>
        <v>48853</v>
      </c>
      <c r="C166" s="75">
        <v>2472585.7436721772</v>
      </c>
      <c r="D166" s="71">
        <f>IF(F166&lt;&gt;0,VLOOKUP($J166,'Table 1'!$B$13:$C$33,2,FALSE)/12*1000*Study_MW,0)</f>
        <v>1121433.9696049734</v>
      </c>
      <c r="E166" s="71">
        <f t="shared" si="50"/>
        <v>3594019.7132771509</v>
      </c>
      <c r="F166" s="75">
        <v>74400</v>
      </c>
      <c r="G166" s="76">
        <f t="shared" si="51"/>
        <v>48.306716576305789</v>
      </c>
      <c r="I166" s="77">
        <f t="shared" si="48"/>
        <v>36</v>
      </c>
      <c r="J166" s="73">
        <f t="shared" si="52"/>
        <v>2033</v>
      </c>
      <c r="K166" s="78">
        <f t="shared" si="53"/>
        <v>48853</v>
      </c>
    </row>
    <row r="167" spans="2:11" hidden="1" outlineLevel="1">
      <c r="B167" s="78">
        <f t="shared" si="49"/>
        <v>48884</v>
      </c>
      <c r="C167" s="75">
        <v>2239021.6744775027</v>
      </c>
      <c r="D167" s="71">
        <f>IF(F167&lt;&gt;0,VLOOKUP($J167,'Table 1'!$B$13:$C$33,2,FALSE)/12*1000*Study_MW,0)</f>
        <v>1121433.9696049734</v>
      </c>
      <c r="E167" s="71">
        <f t="shared" si="50"/>
        <v>3360455.6440824764</v>
      </c>
      <c r="F167" s="75">
        <v>72000</v>
      </c>
      <c r="G167" s="76">
        <f t="shared" si="51"/>
        <v>46.672995056701062</v>
      </c>
      <c r="I167" s="77">
        <f t="shared" si="48"/>
        <v>37</v>
      </c>
      <c r="J167" s="73">
        <f t="shared" si="52"/>
        <v>2033</v>
      </c>
      <c r="K167" s="78">
        <f t="shared" si="53"/>
        <v>48884</v>
      </c>
    </row>
    <row r="168" spans="2:11" hidden="1" outlineLevel="1">
      <c r="B168" s="82">
        <f t="shared" si="49"/>
        <v>48914</v>
      </c>
      <c r="C168" s="79">
        <v>2774882.5626396239</v>
      </c>
      <c r="D168" s="80">
        <f>IF(F168&lt;&gt;0,VLOOKUP($J168,'Table 1'!$B$13:$C$33,2,FALSE)/12*1000*Study_MW,0)</f>
        <v>1121433.9696049734</v>
      </c>
      <c r="E168" s="80">
        <f t="shared" si="50"/>
        <v>3896316.5322445976</v>
      </c>
      <c r="F168" s="79">
        <v>74400</v>
      </c>
      <c r="G168" s="81">
        <f t="shared" si="51"/>
        <v>52.369845863502654</v>
      </c>
      <c r="I168" s="64">
        <f t="shared" si="48"/>
        <v>38</v>
      </c>
      <c r="J168" s="73">
        <f t="shared" si="52"/>
        <v>2033</v>
      </c>
      <c r="K168" s="82">
        <f t="shared" si="53"/>
        <v>48914</v>
      </c>
    </row>
    <row r="169" spans="2:11" hidden="1" outlineLevel="1">
      <c r="B169" s="74">
        <f t="shared" si="49"/>
        <v>48945</v>
      </c>
      <c r="C169" s="69">
        <v>2436074.0546439737</v>
      </c>
      <c r="D169" s="70">
        <f>IF(F169&lt;&gt;0,VLOOKUP($J169,'Table 1'!$B$13:$C$33,2,FALSE)/12*1000*Study_MW,0)</f>
        <v>1147221.9652267343</v>
      </c>
      <c r="E169" s="70">
        <f t="shared" si="50"/>
        <v>3583296.0198707078</v>
      </c>
      <c r="F169" s="69">
        <v>74400</v>
      </c>
      <c r="G169" s="72">
        <f t="shared" si="51"/>
        <v>48.162580912240699</v>
      </c>
      <c r="I169" s="60">
        <f>I49</f>
        <v>40</v>
      </c>
      <c r="J169" s="73">
        <f t="shared" si="52"/>
        <v>2034</v>
      </c>
      <c r="K169" s="74">
        <f t="shared" si="53"/>
        <v>48945</v>
      </c>
    </row>
    <row r="170" spans="2:11" hidden="1" outlineLevel="1">
      <c r="B170" s="78">
        <f t="shared" si="49"/>
        <v>48976</v>
      </c>
      <c r="C170" s="75">
        <v>2129784.8997020423</v>
      </c>
      <c r="D170" s="71">
        <f>IF(F170&lt;&gt;0,VLOOKUP($J170,'Table 1'!$B$13:$C$33,2,FALSE)/12*1000*Study_MW,0)</f>
        <v>1147221.9652267343</v>
      </c>
      <c r="E170" s="71">
        <f t="shared" si="50"/>
        <v>3277006.8649287764</v>
      </c>
      <c r="F170" s="75">
        <v>67200</v>
      </c>
      <c r="G170" s="76">
        <f t="shared" si="51"/>
        <v>48.764983109059173</v>
      </c>
      <c r="I170" s="77">
        <f t="shared" si="48"/>
        <v>41</v>
      </c>
      <c r="J170" s="73">
        <f t="shared" si="52"/>
        <v>2034</v>
      </c>
      <c r="K170" s="78">
        <f t="shared" si="53"/>
        <v>48976</v>
      </c>
    </row>
    <row r="171" spans="2:11" hidden="1" outlineLevel="1">
      <c r="B171" s="78">
        <f t="shared" si="49"/>
        <v>49004</v>
      </c>
      <c r="C171" s="75">
        <v>1832678.0732673109</v>
      </c>
      <c r="D171" s="71">
        <f>IF(F171&lt;&gt;0,VLOOKUP($J171,'Table 1'!$B$13:$C$33,2,FALSE)/12*1000*Study_MW,0)</f>
        <v>1147221.9652267343</v>
      </c>
      <c r="E171" s="71">
        <f t="shared" si="50"/>
        <v>2979900.0384940449</v>
      </c>
      <c r="F171" s="75">
        <v>74400</v>
      </c>
      <c r="G171" s="76">
        <f t="shared" si="51"/>
        <v>40.052419872231788</v>
      </c>
      <c r="I171" s="77">
        <f t="shared" si="48"/>
        <v>42</v>
      </c>
      <c r="J171" s="73">
        <f t="shared" si="52"/>
        <v>2034</v>
      </c>
      <c r="K171" s="78">
        <f t="shared" si="53"/>
        <v>49004</v>
      </c>
    </row>
    <row r="172" spans="2:11" hidden="1" outlineLevel="1">
      <c r="B172" s="78">
        <f t="shared" si="49"/>
        <v>49035</v>
      </c>
      <c r="C172" s="75">
        <v>1353087.2241186947</v>
      </c>
      <c r="D172" s="71">
        <f>IF(F172&lt;&gt;0,VLOOKUP($J172,'Table 1'!$B$13:$C$33,2,FALSE)/12*1000*Study_MW,0)</f>
        <v>1147221.9652267343</v>
      </c>
      <c r="E172" s="71">
        <f t="shared" si="50"/>
        <v>2500309.1893454287</v>
      </c>
      <c r="F172" s="75">
        <v>72000</v>
      </c>
      <c r="G172" s="76">
        <f t="shared" si="51"/>
        <v>34.726516518686509</v>
      </c>
      <c r="I172" s="77">
        <f t="shared" si="48"/>
        <v>43</v>
      </c>
      <c r="J172" s="73">
        <f t="shared" si="52"/>
        <v>2034</v>
      </c>
      <c r="K172" s="78">
        <f t="shared" si="53"/>
        <v>49035</v>
      </c>
    </row>
    <row r="173" spans="2:11" hidden="1" outlineLevel="1">
      <c r="B173" s="78">
        <f t="shared" si="49"/>
        <v>49065</v>
      </c>
      <c r="C173" s="75">
        <v>1286263.578273043</v>
      </c>
      <c r="D173" s="71">
        <f>IF(F173&lt;&gt;0,VLOOKUP($J173,'Table 1'!$B$13:$C$33,2,FALSE)/12*1000*Study_MW,0)</f>
        <v>1147221.9652267343</v>
      </c>
      <c r="E173" s="71">
        <f t="shared" si="50"/>
        <v>2433485.5434997771</v>
      </c>
      <c r="F173" s="75">
        <v>74400</v>
      </c>
      <c r="G173" s="76">
        <f t="shared" si="51"/>
        <v>32.708139025534635</v>
      </c>
      <c r="I173" s="77">
        <f t="shared" si="48"/>
        <v>44</v>
      </c>
      <c r="J173" s="73">
        <f t="shared" si="52"/>
        <v>2034</v>
      </c>
      <c r="K173" s="78">
        <f t="shared" si="53"/>
        <v>49065</v>
      </c>
    </row>
    <row r="174" spans="2:11" hidden="1" outlineLevel="1">
      <c r="B174" s="78">
        <f t="shared" si="49"/>
        <v>49096</v>
      </c>
      <c r="C174" s="75">
        <v>2281990.5057865679</v>
      </c>
      <c r="D174" s="71">
        <f>IF(F174&lt;&gt;0,VLOOKUP($J174,'Table 1'!$B$13:$C$33,2,FALSE)/12*1000*Study_MW,0)</f>
        <v>1147221.9652267343</v>
      </c>
      <c r="E174" s="71">
        <f t="shared" si="50"/>
        <v>3429212.471013302</v>
      </c>
      <c r="F174" s="75">
        <v>72000</v>
      </c>
      <c r="G174" s="76">
        <f t="shared" si="51"/>
        <v>47.627950986295858</v>
      </c>
      <c r="I174" s="77">
        <f t="shared" si="48"/>
        <v>45</v>
      </c>
      <c r="J174" s="73">
        <f t="shared" si="52"/>
        <v>2034</v>
      </c>
      <c r="K174" s="78">
        <f t="shared" si="53"/>
        <v>49096</v>
      </c>
    </row>
    <row r="175" spans="2:11" hidden="1" outlineLevel="1">
      <c r="B175" s="78">
        <f t="shared" si="49"/>
        <v>49126</v>
      </c>
      <c r="C175" s="75">
        <v>3128609.0388169885</v>
      </c>
      <c r="D175" s="71">
        <f>IF(F175&lt;&gt;0,VLOOKUP($J175,'Table 1'!$B$13:$C$33,2,FALSE)/12*1000*Study_MW,0)</f>
        <v>1147221.9652267343</v>
      </c>
      <c r="E175" s="71">
        <f t="shared" si="50"/>
        <v>4275831.0040437225</v>
      </c>
      <c r="F175" s="75">
        <v>74400</v>
      </c>
      <c r="G175" s="76">
        <f t="shared" si="51"/>
        <v>57.470846828544659</v>
      </c>
      <c r="I175" s="77">
        <f t="shared" si="48"/>
        <v>46</v>
      </c>
      <c r="J175" s="73">
        <f t="shared" si="52"/>
        <v>2034</v>
      </c>
      <c r="K175" s="78">
        <f t="shared" si="53"/>
        <v>49126</v>
      </c>
    </row>
    <row r="176" spans="2:11" hidden="1" outlineLevel="1">
      <c r="B176" s="78">
        <f t="shared" si="49"/>
        <v>49157</v>
      </c>
      <c r="C176" s="75">
        <v>3210644.68125844</v>
      </c>
      <c r="D176" s="71">
        <f>IF(F176&lt;&gt;0,VLOOKUP($J176,'Table 1'!$B$13:$C$33,2,FALSE)/12*1000*Study_MW,0)</f>
        <v>1147221.9652267343</v>
      </c>
      <c r="E176" s="71">
        <f t="shared" si="50"/>
        <v>4357866.6464851741</v>
      </c>
      <c r="F176" s="75">
        <v>74400</v>
      </c>
      <c r="G176" s="76">
        <f t="shared" si="51"/>
        <v>58.573476431252338</v>
      </c>
      <c r="I176" s="77">
        <f t="shared" si="48"/>
        <v>47</v>
      </c>
      <c r="J176" s="73">
        <f t="shared" si="52"/>
        <v>2034</v>
      </c>
      <c r="K176" s="78">
        <f t="shared" si="53"/>
        <v>49157</v>
      </c>
    </row>
    <row r="177" spans="2:11" hidden="1" outlineLevel="1">
      <c r="B177" s="78">
        <f t="shared" si="49"/>
        <v>49188</v>
      </c>
      <c r="C177" s="75">
        <v>2305231.7603926212</v>
      </c>
      <c r="D177" s="71">
        <f>IF(F177&lt;&gt;0,VLOOKUP($J177,'Table 1'!$B$13:$C$33,2,FALSE)/12*1000*Study_MW,0)</f>
        <v>1147221.9652267343</v>
      </c>
      <c r="E177" s="71">
        <f t="shared" si="50"/>
        <v>3452453.7256193552</v>
      </c>
      <c r="F177" s="75">
        <v>72000</v>
      </c>
      <c r="G177" s="76">
        <f t="shared" si="51"/>
        <v>47.950746189157712</v>
      </c>
      <c r="I177" s="77">
        <f t="shared" si="48"/>
        <v>48</v>
      </c>
      <c r="J177" s="73">
        <f t="shared" si="52"/>
        <v>2034</v>
      </c>
      <c r="K177" s="78">
        <f t="shared" si="53"/>
        <v>49188</v>
      </c>
    </row>
    <row r="178" spans="2:11" hidden="1" outlineLevel="1">
      <c r="B178" s="78">
        <f t="shared" si="49"/>
        <v>49218</v>
      </c>
      <c r="C178" s="75">
        <v>2541470.1778442562</v>
      </c>
      <c r="D178" s="71">
        <f>IF(F178&lt;&gt;0,VLOOKUP($J178,'Table 1'!$B$13:$C$33,2,FALSE)/12*1000*Study_MW,0)</f>
        <v>1147221.9652267343</v>
      </c>
      <c r="E178" s="71">
        <f t="shared" si="50"/>
        <v>3688692.1430709902</v>
      </c>
      <c r="F178" s="75">
        <v>74400</v>
      </c>
      <c r="G178" s="76">
        <f t="shared" si="51"/>
        <v>49.579195471384274</v>
      </c>
      <c r="I178" s="77">
        <f t="shared" si="48"/>
        <v>49</v>
      </c>
      <c r="J178" s="73">
        <f t="shared" si="52"/>
        <v>2034</v>
      </c>
      <c r="K178" s="78">
        <f t="shared" si="53"/>
        <v>49218</v>
      </c>
    </row>
    <row r="179" spans="2:11" hidden="1" outlineLevel="1">
      <c r="B179" s="78">
        <f t="shared" si="49"/>
        <v>49249</v>
      </c>
      <c r="C179" s="75">
        <v>2321855.6511214226</v>
      </c>
      <c r="D179" s="71">
        <f>IF(F179&lt;&gt;0,VLOOKUP($J179,'Table 1'!$B$13:$C$33,2,FALSE)/12*1000*Study_MW,0)</f>
        <v>1147221.9652267343</v>
      </c>
      <c r="E179" s="71">
        <f t="shared" si="50"/>
        <v>3469077.6163481567</v>
      </c>
      <c r="F179" s="75">
        <v>72000</v>
      </c>
      <c r="G179" s="76">
        <f t="shared" si="51"/>
        <v>48.181633560391063</v>
      </c>
      <c r="I179" s="77">
        <f t="shared" si="48"/>
        <v>50</v>
      </c>
      <c r="J179" s="73">
        <f t="shared" si="52"/>
        <v>2034</v>
      </c>
      <c r="K179" s="78">
        <f t="shared" si="53"/>
        <v>49249</v>
      </c>
    </row>
    <row r="180" spans="2:11" hidden="1" outlineLevel="1">
      <c r="B180" s="82">
        <f t="shared" si="49"/>
        <v>49279</v>
      </c>
      <c r="C180" s="79">
        <v>2896441.7360244542</v>
      </c>
      <c r="D180" s="80">
        <f>IF(F180&lt;&gt;0,VLOOKUP($J180,'Table 1'!$B$13:$C$33,2,FALSE)/12*1000*Study_MW,0)</f>
        <v>1147221.9652267343</v>
      </c>
      <c r="E180" s="80">
        <f t="shared" si="50"/>
        <v>4043663.7012511883</v>
      </c>
      <c r="F180" s="79">
        <v>74400</v>
      </c>
      <c r="G180" s="81">
        <f t="shared" si="51"/>
        <v>54.350318565204141</v>
      </c>
      <c r="I180" s="64">
        <f t="shared" si="48"/>
        <v>51</v>
      </c>
      <c r="J180" s="73">
        <f t="shared" si="52"/>
        <v>2034</v>
      </c>
      <c r="K180" s="82">
        <f t="shared" si="53"/>
        <v>49279</v>
      </c>
    </row>
    <row r="181" spans="2:11" outlineLevel="1" collapsed="1">
      <c r="B181" s="74">
        <f t="shared" si="49"/>
        <v>49310</v>
      </c>
      <c r="C181" s="69">
        <v>2528518.6427749544</v>
      </c>
      <c r="D181" s="70">
        <f>IF(F181&lt;&gt;0,VLOOKUP($J181,'Table 1'!$B$13:$C$33,2,FALSE)/12*1000*Study_MW,0)</f>
        <v>1173611.6807463362</v>
      </c>
      <c r="E181" s="70">
        <f t="shared" si="50"/>
        <v>3702130.3235212909</v>
      </c>
      <c r="F181" s="69">
        <v>74400</v>
      </c>
      <c r="G181" s="72">
        <f t="shared" si="51"/>
        <v>49.75981617636144</v>
      </c>
      <c r="I181" s="60">
        <f>I61</f>
        <v>53</v>
      </c>
      <c r="J181" s="73">
        <f t="shared" si="52"/>
        <v>2035</v>
      </c>
      <c r="K181" s="74">
        <f t="shared" si="53"/>
        <v>49310</v>
      </c>
    </row>
    <row r="182" spans="2:11" outlineLevel="1">
      <c r="B182" s="78">
        <f t="shared" si="49"/>
        <v>49341</v>
      </c>
      <c r="C182" s="75">
        <v>2200783.6263954341</v>
      </c>
      <c r="D182" s="71">
        <f>IF(F182&lt;&gt;0,VLOOKUP($J182,'Table 1'!$B$13:$C$33,2,FALSE)/12*1000*Study_MW,0)</f>
        <v>1173611.6807463362</v>
      </c>
      <c r="E182" s="71">
        <f t="shared" si="50"/>
        <v>3374395.3071417706</v>
      </c>
      <c r="F182" s="75">
        <v>67200</v>
      </c>
      <c r="G182" s="76">
        <f t="shared" si="51"/>
        <v>50.214215880085874</v>
      </c>
      <c r="I182" s="77">
        <f t="shared" si="48"/>
        <v>54</v>
      </c>
      <c r="J182" s="73">
        <f t="shared" si="52"/>
        <v>2035</v>
      </c>
      <c r="K182" s="78">
        <f t="shared" si="53"/>
        <v>49341</v>
      </c>
    </row>
    <row r="183" spans="2:11" outlineLevel="1">
      <c r="B183" s="78">
        <f t="shared" si="49"/>
        <v>49369</v>
      </c>
      <c r="C183" s="75">
        <v>1947507.0030543059</v>
      </c>
      <c r="D183" s="71">
        <f>IF(F183&lt;&gt;0,VLOOKUP($J183,'Table 1'!$B$13:$C$33,2,FALSE)/12*1000*Study_MW,0)</f>
        <v>1173611.6807463362</v>
      </c>
      <c r="E183" s="71">
        <f t="shared" si="50"/>
        <v>3121118.6838006424</v>
      </c>
      <c r="F183" s="75">
        <v>74400</v>
      </c>
      <c r="G183" s="76">
        <f t="shared" si="51"/>
        <v>41.950519943557019</v>
      </c>
      <c r="I183" s="77">
        <f t="shared" si="48"/>
        <v>55</v>
      </c>
      <c r="J183" s="73">
        <f t="shared" si="52"/>
        <v>2035</v>
      </c>
      <c r="K183" s="78">
        <f t="shared" si="53"/>
        <v>49369</v>
      </c>
    </row>
    <row r="184" spans="2:11" outlineLevel="1">
      <c r="B184" s="78">
        <f t="shared" si="49"/>
        <v>49400</v>
      </c>
      <c r="C184" s="75">
        <v>1526417.0293787122</v>
      </c>
      <c r="D184" s="71">
        <f>IF(F184&lt;&gt;0,VLOOKUP($J184,'Table 1'!$B$13:$C$33,2,FALSE)/12*1000*Study_MW,0)</f>
        <v>1173611.6807463362</v>
      </c>
      <c r="E184" s="71">
        <f t="shared" si="50"/>
        <v>2700028.7101250486</v>
      </c>
      <c r="F184" s="75">
        <v>72000</v>
      </c>
      <c r="G184" s="76">
        <f t="shared" si="51"/>
        <v>37.500398751736789</v>
      </c>
      <c r="I184" s="77">
        <f t="shared" si="48"/>
        <v>56</v>
      </c>
      <c r="J184" s="73">
        <f t="shared" si="52"/>
        <v>2035</v>
      </c>
      <c r="K184" s="78">
        <f t="shared" si="53"/>
        <v>49400</v>
      </c>
    </row>
    <row r="185" spans="2:11" outlineLevel="1">
      <c r="B185" s="78">
        <f t="shared" si="49"/>
        <v>49430</v>
      </c>
      <c r="C185" s="75">
        <v>1302391.5670398623</v>
      </c>
      <c r="D185" s="71">
        <f>IF(F185&lt;&gt;0,VLOOKUP($J185,'Table 1'!$B$13:$C$33,2,FALSE)/12*1000*Study_MW,0)</f>
        <v>1173611.6807463362</v>
      </c>
      <c r="E185" s="71">
        <f t="shared" si="50"/>
        <v>2476003.2477861987</v>
      </c>
      <c r="F185" s="75">
        <v>74400</v>
      </c>
      <c r="G185" s="76">
        <f t="shared" si="51"/>
        <v>33.279613545513421</v>
      </c>
      <c r="I185" s="77">
        <f t="shared" si="48"/>
        <v>57</v>
      </c>
      <c r="J185" s="73">
        <f t="shared" si="52"/>
        <v>2035</v>
      </c>
      <c r="K185" s="78">
        <f t="shared" si="53"/>
        <v>49430</v>
      </c>
    </row>
    <row r="186" spans="2:11" outlineLevel="1">
      <c r="B186" s="78">
        <f t="shared" si="49"/>
        <v>49461</v>
      </c>
      <c r="C186" s="75">
        <v>2091985.4917847067</v>
      </c>
      <c r="D186" s="71">
        <f>IF(F186&lt;&gt;0,VLOOKUP($J186,'Table 1'!$B$13:$C$33,2,FALSE)/12*1000*Study_MW,0)</f>
        <v>1173611.6807463362</v>
      </c>
      <c r="E186" s="71">
        <f t="shared" si="50"/>
        <v>3265597.1725310432</v>
      </c>
      <c r="F186" s="75">
        <v>72000</v>
      </c>
      <c r="G186" s="76">
        <f t="shared" si="51"/>
        <v>45.355516285153378</v>
      </c>
      <c r="I186" s="77">
        <f t="shared" si="48"/>
        <v>58</v>
      </c>
      <c r="J186" s="73">
        <f t="shared" si="52"/>
        <v>2035</v>
      </c>
      <c r="K186" s="78">
        <f t="shared" si="53"/>
        <v>49461</v>
      </c>
    </row>
    <row r="187" spans="2:11" outlineLevel="1">
      <c r="B187" s="78">
        <f t="shared" si="49"/>
        <v>49491</v>
      </c>
      <c r="C187" s="75">
        <v>3216779.8903330564</v>
      </c>
      <c r="D187" s="71">
        <f>IF(F187&lt;&gt;0,VLOOKUP($J187,'Table 1'!$B$13:$C$33,2,FALSE)/12*1000*Study_MW,0)</f>
        <v>1173611.6807463362</v>
      </c>
      <c r="E187" s="71">
        <f t="shared" si="50"/>
        <v>4390391.5710793929</v>
      </c>
      <c r="F187" s="75">
        <v>74400</v>
      </c>
      <c r="G187" s="76">
        <f t="shared" si="51"/>
        <v>59.010639396228399</v>
      </c>
      <c r="I187" s="77">
        <f t="shared" si="48"/>
        <v>59</v>
      </c>
      <c r="J187" s="73">
        <f t="shared" si="52"/>
        <v>2035</v>
      </c>
      <c r="K187" s="78">
        <f t="shared" si="53"/>
        <v>49491</v>
      </c>
    </row>
    <row r="188" spans="2:11" outlineLevel="1">
      <c r="B188" s="78">
        <f t="shared" si="49"/>
        <v>49522</v>
      </c>
      <c r="C188" s="75">
        <v>3311470.4420210123</v>
      </c>
      <c r="D188" s="71">
        <f>IF(F188&lt;&gt;0,VLOOKUP($J188,'Table 1'!$B$13:$C$33,2,FALSE)/12*1000*Study_MW,0)</f>
        <v>1173611.6807463362</v>
      </c>
      <c r="E188" s="71">
        <f t="shared" si="50"/>
        <v>4485082.1227673488</v>
      </c>
      <c r="F188" s="75">
        <v>74400</v>
      </c>
      <c r="G188" s="76">
        <f t="shared" si="51"/>
        <v>60.283361865152536</v>
      </c>
      <c r="I188" s="77">
        <f t="shared" si="48"/>
        <v>60</v>
      </c>
      <c r="J188" s="73">
        <f t="shared" si="52"/>
        <v>2035</v>
      </c>
      <c r="K188" s="78">
        <f t="shared" si="53"/>
        <v>49522</v>
      </c>
    </row>
    <row r="189" spans="2:11" outlineLevel="1">
      <c r="B189" s="78">
        <f t="shared" si="49"/>
        <v>49553</v>
      </c>
      <c r="C189" s="75">
        <v>2451158.2244415581</v>
      </c>
      <c r="D189" s="71">
        <f>IF(F189&lt;&gt;0,VLOOKUP($J189,'Table 1'!$B$13:$C$33,2,FALSE)/12*1000*Study_MW,0)</f>
        <v>1173611.6807463362</v>
      </c>
      <c r="E189" s="71">
        <f t="shared" si="50"/>
        <v>3624769.9051878946</v>
      </c>
      <c r="F189" s="75">
        <v>72000</v>
      </c>
      <c r="G189" s="76">
        <f t="shared" si="51"/>
        <v>50.344026460942978</v>
      </c>
      <c r="I189" s="77">
        <f t="shared" si="48"/>
        <v>61</v>
      </c>
      <c r="J189" s="73">
        <f t="shared" si="52"/>
        <v>2035</v>
      </c>
      <c r="K189" s="78">
        <f t="shared" si="53"/>
        <v>49553</v>
      </c>
    </row>
    <row r="190" spans="2:11" outlineLevel="1">
      <c r="B190" s="78">
        <f t="shared" si="49"/>
        <v>49583</v>
      </c>
      <c r="C190" s="75">
        <v>2664633.1140744835</v>
      </c>
      <c r="D190" s="71">
        <f>IF(F190&lt;&gt;0,VLOOKUP($J190,'Table 1'!$B$13:$C$33,2,FALSE)/12*1000*Study_MW,0)</f>
        <v>1173611.6807463362</v>
      </c>
      <c r="E190" s="71">
        <f t="shared" si="50"/>
        <v>3838244.79482082</v>
      </c>
      <c r="F190" s="75">
        <v>74400</v>
      </c>
      <c r="G190" s="76">
        <f t="shared" si="51"/>
        <v>51.589311758344351</v>
      </c>
      <c r="I190" s="77">
        <f t="shared" si="48"/>
        <v>62</v>
      </c>
      <c r="J190" s="73">
        <f t="shared" si="52"/>
        <v>2035</v>
      </c>
      <c r="K190" s="78">
        <f t="shared" si="53"/>
        <v>49583</v>
      </c>
    </row>
    <row r="191" spans="2:11" outlineLevel="1">
      <c r="B191" s="78">
        <f t="shared" si="49"/>
        <v>49614</v>
      </c>
      <c r="C191" s="75">
        <v>2840372.4115608335</v>
      </c>
      <c r="D191" s="71">
        <f>IF(F191&lt;&gt;0,VLOOKUP($J191,'Table 1'!$B$13:$C$33,2,FALSE)/12*1000*Study_MW,0)</f>
        <v>1173611.6807463362</v>
      </c>
      <c r="E191" s="71">
        <f t="shared" si="50"/>
        <v>4013984.0923071699</v>
      </c>
      <c r="F191" s="75">
        <v>72000</v>
      </c>
      <c r="G191" s="76">
        <f t="shared" si="51"/>
        <v>55.749779059821805</v>
      </c>
      <c r="I191" s="77">
        <f t="shared" si="48"/>
        <v>63</v>
      </c>
      <c r="J191" s="73">
        <f t="shared" si="52"/>
        <v>2035</v>
      </c>
      <c r="K191" s="78">
        <f t="shared" si="53"/>
        <v>49614</v>
      </c>
    </row>
    <row r="192" spans="2:11" outlineLevel="1">
      <c r="B192" s="82">
        <f t="shared" si="49"/>
        <v>49644</v>
      </c>
      <c r="C192" s="79">
        <v>2989267.3186961561</v>
      </c>
      <c r="D192" s="80">
        <f>IF(F192&lt;&gt;0,VLOOKUP($J192,'Table 1'!$B$13:$C$33,2,FALSE)/12*1000*Study_MW,0)</f>
        <v>1173611.6807463362</v>
      </c>
      <c r="E192" s="80">
        <f t="shared" si="50"/>
        <v>4162878.9994424926</v>
      </c>
      <c r="F192" s="79">
        <v>74400</v>
      </c>
      <c r="G192" s="81">
        <f t="shared" si="51"/>
        <v>55.95267472368942</v>
      </c>
      <c r="I192" s="64">
        <f t="shared" si="48"/>
        <v>64</v>
      </c>
      <c r="J192" s="73">
        <f t="shared" si="52"/>
        <v>2035</v>
      </c>
      <c r="K192" s="82">
        <f t="shared" si="53"/>
        <v>49644</v>
      </c>
    </row>
    <row r="193" spans="2:20" hidden="1">
      <c r="B193" s="74">
        <f t="shared" si="49"/>
        <v>49675</v>
      </c>
      <c r="C193" s="69">
        <v>2750211.7483767867</v>
      </c>
      <c r="D193" s="70">
        <f>IF(F193&lt;&gt;0,VLOOKUP($J193,'Table 1'!$B$13:$C$33,2,FALSE)/12*1000*Study_MW,0)</f>
        <v>1200345.2362075616</v>
      </c>
      <c r="E193" s="70">
        <f t="shared" ref="E193:E216" si="54">C193+D193</f>
        <v>3950556.9845843483</v>
      </c>
      <c r="F193" s="69">
        <v>74400</v>
      </c>
      <c r="G193" s="72">
        <f t="shared" ref="G193:G216" si="55">IF(ISNUMBER($F193),E193/$F193,"")</f>
        <v>53.098884201402534</v>
      </c>
      <c r="I193" s="60">
        <f>I73</f>
        <v>66</v>
      </c>
      <c r="J193" s="73">
        <f t="shared" ref="J193:J228" si="56">YEAR(B193)</f>
        <v>2036</v>
      </c>
      <c r="K193" s="74">
        <f t="shared" ref="K193:K228" si="57">IF(ISNUMBER(F193),IF(F193&lt;&gt;0,B193,""),"")</f>
        <v>49675</v>
      </c>
      <c r="M193" s="41">
        <v>2.3E-2</v>
      </c>
    </row>
    <row r="194" spans="2:20" hidden="1">
      <c r="B194" s="78">
        <f t="shared" si="49"/>
        <v>49706</v>
      </c>
      <c r="C194" s="75">
        <v>2424475.737214148</v>
      </c>
      <c r="D194" s="71">
        <f>IF(F194&lt;&gt;0,VLOOKUP($J194,'Table 1'!$B$13:$C$33,2,FALSE)/12*1000*Study_MW,0)</f>
        <v>1200345.2362075616</v>
      </c>
      <c r="E194" s="71">
        <f t="shared" si="54"/>
        <v>3624820.9734217096</v>
      </c>
      <c r="F194" s="75">
        <v>69600</v>
      </c>
      <c r="G194" s="76">
        <f t="shared" si="55"/>
        <v>52.080761112380884</v>
      </c>
      <c r="I194" s="77">
        <f t="shared" si="48"/>
        <v>67</v>
      </c>
      <c r="J194" s="73">
        <f t="shared" si="56"/>
        <v>2036</v>
      </c>
      <c r="K194" s="78">
        <f t="shared" si="57"/>
        <v>49706</v>
      </c>
      <c r="M194" s="41">
        <v>2.3E-2</v>
      </c>
    </row>
    <row r="195" spans="2:20" hidden="1">
      <c r="B195" s="78">
        <f t="shared" si="49"/>
        <v>49735</v>
      </c>
      <c r="C195" s="75">
        <v>2013304.7606703043</v>
      </c>
      <c r="D195" s="71">
        <f>IF(F195&lt;&gt;0,VLOOKUP($J195,'Table 1'!$B$13:$C$33,2,FALSE)/12*1000*Study_MW,0)</f>
        <v>1200345.2362075616</v>
      </c>
      <c r="E195" s="71">
        <f t="shared" si="54"/>
        <v>3213649.9968778659</v>
      </c>
      <c r="F195" s="75">
        <v>74400</v>
      </c>
      <c r="G195" s="76">
        <f t="shared" si="55"/>
        <v>43.194220388143357</v>
      </c>
      <c r="I195" s="77">
        <f t="shared" si="48"/>
        <v>68</v>
      </c>
      <c r="J195" s="73">
        <f t="shared" si="56"/>
        <v>2036</v>
      </c>
      <c r="K195" s="78">
        <f t="shared" si="57"/>
        <v>49735</v>
      </c>
      <c r="M195" s="41">
        <v>2.3E-2</v>
      </c>
    </row>
    <row r="196" spans="2:20" hidden="1">
      <c r="B196" s="78">
        <f t="shared" si="49"/>
        <v>49766</v>
      </c>
      <c r="C196" s="75">
        <v>1490846.9830058068</v>
      </c>
      <c r="D196" s="71">
        <f>IF(F196&lt;&gt;0,VLOOKUP($J196,'Table 1'!$B$13:$C$33,2,FALSE)/12*1000*Study_MW,0)</f>
        <v>1200345.2362075616</v>
      </c>
      <c r="E196" s="71">
        <f t="shared" si="54"/>
        <v>2691192.2192133684</v>
      </c>
      <c r="F196" s="75">
        <v>72000</v>
      </c>
      <c r="G196" s="76">
        <f t="shared" si="55"/>
        <v>37.377669711296782</v>
      </c>
      <c r="I196" s="77">
        <f t="shared" si="48"/>
        <v>69</v>
      </c>
      <c r="J196" s="73">
        <f t="shared" si="56"/>
        <v>2036</v>
      </c>
      <c r="K196" s="78">
        <f t="shared" si="57"/>
        <v>49766</v>
      </c>
      <c r="M196" s="41">
        <v>2.3E-2</v>
      </c>
    </row>
    <row r="197" spans="2:20" hidden="1">
      <c r="B197" s="78">
        <f t="shared" si="49"/>
        <v>49796</v>
      </c>
      <c r="C197" s="75">
        <v>1363820.1107130051</v>
      </c>
      <c r="D197" s="71">
        <f>IF(F197&lt;&gt;0,VLOOKUP($J197,'Table 1'!$B$13:$C$33,2,FALSE)/12*1000*Study_MW,0)</f>
        <v>1200345.2362075616</v>
      </c>
      <c r="E197" s="71">
        <f t="shared" si="54"/>
        <v>2564165.3469205666</v>
      </c>
      <c r="F197" s="75">
        <v>74400</v>
      </c>
      <c r="G197" s="76">
        <f t="shared" si="55"/>
        <v>34.464587996244177</v>
      </c>
      <c r="I197" s="77">
        <f t="shared" si="48"/>
        <v>70</v>
      </c>
      <c r="J197" s="73">
        <f t="shared" si="56"/>
        <v>2036</v>
      </c>
      <c r="K197" s="78">
        <f t="shared" si="57"/>
        <v>49796</v>
      </c>
      <c r="M197" s="41">
        <v>2.3E-2</v>
      </c>
    </row>
    <row r="198" spans="2:20" hidden="1">
      <c r="B198" s="78">
        <f t="shared" si="49"/>
        <v>49827</v>
      </c>
      <c r="C198" s="75">
        <v>2294327.327638194</v>
      </c>
      <c r="D198" s="71">
        <f>IF(F198&lt;&gt;0,VLOOKUP($J198,'Table 1'!$B$13:$C$33,2,FALSE)/12*1000*Study_MW,0)</f>
        <v>1200345.2362075616</v>
      </c>
      <c r="E198" s="71">
        <f t="shared" si="54"/>
        <v>3494672.5638457555</v>
      </c>
      <c r="F198" s="75">
        <v>72000</v>
      </c>
      <c r="G198" s="76">
        <f t="shared" si="55"/>
        <v>48.537118942302158</v>
      </c>
      <c r="I198" s="77">
        <f t="shared" ref="I198:I204" si="58">I78</f>
        <v>71</v>
      </c>
      <c r="J198" s="73">
        <f t="shared" si="56"/>
        <v>2036</v>
      </c>
      <c r="K198" s="78">
        <f t="shared" si="57"/>
        <v>49827</v>
      </c>
      <c r="M198" s="41">
        <v>2.3E-2</v>
      </c>
    </row>
    <row r="199" spans="2:20" hidden="1">
      <c r="B199" s="78">
        <f t="shared" si="49"/>
        <v>49857</v>
      </c>
      <c r="C199" s="75">
        <v>3397299.2435486913</v>
      </c>
      <c r="D199" s="71">
        <f>IF(F199&lt;&gt;0,VLOOKUP($J199,'Table 1'!$B$13:$C$33,2,FALSE)/12*1000*Study_MW,0)</f>
        <v>1200345.2362075616</v>
      </c>
      <c r="E199" s="71">
        <f t="shared" si="54"/>
        <v>4597644.4797562528</v>
      </c>
      <c r="F199" s="75">
        <v>74400</v>
      </c>
      <c r="G199" s="76">
        <f t="shared" si="55"/>
        <v>61.79629677091738</v>
      </c>
      <c r="I199" s="77">
        <f t="shared" si="58"/>
        <v>72</v>
      </c>
      <c r="J199" s="73">
        <f t="shared" si="56"/>
        <v>2036</v>
      </c>
      <c r="K199" s="78">
        <f t="shared" si="57"/>
        <v>49857</v>
      </c>
      <c r="M199" s="41">
        <v>2.3E-2</v>
      </c>
    </row>
    <row r="200" spans="2:20" hidden="1">
      <c r="B200" s="78">
        <f t="shared" si="49"/>
        <v>49888</v>
      </c>
      <c r="C200" s="75">
        <v>3505225.3243211508</v>
      </c>
      <c r="D200" s="71">
        <f>IF(F200&lt;&gt;0,VLOOKUP($J200,'Table 1'!$B$13:$C$33,2,FALSE)/12*1000*Study_MW,0)</f>
        <v>1200345.2362075616</v>
      </c>
      <c r="E200" s="71">
        <f t="shared" si="54"/>
        <v>4705570.5605287123</v>
      </c>
      <c r="F200" s="75">
        <v>74400</v>
      </c>
      <c r="G200" s="76">
        <f t="shared" si="55"/>
        <v>63.246916136138609</v>
      </c>
      <c r="I200" s="77">
        <f t="shared" si="58"/>
        <v>73</v>
      </c>
      <c r="J200" s="73">
        <f t="shared" si="56"/>
        <v>2036</v>
      </c>
      <c r="K200" s="78">
        <f t="shared" si="57"/>
        <v>49888</v>
      </c>
      <c r="M200" s="41">
        <v>2.3E-2</v>
      </c>
    </row>
    <row r="201" spans="2:20" hidden="1">
      <c r="B201" s="78">
        <f t="shared" si="49"/>
        <v>49919</v>
      </c>
      <c r="C201" s="75">
        <v>2704353.7886131853</v>
      </c>
      <c r="D201" s="71">
        <f>IF(F201&lt;&gt;0,VLOOKUP($J201,'Table 1'!$B$13:$C$33,2,FALSE)/12*1000*Study_MW,0)</f>
        <v>1200345.2362075616</v>
      </c>
      <c r="E201" s="71">
        <f t="shared" si="54"/>
        <v>3904699.0248207469</v>
      </c>
      <c r="F201" s="75">
        <v>72000</v>
      </c>
      <c r="G201" s="76">
        <f t="shared" si="55"/>
        <v>54.231930900288148</v>
      </c>
      <c r="I201" s="77">
        <f t="shared" si="58"/>
        <v>74</v>
      </c>
      <c r="J201" s="73">
        <f t="shared" si="56"/>
        <v>2036</v>
      </c>
      <c r="K201" s="78">
        <f t="shared" si="57"/>
        <v>49919</v>
      </c>
      <c r="M201" s="41">
        <v>2.3E-2</v>
      </c>
    </row>
    <row r="202" spans="2:20" hidden="1">
      <c r="B202" s="78">
        <f t="shared" si="49"/>
        <v>49949</v>
      </c>
      <c r="C202" s="75">
        <v>2838290.5932496637</v>
      </c>
      <c r="D202" s="71">
        <f>IF(F202&lt;&gt;0,VLOOKUP($J202,'Table 1'!$B$13:$C$33,2,FALSE)/12*1000*Study_MW,0)</f>
        <v>1200345.2362075616</v>
      </c>
      <c r="E202" s="71">
        <f t="shared" si="54"/>
        <v>4038635.8294572253</v>
      </c>
      <c r="F202" s="75">
        <v>74400</v>
      </c>
      <c r="G202" s="76">
        <f t="shared" si="55"/>
        <v>54.282739643242273</v>
      </c>
      <c r="I202" s="77">
        <f t="shared" si="58"/>
        <v>75</v>
      </c>
      <c r="J202" s="73">
        <f t="shared" si="56"/>
        <v>2036</v>
      </c>
      <c r="K202" s="78">
        <f t="shared" si="57"/>
        <v>49949</v>
      </c>
      <c r="M202" s="41">
        <v>2.3E-2</v>
      </c>
    </row>
    <row r="203" spans="2:20" hidden="1">
      <c r="B203" s="78">
        <f t="shared" si="49"/>
        <v>49980</v>
      </c>
      <c r="C203" s="75">
        <v>2655331.2433120757</v>
      </c>
      <c r="D203" s="71">
        <f>IF(F203&lt;&gt;0,VLOOKUP($J203,'Table 1'!$B$13:$C$33,2,FALSE)/12*1000*Study_MW,0)</f>
        <v>1200345.2362075616</v>
      </c>
      <c r="E203" s="71">
        <f t="shared" si="54"/>
        <v>3855676.4795196373</v>
      </c>
      <c r="F203" s="75">
        <v>72000</v>
      </c>
      <c r="G203" s="76">
        <f t="shared" si="55"/>
        <v>53.551062215550516</v>
      </c>
      <c r="I203" s="77">
        <f t="shared" si="58"/>
        <v>76</v>
      </c>
      <c r="J203" s="73">
        <f t="shared" si="56"/>
        <v>2036</v>
      </c>
      <c r="K203" s="78">
        <f t="shared" si="57"/>
        <v>49980</v>
      </c>
      <c r="M203" s="41">
        <v>2.3E-2</v>
      </c>
    </row>
    <row r="204" spans="2:20" hidden="1">
      <c r="B204" s="82">
        <f t="shared" si="49"/>
        <v>50010</v>
      </c>
      <c r="C204" s="79">
        <v>3265686.4476289749</v>
      </c>
      <c r="D204" s="80">
        <f>IF(F204&lt;&gt;0,VLOOKUP($J204,'Table 1'!$B$13:$C$33,2,FALSE)/12*1000*Study_MW,0)</f>
        <v>1200345.2362075616</v>
      </c>
      <c r="E204" s="80">
        <f t="shared" si="54"/>
        <v>4466031.6838365365</v>
      </c>
      <c r="F204" s="79">
        <v>74400</v>
      </c>
      <c r="G204" s="81">
        <f t="shared" si="55"/>
        <v>60.027307578448074</v>
      </c>
      <c r="I204" s="64">
        <f t="shared" si="58"/>
        <v>77</v>
      </c>
      <c r="J204" s="73">
        <f t="shared" si="56"/>
        <v>2036</v>
      </c>
      <c r="K204" s="82">
        <f t="shared" si="57"/>
        <v>50010</v>
      </c>
      <c r="M204" s="41">
        <v>2.3E-2</v>
      </c>
    </row>
    <row r="205" spans="2:20" hidden="1" outlineLevel="1">
      <c r="B205" s="74">
        <f t="shared" si="49"/>
        <v>50041</v>
      </c>
      <c r="C205" s="69">
        <v>3072966.7758837044</v>
      </c>
      <c r="D205" s="70">
        <f>IF(F205&lt;&gt;0,VLOOKUP($J205,'Table 1'!$B$13:$C$33,2,FALSE)/12*1000*Study_MW,0)</f>
        <v>1227938.3915228457</v>
      </c>
      <c r="E205" s="70">
        <f t="shared" si="54"/>
        <v>4300905.1674065497</v>
      </c>
      <c r="F205" s="69">
        <v>74400</v>
      </c>
      <c r="G205" s="72">
        <f t="shared" si="55"/>
        <v>57.807865153313841</v>
      </c>
      <c r="I205" s="60">
        <f>I85</f>
        <v>79</v>
      </c>
      <c r="J205" s="73">
        <f t="shared" si="56"/>
        <v>2037</v>
      </c>
      <c r="K205" s="74">
        <f t="shared" si="57"/>
        <v>50041</v>
      </c>
      <c r="M205" s="41">
        <v>2.3E-2</v>
      </c>
      <c r="T205" s="173"/>
    </row>
    <row r="206" spans="2:20" hidden="1" outlineLevel="1">
      <c r="B206" s="78">
        <f t="shared" ref="B206:B228" si="59">EDATE(B205,1)</f>
        <v>50072</v>
      </c>
      <c r="C206" s="75">
        <v>2573784.4734255224</v>
      </c>
      <c r="D206" s="71">
        <f>IF(F206&lt;&gt;0,VLOOKUP($J206,'Table 1'!$B$13:$C$33,2,FALSE)/12*1000*Study_MW,0)</f>
        <v>1227938.3915228457</v>
      </c>
      <c r="E206" s="71">
        <f t="shared" si="54"/>
        <v>3801722.8649483682</v>
      </c>
      <c r="F206" s="75">
        <v>67200</v>
      </c>
      <c r="G206" s="76">
        <f t="shared" si="55"/>
        <v>56.573256918874527</v>
      </c>
      <c r="I206" s="77">
        <f t="shared" ref="I206:I216" si="60">I86</f>
        <v>80</v>
      </c>
      <c r="J206" s="73">
        <f t="shared" si="56"/>
        <v>2037</v>
      </c>
      <c r="K206" s="78">
        <f t="shared" si="57"/>
        <v>50072</v>
      </c>
      <c r="M206" s="41">
        <v>2.3E-2</v>
      </c>
      <c r="T206" s="173"/>
    </row>
    <row r="207" spans="2:20" hidden="1" outlineLevel="1">
      <c r="B207" s="78">
        <f t="shared" si="59"/>
        <v>50100</v>
      </c>
      <c r="C207" s="75">
        <v>2261989.622145161</v>
      </c>
      <c r="D207" s="71">
        <f>IF(F207&lt;&gt;0,VLOOKUP($J207,'Table 1'!$B$13:$C$33,2,FALSE)/12*1000*Study_MW,0)</f>
        <v>1227938.3915228457</v>
      </c>
      <c r="E207" s="71">
        <f t="shared" si="54"/>
        <v>3489928.0136680068</v>
      </c>
      <c r="F207" s="75">
        <v>74400</v>
      </c>
      <c r="G207" s="76">
        <f t="shared" si="55"/>
        <v>46.907634592311922</v>
      </c>
      <c r="I207" s="77">
        <f t="shared" si="60"/>
        <v>81</v>
      </c>
      <c r="J207" s="73">
        <f t="shared" si="56"/>
        <v>2037</v>
      </c>
      <c r="K207" s="78">
        <f t="shared" si="57"/>
        <v>50100</v>
      </c>
      <c r="M207" s="41">
        <v>2.3E-2</v>
      </c>
      <c r="T207" s="173"/>
    </row>
    <row r="208" spans="2:20" hidden="1" outlineLevel="1">
      <c r="B208" s="78">
        <f t="shared" si="59"/>
        <v>50131</v>
      </c>
      <c r="C208" s="75">
        <v>1650688.8469210714</v>
      </c>
      <c r="D208" s="71">
        <f>IF(F208&lt;&gt;0,VLOOKUP($J208,'Table 1'!$B$13:$C$33,2,FALSE)/12*1000*Study_MW,0)</f>
        <v>1227938.3915228457</v>
      </c>
      <c r="E208" s="71">
        <f t="shared" si="54"/>
        <v>2878627.2384439171</v>
      </c>
      <c r="F208" s="75">
        <v>72000</v>
      </c>
      <c r="G208" s="76">
        <f t="shared" si="55"/>
        <v>39.980933867276626</v>
      </c>
      <c r="I208" s="77">
        <f t="shared" si="60"/>
        <v>82</v>
      </c>
      <c r="J208" s="73">
        <f t="shared" si="56"/>
        <v>2037</v>
      </c>
      <c r="K208" s="78">
        <f t="shared" si="57"/>
        <v>50131</v>
      </c>
      <c r="M208" s="41">
        <v>2.3E-2</v>
      </c>
      <c r="T208" s="173"/>
    </row>
    <row r="209" spans="2:20" hidden="1" outlineLevel="1">
      <c r="B209" s="78">
        <f t="shared" si="59"/>
        <v>50161</v>
      </c>
      <c r="C209" s="75">
        <v>1544292.9063764662</v>
      </c>
      <c r="D209" s="71">
        <f>IF(F209&lt;&gt;0,VLOOKUP($J209,'Table 1'!$B$13:$C$33,2,FALSE)/12*1000*Study_MW,0)</f>
        <v>1227938.3915228457</v>
      </c>
      <c r="E209" s="71">
        <f t="shared" si="54"/>
        <v>2772231.2978993119</v>
      </c>
      <c r="F209" s="75">
        <v>74400</v>
      </c>
      <c r="G209" s="76">
        <f t="shared" si="55"/>
        <v>37.261173358861718</v>
      </c>
      <c r="I209" s="77">
        <f t="shared" si="60"/>
        <v>83</v>
      </c>
      <c r="J209" s="73">
        <f t="shared" si="56"/>
        <v>2037</v>
      </c>
      <c r="K209" s="78">
        <f t="shared" si="57"/>
        <v>50161</v>
      </c>
      <c r="M209" s="41">
        <v>2.3E-2</v>
      </c>
      <c r="T209" s="173"/>
    </row>
    <row r="210" spans="2:20" hidden="1" outlineLevel="1">
      <c r="B210" s="78">
        <f t="shared" si="59"/>
        <v>50192</v>
      </c>
      <c r="C210" s="75">
        <v>2349870.1398625821</v>
      </c>
      <c r="D210" s="71">
        <f>IF(F210&lt;&gt;0,VLOOKUP($J210,'Table 1'!$B$13:$C$33,2,FALSE)/12*1000*Study_MW,0)</f>
        <v>1227938.3915228457</v>
      </c>
      <c r="E210" s="71">
        <f t="shared" si="54"/>
        <v>3577808.5313854278</v>
      </c>
      <c r="F210" s="75">
        <v>72000</v>
      </c>
      <c r="G210" s="76">
        <f t="shared" si="55"/>
        <v>49.691785158130941</v>
      </c>
      <c r="I210" s="77">
        <f t="shared" si="60"/>
        <v>84</v>
      </c>
      <c r="J210" s="73">
        <f t="shared" si="56"/>
        <v>2037</v>
      </c>
      <c r="K210" s="78">
        <f t="shared" si="57"/>
        <v>50192</v>
      </c>
      <c r="M210" s="41">
        <v>2.3E-2</v>
      </c>
      <c r="T210" s="173"/>
    </row>
    <row r="211" spans="2:20" hidden="1" outlineLevel="1">
      <c r="B211" s="78">
        <f t="shared" si="59"/>
        <v>50222</v>
      </c>
      <c r="C211" s="75">
        <v>3473323.5943602324</v>
      </c>
      <c r="D211" s="71">
        <f>IF(F211&lt;&gt;0,VLOOKUP($J211,'Table 1'!$B$13:$C$33,2,FALSE)/12*1000*Study_MW,0)</f>
        <v>1227938.3915228457</v>
      </c>
      <c r="E211" s="71">
        <f t="shared" si="54"/>
        <v>4701261.9858830776</v>
      </c>
      <c r="F211" s="75">
        <v>74400</v>
      </c>
      <c r="G211" s="76">
        <f t="shared" si="55"/>
        <v>63.189005186600504</v>
      </c>
      <c r="I211" s="77">
        <f t="shared" si="60"/>
        <v>85</v>
      </c>
      <c r="J211" s="73">
        <f t="shared" si="56"/>
        <v>2037</v>
      </c>
      <c r="K211" s="78">
        <f t="shared" si="57"/>
        <v>50222</v>
      </c>
      <c r="M211" s="41">
        <v>2.3E-2</v>
      </c>
      <c r="T211" s="173"/>
    </row>
    <row r="212" spans="2:20" hidden="1" outlineLevel="1">
      <c r="B212" s="78">
        <f t="shared" si="59"/>
        <v>50253</v>
      </c>
      <c r="C212" s="75">
        <v>3594448.3479158878</v>
      </c>
      <c r="D212" s="71">
        <f>IF(F212&lt;&gt;0,VLOOKUP($J212,'Table 1'!$B$13:$C$33,2,FALSE)/12*1000*Study_MW,0)</f>
        <v>1227938.3915228457</v>
      </c>
      <c r="E212" s="71">
        <f t="shared" si="54"/>
        <v>4822386.7394387331</v>
      </c>
      <c r="F212" s="75">
        <v>74400</v>
      </c>
      <c r="G212" s="76">
        <f t="shared" si="55"/>
        <v>64.81702606772491</v>
      </c>
      <c r="I212" s="77">
        <f t="shared" si="60"/>
        <v>86</v>
      </c>
      <c r="J212" s="73">
        <f t="shared" si="56"/>
        <v>2037</v>
      </c>
      <c r="K212" s="78">
        <f t="shared" si="57"/>
        <v>50253</v>
      </c>
      <c r="M212" s="41">
        <v>2.3E-2</v>
      </c>
      <c r="T212" s="173"/>
    </row>
    <row r="213" spans="2:20" hidden="1" outlineLevel="1">
      <c r="B213" s="78">
        <f t="shared" si="59"/>
        <v>50284</v>
      </c>
      <c r="C213" s="75">
        <v>2680529.1872458309</v>
      </c>
      <c r="D213" s="71">
        <f>IF(F213&lt;&gt;0,VLOOKUP($J213,'Table 1'!$B$13:$C$33,2,FALSE)/12*1000*Study_MW,0)</f>
        <v>1227938.3915228457</v>
      </c>
      <c r="E213" s="71">
        <f t="shared" si="54"/>
        <v>3908467.5787686766</v>
      </c>
      <c r="F213" s="75">
        <v>72000</v>
      </c>
      <c r="G213" s="76">
        <f t="shared" si="55"/>
        <v>54.284271927342729</v>
      </c>
      <c r="I213" s="77">
        <f t="shared" si="60"/>
        <v>87</v>
      </c>
      <c r="J213" s="73">
        <f t="shared" si="56"/>
        <v>2037</v>
      </c>
      <c r="K213" s="78">
        <f t="shared" si="57"/>
        <v>50284</v>
      </c>
      <c r="M213" s="41">
        <v>2.3E-2</v>
      </c>
      <c r="T213" s="173"/>
    </row>
    <row r="214" spans="2:20" hidden="1" outlineLevel="1">
      <c r="B214" s="78">
        <f t="shared" si="59"/>
        <v>50314</v>
      </c>
      <c r="C214" s="75">
        <v>2787418.7262929529</v>
      </c>
      <c r="D214" s="71">
        <f>IF(F214&lt;&gt;0,VLOOKUP($J214,'Table 1'!$B$13:$C$33,2,FALSE)/12*1000*Study_MW,0)</f>
        <v>1227938.3915228457</v>
      </c>
      <c r="E214" s="71">
        <f t="shared" si="54"/>
        <v>4015357.1178157986</v>
      </c>
      <c r="F214" s="75">
        <v>74400</v>
      </c>
      <c r="G214" s="76">
        <f t="shared" si="55"/>
        <v>53.969853734083316</v>
      </c>
      <c r="I214" s="77">
        <f t="shared" si="60"/>
        <v>88</v>
      </c>
      <c r="J214" s="73">
        <f t="shared" si="56"/>
        <v>2037</v>
      </c>
      <c r="K214" s="78">
        <f t="shared" si="57"/>
        <v>50314</v>
      </c>
      <c r="M214" s="41">
        <v>2.3E-2</v>
      </c>
      <c r="T214" s="173"/>
    </row>
    <row r="215" spans="2:20" hidden="1" outlineLevel="1">
      <c r="B215" s="78">
        <f t="shared" si="59"/>
        <v>50345</v>
      </c>
      <c r="C215" s="75">
        <v>2900450.4986623973</v>
      </c>
      <c r="D215" s="71">
        <f>IF(F215&lt;&gt;0,VLOOKUP($J215,'Table 1'!$B$13:$C$33,2,FALSE)/12*1000*Study_MW,0)</f>
        <v>1227938.3915228457</v>
      </c>
      <c r="E215" s="71">
        <f t="shared" si="54"/>
        <v>4128388.890185243</v>
      </c>
      <c r="F215" s="75">
        <v>72000</v>
      </c>
      <c r="G215" s="76">
        <f t="shared" si="55"/>
        <v>57.338734585906153</v>
      </c>
      <c r="I215" s="77">
        <f t="shared" si="60"/>
        <v>89</v>
      </c>
      <c r="J215" s="73">
        <f t="shared" si="56"/>
        <v>2037</v>
      </c>
      <c r="K215" s="78">
        <f t="shared" si="57"/>
        <v>50345</v>
      </c>
      <c r="M215" s="41">
        <v>2.3E-2</v>
      </c>
      <c r="T215" s="173"/>
    </row>
    <row r="216" spans="2:20" hidden="1" outlineLevel="1">
      <c r="B216" s="82">
        <f t="shared" si="59"/>
        <v>50375</v>
      </c>
      <c r="C216" s="79">
        <v>3359340.3210500777</v>
      </c>
      <c r="D216" s="80">
        <f>IF(F216&lt;&gt;0,VLOOKUP($J216,'Table 1'!$B$13:$C$33,2,FALSE)/12*1000*Study_MW,0)</f>
        <v>1227938.3915228457</v>
      </c>
      <c r="E216" s="80">
        <f t="shared" si="54"/>
        <v>4587278.7125729229</v>
      </c>
      <c r="F216" s="79">
        <v>74400</v>
      </c>
      <c r="G216" s="81">
        <f t="shared" si="55"/>
        <v>61.656971943184445</v>
      </c>
      <c r="I216" s="64">
        <f t="shared" si="60"/>
        <v>90</v>
      </c>
      <c r="J216" s="73">
        <f t="shared" si="56"/>
        <v>2037</v>
      </c>
      <c r="K216" s="82">
        <f t="shared" si="57"/>
        <v>50375</v>
      </c>
      <c r="M216" s="41">
        <v>2.3E-2</v>
      </c>
      <c r="T216" s="173"/>
    </row>
    <row r="217" spans="2:20" hidden="1" outlineLevel="1">
      <c r="B217" s="74">
        <f t="shared" si="59"/>
        <v>50406</v>
      </c>
      <c r="C217" s="69">
        <v>3333204.3608592153</v>
      </c>
      <c r="D217" s="70">
        <f>IF(F217&lt;&gt;0,VLOOKUP($J217,'Table 1'!$B$13:$C$33,2,FALSE)/12*1000*Study_MW,0)</f>
        <v>1256219.2267213769</v>
      </c>
      <c r="E217" s="70">
        <f t="shared" ref="E217:E228" si="61">C217+D217</f>
        <v>4589423.5875805924</v>
      </c>
      <c r="F217" s="69">
        <v>74400</v>
      </c>
      <c r="G217" s="72">
        <f t="shared" ref="G217:G228" si="62">IF(ISNUMBER($F217),E217/$F217,"")</f>
        <v>61.685800908341292</v>
      </c>
      <c r="I217" s="60">
        <f>I97</f>
        <v>92</v>
      </c>
      <c r="J217" s="73">
        <f t="shared" si="56"/>
        <v>2038</v>
      </c>
      <c r="K217" s="74">
        <f t="shared" si="57"/>
        <v>50406</v>
      </c>
      <c r="M217" s="41">
        <v>2.3E-2</v>
      </c>
      <c r="T217" s="173"/>
    </row>
    <row r="218" spans="2:20" hidden="1" outlineLevel="1">
      <c r="B218" s="78">
        <f t="shared" si="59"/>
        <v>50437</v>
      </c>
      <c r="C218" s="75">
        <v>2646642.6416127086</v>
      </c>
      <c r="D218" s="71">
        <f>IF(F218&lt;&gt;0,VLOOKUP($J218,'Table 1'!$B$13:$C$33,2,FALSE)/12*1000*Study_MW,0)</f>
        <v>1256219.2267213769</v>
      </c>
      <c r="E218" s="71">
        <f t="shared" si="61"/>
        <v>3902861.8683340857</v>
      </c>
      <c r="F218" s="75">
        <v>67200</v>
      </c>
      <c r="G218" s="76">
        <f t="shared" si="62"/>
        <v>58.078301612114373</v>
      </c>
      <c r="I218" s="77">
        <f t="shared" ref="I218:I228" si="63">I98</f>
        <v>93</v>
      </c>
      <c r="J218" s="73">
        <f t="shared" si="56"/>
        <v>2038</v>
      </c>
      <c r="K218" s="78">
        <f t="shared" si="57"/>
        <v>50437</v>
      </c>
      <c r="M218" s="41">
        <v>2.3E-2</v>
      </c>
      <c r="T218" s="173"/>
    </row>
    <row r="219" spans="2:20" hidden="1" outlineLevel="1">
      <c r="B219" s="78">
        <f t="shared" si="59"/>
        <v>50465</v>
      </c>
      <c r="C219" s="75">
        <v>2338419.9408415854</v>
      </c>
      <c r="D219" s="71">
        <f>IF(F219&lt;&gt;0,VLOOKUP($J219,'Table 1'!$B$13:$C$33,2,FALSE)/12*1000*Study_MW,0)</f>
        <v>1256219.2267213769</v>
      </c>
      <c r="E219" s="71">
        <f t="shared" si="61"/>
        <v>3594639.1675629625</v>
      </c>
      <c r="F219" s="75">
        <v>74400</v>
      </c>
      <c r="G219" s="76">
        <f t="shared" si="62"/>
        <v>48.315042574770999</v>
      </c>
      <c r="I219" s="77">
        <f t="shared" si="63"/>
        <v>94</v>
      </c>
      <c r="J219" s="73">
        <f t="shared" si="56"/>
        <v>2038</v>
      </c>
      <c r="K219" s="78">
        <f t="shared" si="57"/>
        <v>50465</v>
      </c>
      <c r="M219" s="41">
        <v>2.3E-2</v>
      </c>
      <c r="T219" s="173"/>
    </row>
    <row r="220" spans="2:20" hidden="1" outlineLevel="1">
      <c r="B220" s="78">
        <f t="shared" si="59"/>
        <v>50496</v>
      </c>
      <c r="C220" s="75">
        <v>1856441.7488239557</v>
      </c>
      <c r="D220" s="71">
        <f>IF(F220&lt;&gt;0,VLOOKUP($J220,'Table 1'!$B$13:$C$33,2,FALSE)/12*1000*Study_MW,0)</f>
        <v>1256219.2267213769</v>
      </c>
      <c r="E220" s="71">
        <f t="shared" si="61"/>
        <v>3112660.9755453328</v>
      </c>
      <c r="F220" s="75">
        <v>72000</v>
      </c>
      <c r="G220" s="76">
        <f t="shared" si="62"/>
        <v>43.231402438129621</v>
      </c>
      <c r="I220" s="77">
        <f t="shared" si="63"/>
        <v>95</v>
      </c>
      <c r="J220" s="73">
        <f t="shared" si="56"/>
        <v>2038</v>
      </c>
      <c r="K220" s="78">
        <f t="shared" si="57"/>
        <v>50496</v>
      </c>
      <c r="M220" s="41">
        <v>2.3E-2</v>
      </c>
      <c r="T220" s="173"/>
    </row>
    <row r="221" spans="2:20" hidden="1" outlineLevel="1">
      <c r="B221" s="78">
        <f t="shared" si="59"/>
        <v>50526</v>
      </c>
      <c r="C221" s="75">
        <v>1619487.7349554449</v>
      </c>
      <c r="D221" s="71">
        <f>IF(F221&lt;&gt;0,VLOOKUP($J221,'Table 1'!$B$13:$C$33,2,FALSE)/12*1000*Study_MW,0)</f>
        <v>1256219.2267213769</v>
      </c>
      <c r="E221" s="71">
        <f t="shared" si="61"/>
        <v>2875706.961676822</v>
      </c>
      <c r="F221" s="75">
        <v>74400</v>
      </c>
      <c r="G221" s="76">
        <f t="shared" si="62"/>
        <v>38.651975291355136</v>
      </c>
      <c r="I221" s="77">
        <f t="shared" si="63"/>
        <v>96</v>
      </c>
      <c r="J221" s="73">
        <f t="shared" si="56"/>
        <v>2038</v>
      </c>
      <c r="K221" s="78">
        <f t="shared" si="57"/>
        <v>50526</v>
      </c>
      <c r="M221" s="41">
        <v>2.3E-2</v>
      </c>
      <c r="T221" s="173"/>
    </row>
    <row r="222" spans="2:20" hidden="1" outlineLevel="1">
      <c r="B222" s="78">
        <f t="shared" si="59"/>
        <v>50557</v>
      </c>
      <c r="C222" s="75">
        <v>2348610.9276964366</v>
      </c>
      <c r="D222" s="71">
        <f>IF(F222&lt;&gt;0,VLOOKUP($J222,'Table 1'!$B$13:$C$33,2,FALSE)/12*1000*Study_MW,0)</f>
        <v>1256219.2267213769</v>
      </c>
      <c r="E222" s="71">
        <f t="shared" si="61"/>
        <v>3604830.1544178138</v>
      </c>
      <c r="F222" s="75">
        <v>72000</v>
      </c>
      <c r="G222" s="76">
        <f t="shared" si="62"/>
        <v>50.067085478025191</v>
      </c>
      <c r="I222" s="77">
        <f t="shared" si="63"/>
        <v>97</v>
      </c>
      <c r="J222" s="73">
        <f t="shared" si="56"/>
        <v>2038</v>
      </c>
      <c r="K222" s="78">
        <f t="shared" si="57"/>
        <v>50557</v>
      </c>
      <c r="M222" s="41">
        <v>2.3E-2</v>
      </c>
      <c r="T222" s="173"/>
    </row>
    <row r="223" spans="2:20" hidden="1" outlineLevel="1">
      <c r="B223" s="78">
        <f t="shared" si="59"/>
        <v>50587</v>
      </c>
      <c r="C223" s="75">
        <v>3742555.7843820155</v>
      </c>
      <c r="D223" s="71">
        <f>IF(F223&lt;&gt;0,VLOOKUP($J223,'Table 1'!$B$13:$C$33,2,FALSE)/12*1000*Study_MW,0)</f>
        <v>1256219.2267213769</v>
      </c>
      <c r="E223" s="71">
        <f t="shared" si="61"/>
        <v>4998775.0111033926</v>
      </c>
      <c r="F223" s="75">
        <v>74400</v>
      </c>
      <c r="G223" s="76">
        <f t="shared" si="62"/>
        <v>67.187836170744518</v>
      </c>
      <c r="I223" s="77">
        <f t="shared" si="63"/>
        <v>98</v>
      </c>
      <c r="J223" s="73">
        <f t="shared" si="56"/>
        <v>2038</v>
      </c>
      <c r="K223" s="78">
        <f t="shared" si="57"/>
        <v>50587</v>
      </c>
      <c r="M223" s="41">
        <v>2.3E-2</v>
      </c>
      <c r="T223" s="173"/>
    </row>
    <row r="224" spans="2:20" hidden="1" outlineLevel="1">
      <c r="B224" s="78">
        <f t="shared" si="59"/>
        <v>50618</v>
      </c>
      <c r="C224" s="75">
        <v>3884929.2452428043</v>
      </c>
      <c r="D224" s="71">
        <f>IF(F224&lt;&gt;0,VLOOKUP($J224,'Table 1'!$B$13:$C$33,2,FALSE)/12*1000*Study_MW,0)</f>
        <v>1256219.2267213769</v>
      </c>
      <c r="E224" s="71">
        <f t="shared" si="61"/>
        <v>5141148.4719641814</v>
      </c>
      <c r="F224" s="75">
        <v>74400</v>
      </c>
      <c r="G224" s="76">
        <f t="shared" si="62"/>
        <v>69.101457956507815</v>
      </c>
      <c r="I224" s="77">
        <f t="shared" si="63"/>
        <v>99</v>
      </c>
      <c r="J224" s="73">
        <f t="shared" si="56"/>
        <v>2038</v>
      </c>
      <c r="K224" s="78">
        <f t="shared" si="57"/>
        <v>50618</v>
      </c>
      <c r="M224" s="41">
        <v>2.3E-2</v>
      </c>
      <c r="T224" s="173"/>
    </row>
    <row r="225" spans="2:20" hidden="1" outlineLevel="1">
      <c r="B225" s="78">
        <f t="shared" si="59"/>
        <v>50649</v>
      </c>
      <c r="C225" s="75">
        <v>2618586.3529251814</v>
      </c>
      <c r="D225" s="71">
        <f>IF(F225&lt;&gt;0,VLOOKUP($J225,'Table 1'!$B$13:$C$33,2,FALSE)/12*1000*Study_MW,0)</f>
        <v>1256219.2267213769</v>
      </c>
      <c r="E225" s="71">
        <f t="shared" si="61"/>
        <v>3874805.5796465585</v>
      </c>
      <c r="F225" s="75">
        <v>72000</v>
      </c>
      <c r="G225" s="76">
        <f t="shared" si="62"/>
        <v>53.816744161757754</v>
      </c>
      <c r="I225" s="77">
        <f t="shared" si="63"/>
        <v>100</v>
      </c>
      <c r="J225" s="73">
        <f t="shared" si="56"/>
        <v>2038</v>
      </c>
      <c r="K225" s="78">
        <f t="shared" si="57"/>
        <v>50649</v>
      </c>
      <c r="M225" s="41">
        <v>2.3E-2</v>
      </c>
      <c r="T225" s="173"/>
    </row>
    <row r="226" spans="2:20" hidden="1" outlineLevel="1">
      <c r="B226" s="78">
        <f t="shared" si="59"/>
        <v>50679</v>
      </c>
      <c r="C226" s="75">
        <v>3045274.7969097197</v>
      </c>
      <c r="D226" s="71">
        <f>IF(F226&lt;&gt;0,VLOOKUP($J226,'Table 1'!$B$13:$C$33,2,FALSE)/12*1000*Study_MW,0)</f>
        <v>1256219.2267213769</v>
      </c>
      <c r="E226" s="71">
        <f t="shared" si="61"/>
        <v>4301494.0236310968</v>
      </c>
      <c r="F226" s="75">
        <v>74400</v>
      </c>
      <c r="G226" s="76">
        <f t="shared" si="62"/>
        <v>57.815779887514744</v>
      </c>
      <c r="I226" s="77">
        <f t="shared" si="63"/>
        <v>101</v>
      </c>
      <c r="J226" s="73">
        <f t="shared" si="56"/>
        <v>2038</v>
      </c>
      <c r="K226" s="78">
        <f t="shared" si="57"/>
        <v>50679</v>
      </c>
      <c r="M226" s="41">
        <v>2.3E-2</v>
      </c>
      <c r="T226" s="173"/>
    </row>
    <row r="227" spans="2:20" hidden="1" outlineLevel="1">
      <c r="B227" s="78">
        <f t="shared" si="59"/>
        <v>50710</v>
      </c>
      <c r="C227" s="75">
        <v>3087098.2769200504</v>
      </c>
      <c r="D227" s="71">
        <f>IF(F227&lt;&gt;0,VLOOKUP($J227,'Table 1'!$B$13:$C$33,2,FALSE)/12*1000*Study_MW,0)</f>
        <v>1256219.2267213769</v>
      </c>
      <c r="E227" s="71">
        <f t="shared" si="61"/>
        <v>4343317.5036414275</v>
      </c>
      <c r="F227" s="75">
        <v>72000</v>
      </c>
      <c r="G227" s="76">
        <f t="shared" si="62"/>
        <v>60.323854217242051</v>
      </c>
      <c r="I227" s="77">
        <f t="shared" si="63"/>
        <v>102</v>
      </c>
      <c r="J227" s="73">
        <f t="shared" si="56"/>
        <v>2038</v>
      </c>
      <c r="K227" s="78">
        <f t="shared" si="57"/>
        <v>50710</v>
      </c>
      <c r="M227" s="41">
        <v>2.3E-2</v>
      </c>
      <c r="T227" s="173"/>
    </row>
    <row r="228" spans="2:20" hidden="1" outlineLevel="1">
      <c r="B228" s="82">
        <f t="shared" si="59"/>
        <v>50740</v>
      </c>
      <c r="C228" s="79">
        <v>3771737.6168052554</v>
      </c>
      <c r="D228" s="80">
        <f>IF(F228&lt;&gt;0,VLOOKUP($J228,'Table 1'!$B$13:$C$33,2,FALSE)/12*1000*Study_MW,0)</f>
        <v>1256219.2267213769</v>
      </c>
      <c r="E228" s="80">
        <f t="shared" si="61"/>
        <v>5027956.8435266325</v>
      </c>
      <c r="F228" s="79">
        <v>74400</v>
      </c>
      <c r="G228" s="81">
        <f t="shared" si="62"/>
        <v>67.580065101164422</v>
      </c>
      <c r="I228" s="64">
        <f t="shared" si="63"/>
        <v>103</v>
      </c>
      <c r="J228" s="73">
        <f t="shared" si="56"/>
        <v>2038</v>
      </c>
      <c r="K228" s="82">
        <f t="shared" si="57"/>
        <v>50740</v>
      </c>
      <c r="M228" s="41">
        <v>2.3E-2</v>
      </c>
      <c r="T228" s="173"/>
    </row>
    <row r="229" spans="2:20" collapsed="1"/>
  </sheetData>
  <printOptions horizontalCentered="1"/>
  <pageMargins left="0.25" right="0.25" top="0.75" bottom="0.75" header="0.3" footer="0.3"/>
  <pageSetup scale="55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Q5" s="119"/>
      <c r="R5" s="263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73"/>
      <c r="R6" s="373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59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60"/>
      <c r="P15" s="359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86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89.06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47.841677798976846</v>
      </c>
      <c r="H18" s="128">
        <v>-21.479999999999997</v>
      </c>
      <c r="I18" s="130">
        <f t="shared" si="5"/>
        <v>26.361677798976849</v>
      </c>
      <c r="J18" s="130">
        <f t="shared" ref="J18:J37" si="8">ROUND(I18*$C$63*8.76,2)</f>
        <v>68.12</v>
      </c>
      <c r="K18" s="128">
        <f t="shared" si="2"/>
        <v>123.63246376811594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90.93</v>
      </c>
      <c r="E19" s="148">
        <v>33.826086956521742</v>
      </c>
      <c r="F19" s="128">
        <f t="shared" si="7"/>
        <v>1.53</v>
      </c>
      <c r="G19" s="130">
        <f t="shared" si="4"/>
        <v>48.868542278663327</v>
      </c>
      <c r="H19" s="128">
        <v>-22.278000000000002</v>
      </c>
      <c r="I19" s="130">
        <f t="shared" si="5"/>
        <v>26.590542278663325</v>
      </c>
      <c r="J19" s="130">
        <f t="shared" si="8"/>
        <v>68.72</v>
      </c>
      <c r="K19" s="128">
        <f t="shared" si="2"/>
        <v>126.28608695652176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92.93</v>
      </c>
      <c r="E20" s="148">
        <v>34.594202898550726</v>
      </c>
      <c r="F20" s="128">
        <f t="shared" si="7"/>
        <v>1.56</v>
      </c>
      <c r="G20" s="130">
        <f t="shared" si="4"/>
        <v>49.951320678953159</v>
      </c>
      <c r="H20" s="128">
        <v>-22.278000000000002</v>
      </c>
      <c r="I20" s="130">
        <f t="shared" si="5"/>
        <v>27.673320678953157</v>
      </c>
      <c r="J20" s="130">
        <f t="shared" si="8"/>
        <v>71.510000000000005</v>
      </c>
      <c r="K20" s="128">
        <f t="shared" si="2"/>
        <v>129.08420289855073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95.07</v>
      </c>
      <c r="E21" s="148">
        <v>35.376811594202898</v>
      </c>
      <c r="F21" s="128">
        <f t="shared" si="7"/>
        <v>1.6</v>
      </c>
      <c r="G21" s="130">
        <f t="shared" si="4"/>
        <v>51.097752338906787</v>
      </c>
      <c r="H21" s="128">
        <v>-23.07</v>
      </c>
      <c r="I21" s="130">
        <f t="shared" si="5"/>
        <v>28.027752338906787</v>
      </c>
      <c r="J21" s="130">
        <f t="shared" si="8"/>
        <v>72.430000000000007</v>
      </c>
      <c r="K21" s="128">
        <f t="shared" si="2"/>
        <v>132.04681159420289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97.26</v>
      </c>
      <c r="E22" s="148">
        <v>36.188405797101453</v>
      </c>
      <c r="F22" s="128">
        <f t="shared" si="7"/>
        <v>1.64</v>
      </c>
      <c r="G22" s="130">
        <f t="shared" si="4"/>
        <v>52.274748779932459</v>
      </c>
      <c r="H22" s="128">
        <v>-23.07</v>
      </c>
      <c r="I22" s="130">
        <f t="shared" si="5"/>
        <v>29.204748779932459</v>
      </c>
      <c r="J22" s="130">
        <f t="shared" si="8"/>
        <v>75.47</v>
      </c>
      <c r="K22" s="128">
        <f t="shared" si="2"/>
        <v>135.08840579710144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99.5</v>
      </c>
      <c r="E23" s="148">
        <v>37.014492753623188</v>
      </c>
      <c r="F23" s="128">
        <f t="shared" si="7"/>
        <v>1.68</v>
      </c>
      <c r="G23" s="130">
        <f t="shared" si="4"/>
        <v>53.476701785319719</v>
      </c>
      <c r="H23" s="128">
        <v>-23.867999999999999</v>
      </c>
      <c r="I23" s="130">
        <f t="shared" si="5"/>
        <v>29.60870178531972</v>
      </c>
      <c r="J23" s="130">
        <f t="shared" si="8"/>
        <v>76.510000000000005</v>
      </c>
      <c r="K23" s="128">
        <f t="shared" si="2"/>
        <v>138.19449275362319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101.79</v>
      </c>
      <c r="E24" s="148">
        <v>37.855072463768117</v>
      </c>
      <c r="F24" s="128">
        <f t="shared" si="7"/>
        <v>1.72</v>
      </c>
      <c r="G24" s="130">
        <f>(D24+E24+F24)/(8.76*$C$63)</f>
        <v>54.703611355068546</v>
      </c>
      <c r="H24" s="128">
        <v>-24.666</v>
      </c>
      <c r="I24" s="130">
        <f>(G24+H24)</f>
        <v>30.037611355068545</v>
      </c>
      <c r="J24" s="130">
        <f t="shared" si="8"/>
        <v>77.62</v>
      </c>
      <c r="K24" s="128">
        <f t="shared" si="2"/>
        <v>141.36507246376812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104.13</v>
      </c>
      <c r="E25" s="148">
        <v>38.724637681159422</v>
      </c>
      <c r="F25" s="128">
        <f t="shared" si="7"/>
        <v>1.76</v>
      </c>
      <c r="G25" s="130">
        <f t="shared" ref="G25:G37" si="9">(D25+E25+F25)/(8.76*$C$63)</f>
        <v>55.961085705889424</v>
      </c>
      <c r="H25" s="128">
        <v>-24.666</v>
      </c>
      <c r="I25" s="130">
        <f t="shared" ref="I25:I37" si="10">(G25+H25)</f>
        <v>31.295085705889424</v>
      </c>
      <c r="J25" s="130">
        <f t="shared" si="8"/>
        <v>80.87</v>
      </c>
      <c r="K25" s="128">
        <f t="shared" si="2"/>
        <v>144.61463768115942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106.52</v>
      </c>
      <c r="E26" s="148">
        <v>39.608695652173914</v>
      </c>
      <c r="F26" s="128">
        <f t="shared" si="7"/>
        <v>1.8</v>
      </c>
      <c r="G26" s="130">
        <f t="shared" si="9"/>
        <v>57.243516621071876</v>
      </c>
      <c r="H26" s="128">
        <v>-25.457999999999998</v>
      </c>
      <c r="I26" s="130">
        <f t="shared" si="10"/>
        <v>31.785516621071878</v>
      </c>
      <c r="J26" s="130">
        <f t="shared" si="8"/>
        <v>82.14</v>
      </c>
      <c r="K26" s="128">
        <f t="shared" si="2"/>
        <v>147.92869565217393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108.97</v>
      </c>
      <c r="E27" s="148">
        <v>40.507246376811594</v>
      </c>
      <c r="F27" s="128">
        <f t="shared" si="7"/>
        <v>1.84</v>
      </c>
      <c r="G27" s="130">
        <f t="shared" si="9"/>
        <v>58.554773770146127</v>
      </c>
      <c r="H27" s="128">
        <v>0</v>
      </c>
      <c r="I27" s="130">
        <f t="shared" si="10"/>
        <v>58.554773770146127</v>
      </c>
      <c r="J27" s="130">
        <f t="shared" si="8"/>
        <v>151.32</v>
      </c>
      <c r="K27" s="128">
        <f t="shared" si="2"/>
        <v>151.3172463768116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111.48</v>
      </c>
      <c r="E28" s="148">
        <v>41.434782608695649</v>
      </c>
      <c r="F28" s="128">
        <f t="shared" si="7"/>
        <v>1.88</v>
      </c>
      <c r="G28" s="130">
        <f t="shared" si="9"/>
        <v>59.900465369822641</v>
      </c>
      <c r="H28" s="128">
        <v>0</v>
      </c>
      <c r="I28" s="130">
        <f t="shared" si="10"/>
        <v>59.900465369822641</v>
      </c>
      <c r="J28" s="130">
        <f t="shared" si="8"/>
        <v>154.79</v>
      </c>
      <c r="K28" s="128">
        <f t="shared" si="2"/>
        <v>154.79478260869564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114.04</v>
      </c>
      <c r="E29" s="148">
        <v>42.376811594202898</v>
      </c>
      <c r="F29" s="128">
        <f t="shared" si="7"/>
        <v>1.92</v>
      </c>
      <c r="G29" s="130">
        <f t="shared" si="9"/>
        <v>61.271113533860735</v>
      </c>
      <c r="H29" s="128">
        <v>0</v>
      </c>
      <c r="I29" s="130">
        <f t="shared" si="10"/>
        <v>61.271113533860735</v>
      </c>
      <c r="J29" s="130">
        <f t="shared" si="8"/>
        <v>158.34</v>
      </c>
      <c r="K29" s="128">
        <f t="shared" si="2"/>
        <v>158.33681159420289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116.66</v>
      </c>
      <c r="E30" s="148">
        <v>43.347826086956523</v>
      </c>
      <c r="F30" s="128">
        <f t="shared" si="7"/>
        <v>1.96</v>
      </c>
      <c r="G30" s="130">
        <f t="shared" si="9"/>
        <v>62.676196148501106</v>
      </c>
      <c r="H30" s="128">
        <v>0</v>
      </c>
      <c r="I30" s="130">
        <f t="shared" si="10"/>
        <v>62.676196148501106</v>
      </c>
      <c r="J30" s="130">
        <f t="shared" si="8"/>
        <v>161.97</v>
      </c>
      <c r="K30" s="128">
        <f t="shared" si="2"/>
        <v>161.96782608695653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119.34</v>
      </c>
      <c r="E31" s="148">
        <v>44.333333333333336</v>
      </c>
      <c r="F31" s="128">
        <f t="shared" si="7"/>
        <v>2.0099999999999998</v>
      </c>
      <c r="G31" s="130">
        <f t="shared" si="9"/>
        <v>64.113974666563493</v>
      </c>
      <c r="H31" s="128">
        <v>0</v>
      </c>
      <c r="I31" s="130">
        <f t="shared" si="10"/>
        <v>64.113974666563493</v>
      </c>
      <c r="J31" s="130">
        <f t="shared" si="8"/>
        <v>165.68</v>
      </c>
      <c r="K31" s="128">
        <f t="shared" si="2"/>
        <v>165.68333333333334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122.08</v>
      </c>
      <c r="E32" s="148">
        <v>45.347826086956523</v>
      </c>
      <c r="F32" s="128">
        <f t="shared" si="7"/>
        <v>2.06</v>
      </c>
      <c r="G32" s="130">
        <f t="shared" si="9"/>
        <v>65.586187635228129</v>
      </c>
      <c r="H32" s="128">
        <v>0</v>
      </c>
      <c r="I32" s="130">
        <f t="shared" si="10"/>
        <v>65.586187635228129</v>
      </c>
      <c r="J32" s="130">
        <f t="shared" si="8"/>
        <v>169.49</v>
      </c>
      <c r="K32" s="128">
        <f t="shared" si="2"/>
        <v>169.48782608695652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124.89</v>
      </c>
      <c r="E33" s="128">
        <f t="shared" si="6"/>
        <v>46.39</v>
      </c>
      <c r="F33" s="128">
        <f t="shared" si="7"/>
        <v>2.11</v>
      </c>
      <c r="G33" s="130">
        <f t="shared" si="9"/>
        <v>67.096199984521334</v>
      </c>
      <c r="H33" s="128">
        <v>0</v>
      </c>
      <c r="I33" s="130">
        <f t="shared" si="10"/>
        <v>67.096199984521334</v>
      </c>
      <c r="J33" s="130">
        <f t="shared" si="8"/>
        <v>173.39</v>
      </c>
      <c r="K33" s="128">
        <f t="shared" si="2"/>
        <v>173.39000000000001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127.76</v>
      </c>
      <c r="E34" s="128">
        <f t="shared" si="11"/>
        <v>47.46</v>
      </c>
      <c r="F34" s="128">
        <f t="shared" si="7"/>
        <v>2.16</v>
      </c>
      <c r="G34" s="130">
        <f t="shared" si="9"/>
        <v>68.640198127079955</v>
      </c>
      <c r="H34" s="128">
        <v>0</v>
      </c>
      <c r="I34" s="130">
        <f t="shared" si="10"/>
        <v>68.640198127079955</v>
      </c>
      <c r="J34" s="130">
        <f t="shared" si="8"/>
        <v>177.38</v>
      </c>
      <c r="K34" s="128">
        <f t="shared" si="2"/>
        <v>177.38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130.69999999999999</v>
      </c>
      <c r="E35" s="128">
        <f t="shared" si="11"/>
        <v>48.55</v>
      </c>
      <c r="F35" s="128">
        <f t="shared" si="7"/>
        <v>2.21</v>
      </c>
      <c r="G35" s="130">
        <f t="shared" si="9"/>
        <v>70.21902329541058</v>
      </c>
      <c r="H35" s="128">
        <v>0</v>
      </c>
      <c r="I35" s="130">
        <f t="shared" si="10"/>
        <v>70.21902329541058</v>
      </c>
      <c r="J35" s="130">
        <f t="shared" si="8"/>
        <v>181.46</v>
      </c>
      <c r="K35" s="128">
        <f t="shared" si="2"/>
        <v>181.46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133.71</v>
      </c>
      <c r="E36" s="128">
        <f t="shared" si="11"/>
        <v>49.67</v>
      </c>
      <c r="F36" s="128">
        <f t="shared" si="7"/>
        <v>2.2599999999999998</v>
      </c>
      <c r="G36" s="130">
        <f t="shared" si="9"/>
        <v>71.836545159043425</v>
      </c>
      <c r="H36" s="128">
        <v>0</v>
      </c>
      <c r="I36" s="130">
        <f t="shared" si="10"/>
        <v>71.836545159043425</v>
      </c>
      <c r="J36" s="130">
        <f t="shared" si="8"/>
        <v>185.64</v>
      </c>
      <c r="K36" s="128">
        <f t="shared" si="2"/>
        <v>185.64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136.91999999999999</v>
      </c>
      <c r="E37" s="128">
        <f t="shared" si="11"/>
        <v>50.86</v>
      </c>
      <c r="F37" s="128">
        <f t="shared" si="7"/>
        <v>2.31</v>
      </c>
      <c r="G37" s="130">
        <f t="shared" si="9"/>
        <v>73.558548099992265</v>
      </c>
      <c r="H37" s="128">
        <v>0</v>
      </c>
      <c r="I37" s="130">
        <f t="shared" si="10"/>
        <v>73.558548099992265</v>
      </c>
      <c r="J37" s="130">
        <f t="shared" si="8"/>
        <v>190.09</v>
      </c>
      <c r="K37" s="128">
        <f t="shared" si="2"/>
        <v>190.08999999999997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61"/>
      <c r="R39" s="361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65">
        <v>2023</v>
      </c>
    </row>
    <row r="55" spans="2:27">
      <c r="B55" s="85" t="s">
        <v>101</v>
      </c>
      <c r="C55" s="362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65" t="s">
        <v>229</v>
      </c>
      <c r="T56" s="117" t="str">
        <f>Q56&amp;"Proposed Station Fixed Costs"</f>
        <v>H3.US1_WD_CPProposed Station Fixed Costs</v>
      </c>
      <c r="AA56" s="266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63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64" t="s">
        <v>91</v>
      </c>
      <c r="L59" s="365"/>
      <c r="M59" s="152"/>
      <c r="O59" s="150"/>
      <c r="P59" s="119"/>
      <c r="Q59" s="201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57" t="s">
        <v>265</v>
      </c>
      <c r="C60" s="153">
        <v>1.4680258019147514</v>
      </c>
      <c r="D60" s="117" t="s">
        <v>218</v>
      </c>
      <c r="F60" s="117" t="s">
        <v>221</v>
      </c>
      <c r="K60" s="365"/>
      <c r="L60" s="365"/>
      <c r="M60" s="365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365"/>
      <c r="L61" s="365"/>
      <c r="M61" s="365"/>
      <c r="N61" s="164"/>
      <c r="O61" s="365"/>
      <c r="R61" s="119"/>
      <c r="T61" s="119"/>
      <c r="U61" s="119"/>
      <c r="V61" s="119"/>
      <c r="W61" s="119"/>
      <c r="X61" s="119"/>
      <c r="Y61" s="119"/>
    </row>
    <row r="62" spans="2:27">
      <c r="C62" s="366">
        <v>6.898638050271251E-2</v>
      </c>
      <c r="D62" s="117" t="s">
        <v>36</v>
      </c>
      <c r="K62" s="277"/>
      <c r="L62" s="156"/>
      <c r="M62" s="156"/>
      <c r="O62" s="157"/>
    </row>
    <row r="63" spans="2:27">
      <c r="C63" s="367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266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1.9E-2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0.02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0.02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2.3E-2</v>
      </c>
      <c r="N73" s="164"/>
    </row>
    <row r="74" spans="3:14" s="119" customFormat="1">
      <c r="C74" s="87">
        <f t="shared" si="12"/>
        <v>2025</v>
      </c>
      <c r="D74" s="41">
        <v>2.1000000000000001E-2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01"/>
      <c r="O5" s="201"/>
      <c r="Q5" s="201"/>
      <c r="S5" s="263"/>
      <c r="U5" s="260"/>
      <c r="V5" s="261"/>
      <c r="W5" s="260"/>
      <c r="X5" s="261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64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59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35">
        <v>1252.8729166666667</v>
      </c>
      <c r="D18" s="128">
        <f>C18*$C$62</f>
        <v>86.431167750709889</v>
      </c>
      <c r="E18" s="256">
        <v>32.969791666666666</v>
      </c>
      <c r="F18" s="358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88.25</v>
      </c>
      <c r="E19" s="256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48.88</v>
      </c>
      <c r="G19" s="130">
        <f t="shared" ref="G19:G37" si="5">(D19+E19+F19)/(8.76*$C$63)</f>
        <v>44.735298147682684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-20.91</v>
      </c>
      <c r="J19" s="130">
        <f t="shared" ref="J19:J37" si="7">(G19+H19+I19)</f>
        <v>23.825298147682684</v>
      </c>
      <c r="K19" s="130">
        <f t="shared" si="2"/>
        <v>91</v>
      </c>
      <c r="L19" s="128">
        <f t="shared" si="1"/>
        <v>170.86020833333333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90.19</v>
      </c>
      <c r="E20" s="256">
        <v>34.490104166666669</v>
      </c>
      <c r="F20" s="128">
        <f t="shared" si="4"/>
        <v>49.96</v>
      </c>
      <c r="G20" s="130">
        <f t="shared" si="5"/>
        <v>45.724965482873223</v>
      </c>
      <c r="H20" s="128"/>
      <c r="I20" s="128">
        <f t="shared" si="6"/>
        <v>-21.37</v>
      </c>
      <c r="J20" s="130">
        <f t="shared" si="7"/>
        <v>24.354965482873222</v>
      </c>
      <c r="K20" s="130">
        <f t="shared" si="2"/>
        <v>93.02</v>
      </c>
      <c r="L20" s="128">
        <f t="shared" si="1"/>
        <v>174.64010416666667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92.26</v>
      </c>
      <c r="E21" s="256">
        <v>35.280208333333334</v>
      </c>
      <c r="F21" s="128">
        <f t="shared" si="4"/>
        <v>51.11</v>
      </c>
      <c r="G21" s="130">
        <f t="shared" si="5"/>
        <v>46.774906877941163</v>
      </c>
      <c r="H21" s="186">
        <v>1</v>
      </c>
      <c r="I21" s="128">
        <f t="shared" si="6"/>
        <v>-21.86</v>
      </c>
      <c r="J21" s="130">
        <f t="shared" si="7"/>
        <v>25.914906877941164</v>
      </c>
      <c r="K21" s="130">
        <f t="shared" si="2"/>
        <v>98.98</v>
      </c>
      <c r="L21" s="128">
        <f t="shared" si="1"/>
        <v>178.65020833333335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94.38</v>
      </c>
      <c r="E22" s="256">
        <v>36.09010416666667</v>
      </c>
      <c r="F22" s="128">
        <f t="shared" si="4"/>
        <v>52.29</v>
      </c>
      <c r="G22" s="130">
        <f t="shared" si="5"/>
        <v>47.850976123399377</v>
      </c>
      <c r="H22" s="186">
        <v>1</v>
      </c>
      <c r="I22" s="128">
        <f t="shared" si="6"/>
        <v>-22.36</v>
      </c>
      <c r="J22" s="130">
        <f t="shared" si="7"/>
        <v>26.490976123399378</v>
      </c>
      <c r="K22" s="130">
        <f t="shared" si="2"/>
        <v>101.18</v>
      </c>
      <c r="L22" s="128">
        <f t="shared" si="1"/>
        <v>182.76010416666665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96.55</v>
      </c>
      <c r="E23" s="256">
        <v>36.90989583333333</v>
      </c>
      <c r="F23" s="128">
        <f t="shared" si="4"/>
        <v>53.49</v>
      </c>
      <c r="G23" s="130">
        <f t="shared" si="5"/>
        <v>48.947964013167997</v>
      </c>
      <c r="H23" s="186">
        <v>1</v>
      </c>
      <c r="I23" s="128">
        <f t="shared" si="6"/>
        <v>-22.87</v>
      </c>
      <c r="J23" s="130">
        <f t="shared" si="7"/>
        <v>27.077964013167996</v>
      </c>
      <c r="K23" s="130">
        <f t="shared" si="2"/>
        <v>103.42</v>
      </c>
      <c r="L23" s="128">
        <f t="shared" si="1"/>
        <v>186.94989583333333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98.77</v>
      </c>
      <c r="E24" s="256">
        <v>37.75</v>
      </c>
      <c r="F24" s="128">
        <f t="shared" si="4"/>
        <v>54.72</v>
      </c>
      <c r="G24" s="130">
        <f t="shared" si="5"/>
        <v>50.07121611997821</v>
      </c>
      <c r="H24" s="186">
        <v>1</v>
      </c>
      <c r="I24" s="128">
        <f t="shared" si="6"/>
        <v>-23.4</v>
      </c>
      <c r="J24" s="130">
        <f t="shared" si="7"/>
        <v>27.671216119978212</v>
      </c>
      <c r="K24" s="130">
        <f t="shared" si="2"/>
        <v>105.69</v>
      </c>
      <c r="L24" s="128">
        <f t="shared" si="1"/>
        <v>191.23999999999998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101.04</v>
      </c>
      <c r="E25" s="256">
        <v>38.609895833333333</v>
      </c>
      <c r="F25" s="128">
        <f t="shared" si="4"/>
        <v>55.98</v>
      </c>
      <c r="G25" s="130">
        <f t="shared" si="5"/>
        <v>51.220596077178726</v>
      </c>
      <c r="H25" s="186">
        <v>1</v>
      </c>
      <c r="I25" s="128">
        <f t="shared" si="6"/>
        <v>-23.94</v>
      </c>
      <c r="J25" s="130">
        <f t="shared" si="7"/>
        <v>28.280596077178725</v>
      </c>
      <c r="K25" s="130">
        <f t="shared" si="2"/>
        <v>108.01</v>
      </c>
      <c r="L25" s="128">
        <f t="shared" si="1"/>
        <v>195.62989583333334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103.36</v>
      </c>
      <c r="E26" s="256">
        <v>39.490104166666669</v>
      </c>
      <c r="F26" s="128">
        <f t="shared" si="4"/>
        <v>57.27</v>
      </c>
      <c r="G26" s="130">
        <f t="shared" si="5"/>
        <v>52.396240251420828</v>
      </c>
      <c r="H26" s="186">
        <v>1</v>
      </c>
      <c r="I26" s="128">
        <f t="shared" si="6"/>
        <v>-24.49</v>
      </c>
      <c r="J26" s="130">
        <f t="shared" si="7"/>
        <v>28.906240251420829</v>
      </c>
      <c r="K26" s="130">
        <f t="shared" si="2"/>
        <v>110.4</v>
      </c>
      <c r="L26" s="128">
        <f t="shared" si="1"/>
        <v>200.12010416666666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105.74</v>
      </c>
      <c r="E27" s="256">
        <v>40.390104166666667</v>
      </c>
      <c r="F27" s="128">
        <f t="shared" si="4"/>
        <v>58.59</v>
      </c>
      <c r="G27" s="130">
        <f t="shared" si="5"/>
        <v>53.600630515758311</v>
      </c>
      <c r="H27" s="186">
        <v>1</v>
      </c>
      <c r="I27" s="128">
        <f t="shared" si="6"/>
        <v>-25.05</v>
      </c>
      <c r="J27" s="130">
        <f t="shared" si="7"/>
        <v>29.550630515758311</v>
      </c>
      <c r="K27" s="130">
        <f t="shared" si="2"/>
        <v>112.86</v>
      </c>
      <c r="L27" s="128">
        <f t="shared" si="1"/>
        <v>204.72010416666666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108.17</v>
      </c>
      <c r="E28" s="256">
        <v>41.309895833333336</v>
      </c>
      <c r="F28" s="128">
        <f t="shared" si="4"/>
        <v>59.94</v>
      </c>
      <c r="G28" s="130">
        <f t="shared" si="5"/>
        <v>54.831148630486084</v>
      </c>
      <c r="H28" s="186">
        <v>1</v>
      </c>
      <c r="I28" s="128"/>
      <c r="J28" s="130">
        <f t="shared" si="7"/>
        <v>55.831148630486084</v>
      </c>
      <c r="K28" s="130">
        <f t="shared" si="2"/>
        <v>213.24</v>
      </c>
      <c r="L28" s="128">
        <f t="shared" si="1"/>
        <v>209.41989583333333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110.66</v>
      </c>
      <c r="E29" s="256">
        <v>42.25</v>
      </c>
      <c r="F29" s="128">
        <f t="shared" si="4"/>
        <v>61.32</v>
      </c>
      <c r="G29" s="130">
        <f t="shared" si="5"/>
        <v>56.090549201960535</v>
      </c>
      <c r="H29" s="186">
        <v>1</v>
      </c>
      <c r="I29" s="128"/>
      <c r="J29" s="130">
        <f t="shared" si="7"/>
        <v>57.090549201960535</v>
      </c>
      <c r="K29" s="130">
        <f t="shared" si="2"/>
        <v>218.05</v>
      </c>
      <c r="L29" s="128">
        <f t="shared" si="1"/>
        <v>214.23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113.21</v>
      </c>
      <c r="E30" s="256">
        <v>43.219791666666666</v>
      </c>
      <c r="F30" s="128">
        <f t="shared" si="4"/>
        <v>62.73</v>
      </c>
      <c r="G30" s="130">
        <f t="shared" si="5"/>
        <v>57.381286829905179</v>
      </c>
      <c r="H30" s="186">
        <v>1</v>
      </c>
      <c r="I30" s="128"/>
      <c r="J30" s="130">
        <f t="shared" si="7"/>
        <v>58.381286829905179</v>
      </c>
      <c r="K30" s="130">
        <f t="shared" si="2"/>
        <v>222.98</v>
      </c>
      <c r="L30" s="128">
        <f t="shared" si="1"/>
        <v>219.15979166666665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115.81</v>
      </c>
      <c r="E31" s="256">
        <v>44.2</v>
      </c>
      <c r="F31" s="128">
        <f t="shared" si="4"/>
        <v>64.17</v>
      </c>
      <c r="G31" s="130">
        <f t="shared" si="5"/>
        <v>58.695697708516612</v>
      </c>
      <c r="H31" s="186">
        <v>1</v>
      </c>
      <c r="I31" s="128"/>
      <c r="J31" s="130">
        <f t="shared" si="7"/>
        <v>59.695697708516612</v>
      </c>
      <c r="K31" s="130">
        <f t="shared" si="2"/>
        <v>228</v>
      </c>
      <c r="L31" s="128">
        <f t="shared" si="1"/>
        <v>224.18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118.47</v>
      </c>
      <c r="E32" s="256">
        <v>45.209895833333334</v>
      </c>
      <c r="F32" s="128">
        <f t="shared" si="4"/>
        <v>65.650000000000006</v>
      </c>
      <c r="G32" s="130">
        <f t="shared" si="5"/>
        <v>60.044063883303309</v>
      </c>
      <c r="H32" s="186">
        <v>1</v>
      </c>
      <c r="I32" s="128"/>
      <c r="J32" s="130">
        <f t="shared" si="7"/>
        <v>61.044063883303309</v>
      </c>
      <c r="K32" s="130">
        <f t="shared" si="2"/>
        <v>233.15</v>
      </c>
      <c r="L32" s="128">
        <f t="shared" si="1"/>
        <v>229.32989583333332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121.19</v>
      </c>
      <c r="E33" s="352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67.16</v>
      </c>
      <c r="G33" s="130">
        <f t="shared" si="5"/>
        <v>61.423903481211511</v>
      </c>
      <c r="H33" s="186">
        <v>1</v>
      </c>
      <c r="I33" s="128"/>
      <c r="J33" s="130">
        <f t="shared" si="7"/>
        <v>62.423903481211511</v>
      </c>
      <c r="K33" s="130">
        <f t="shared" ref="K33:K37" si="8">ROUND(J33*$C$63*8.76,2)</f>
        <v>238.42</v>
      </c>
      <c r="L33" s="128">
        <f t="shared" si="1"/>
        <v>234.6</v>
      </c>
      <c r="M33" s="119"/>
      <c r="O33" s="117"/>
      <c r="AB33" s="265"/>
    </row>
    <row r="34" spans="2:28">
      <c r="B34" s="135">
        <f t="shared" si="0"/>
        <v>2040</v>
      </c>
      <c r="C34" s="136"/>
      <c r="D34" s="128">
        <f t="shared" si="3"/>
        <v>123.98</v>
      </c>
      <c r="E34" s="352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68.7</v>
      </c>
      <c r="G34" s="130">
        <f t="shared" si="5"/>
        <v>62.835134682250427</v>
      </c>
      <c r="H34" s="186">
        <v>1</v>
      </c>
      <c r="I34" s="128"/>
      <c r="J34" s="130">
        <f t="shared" si="7"/>
        <v>63.835134682250427</v>
      </c>
      <c r="K34" s="130">
        <f t="shared" si="8"/>
        <v>243.81</v>
      </c>
      <c r="L34" s="128">
        <f t="shared" si="1"/>
        <v>239.99</v>
      </c>
      <c r="M34" s="119"/>
      <c r="O34" s="117"/>
      <c r="AB34" s="265"/>
    </row>
    <row r="35" spans="2:28">
      <c r="B35" s="135">
        <f t="shared" si="0"/>
        <v>2041</v>
      </c>
      <c r="C35" s="136"/>
      <c r="D35" s="128">
        <f t="shared" si="3"/>
        <v>126.83</v>
      </c>
      <c r="E35" s="352">
        <f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4"/>
        <v>70.28</v>
      </c>
      <c r="G35" s="130">
        <f t="shared" si="5"/>
        <v>64.280402999455404</v>
      </c>
      <c r="H35" s="186">
        <v>1</v>
      </c>
      <c r="I35" s="128"/>
      <c r="J35" s="130">
        <f t="shared" si="7"/>
        <v>65.280402999455404</v>
      </c>
      <c r="K35" s="130">
        <f t="shared" si="8"/>
        <v>249.33</v>
      </c>
      <c r="L35" s="128">
        <f t="shared" si="1"/>
        <v>245.51</v>
      </c>
      <c r="M35" s="119"/>
      <c r="O35" s="117"/>
      <c r="AB35" s="265"/>
    </row>
    <row r="36" spans="2:28">
      <c r="B36" s="135">
        <f t="shared" si="0"/>
        <v>2042</v>
      </c>
      <c r="C36" s="136"/>
      <c r="D36" s="128">
        <f t="shared" si="3"/>
        <v>129.75</v>
      </c>
      <c r="E36" s="352">
        <f>ROUND(E35*(1+(IFERROR(INDEX($D$66:$D$74,MATCH($B36,$C$66:$C$74,0),1),0)+IFERROR(INDEX($G$66:$G$74,MATCH($B36,$F$66:$F$74,0),1),0)+IFERROR(INDEX($J$66:$J$74,MATCH($B36,$I$66:$I$74,0),1),0))),2)</f>
        <v>49.51</v>
      </c>
      <c r="F36" s="128">
        <f t="shared" si="4"/>
        <v>71.900000000000006</v>
      </c>
      <c r="G36" s="130">
        <f t="shared" si="5"/>
        <v>65.759708432826443</v>
      </c>
      <c r="H36" s="186">
        <v>1</v>
      </c>
      <c r="I36" s="128"/>
      <c r="J36" s="130">
        <f t="shared" si="7"/>
        <v>66.759708432826443</v>
      </c>
      <c r="K36" s="130">
        <f t="shared" si="8"/>
        <v>254.98</v>
      </c>
      <c r="L36" s="128">
        <f t="shared" si="1"/>
        <v>251.16</v>
      </c>
      <c r="M36" s="119"/>
      <c r="O36" s="117"/>
      <c r="AB36" s="265"/>
    </row>
    <row r="37" spans="2:28">
      <c r="B37" s="135">
        <f t="shared" si="0"/>
        <v>2043</v>
      </c>
      <c r="C37" s="136"/>
      <c r="D37" s="128">
        <f t="shared" si="3"/>
        <v>132.86000000000001</v>
      </c>
      <c r="E37" s="352">
        <f>ROUND(E36*(1+(IFERROR(INDEX($D$66:$D$74,MATCH($B37,$C$66:$C$74,0),1),0)+IFERROR(INDEX($G$66:$G$74,MATCH($B37,$F$66:$F$74,0),1),0)+IFERROR(INDEX($J$66:$J$74,MATCH($B37,$I$66:$I$74,0),1),0))),2)</f>
        <v>50.7</v>
      </c>
      <c r="F37" s="128">
        <f t="shared" si="4"/>
        <v>73.63</v>
      </c>
      <c r="G37" s="130">
        <f t="shared" si="5"/>
        <v>67.338506974990565</v>
      </c>
      <c r="H37" s="186">
        <v>1</v>
      </c>
      <c r="I37" s="128"/>
      <c r="J37" s="130">
        <f t="shared" si="7"/>
        <v>68.338506974990565</v>
      </c>
      <c r="K37" s="130">
        <f t="shared" si="8"/>
        <v>261.01</v>
      </c>
      <c r="L37" s="128">
        <f t="shared" si="1"/>
        <v>257.19</v>
      </c>
      <c r="AB37" s="265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65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65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65"/>
    </row>
    <row r="41" spans="2:28">
      <c r="AB41" s="265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65"/>
    </row>
    <row r="43" spans="2:28">
      <c r="AB43" s="265"/>
    </row>
    <row r="44" spans="2:28">
      <c r="B44" s="117" t="s">
        <v>63</v>
      </c>
      <c r="C44" s="140" t="s">
        <v>64</v>
      </c>
      <c r="D44" s="141" t="s">
        <v>102</v>
      </c>
      <c r="AB44" s="265"/>
    </row>
    <row r="45" spans="2:28">
      <c r="C45" s="140" t="str">
        <f>C7</f>
        <v>(a)</v>
      </c>
      <c r="D45" s="117" t="s">
        <v>65</v>
      </c>
      <c r="AB45" s="265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65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65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66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56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58"/>
      <c r="D57" s="117" t="s">
        <v>105</v>
      </c>
      <c r="R57" s="201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56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84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57" t="str">
        <f>LEFT(RIGHT(INDEX('Table 3 TransCost'!$39:$39,1,MATCH(F60,'Table 3 TransCost'!$4:$4,0)),6),5)</f>
        <v>2024$</v>
      </c>
      <c r="C60" s="258">
        <f>INDEX('Table 3 TransCost'!$39:$39,1,MATCH(F60,'Table 3 TransCost'!$4:$4,0)+2)</f>
        <v>47.870308055404152</v>
      </c>
      <c r="D60" s="117" t="s">
        <v>218</v>
      </c>
      <c r="F60" s="262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87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57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195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1.9E-2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0.02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O72" s="164"/>
    </row>
    <row r="73" spans="3:15" s="119" customFormat="1">
      <c r="C73" s="87">
        <f t="shared" si="9"/>
        <v>2024</v>
      </c>
      <c r="D73" s="41">
        <v>0.02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2.3E-2</v>
      </c>
      <c r="O73" s="164"/>
    </row>
    <row r="74" spans="3:15" s="119" customFormat="1">
      <c r="C74" s="87">
        <f t="shared" si="9"/>
        <v>2025</v>
      </c>
      <c r="D74" s="41">
        <v>2.1000000000000001E-2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2.4E-2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01"/>
      <c r="N5" s="201"/>
      <c r="P5" s="201"/>
      <c r="R5" s="263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64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59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35">
        <v>1253.063829787234</v>
      </c>
      <c r="D24" s="128">
        <f>C24*$C$62</f>
        <v>86.448873617021263</v>
      </c>
      <c r="E24" s="256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56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56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56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56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56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56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56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56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65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65"/>
    </row>
    <row r="35" spans="2:27">
      <c r="B35" s="135">
        <f t="shared" si="0"/>
        <v>2041</v>
      </c>
      <c r="C35" s="136"/>
      <c r="D35" s="128">
        <f t="shared" si="4"/>
        <v>111.03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18"/>
        <v>15.53</v>
      </c>
      <c r="G35" s="130">
        <f t="shared" si="6"/>
        <v>53.834508732415173</v>
      </c>
      <c r="H35" s="128">
        <f t="shared" si="1"/>
        <v>0</v>
      </c>
      <c r="I35" s="130">
        <f t="shared" si="7"/>
        <v>53.834508732415173</v>
      </c>
      <c r="J35" s="130">
        <f t="shared" si="16"/>
        <v>174.96</v>
      </c>
      <c r="K35" s="128">
        <f t="shared" si="2"/>
        <v>174.96</v>
      </c>
      <c r="L35" s="119"/>
      <c r="N35" s="117"/>
      <c r="AA35" s="265"/>
    </row>
    <row r="36" spans="2:27">
      <c r="B36" s="135">
        <f t="shared" si="0"/>
        <v>2042</v>
      </c>
      <c r="C36" s="136"/>
      <c r="D36" s="128">
        <f t="shared" si="4"/>
        <v>113.58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49.51</v>
      </c>
      <c r="F36" s="128">
        <f t="shared" si="19"/>
        <v>15.89</v>
      </c>
      <c r="G36" s="130">
        <f t="shared" si="6"/>
        <v>55.071447033194268</v>
      </c>
      <c r="H36" s="128">
        <f t="shared" si="1"/>
        <v>0</v>
      </c>
      <c r="I36" s="130">
        <f t="shared" si="7"/>
        <v>55.071447033194268</v>
      </c>
      <c r="J36" s="130">
        <f t="shared" si="16"/>
        <v>178.98</v>
      </c>
      <c r="K36" s="128">
        <f t="shared" si="2"/>
        <v>178.98000000000002</v>
      </c>
      <c r="L36" s="119"/>
      <c r="N36" s="117"/>
      <c r="AA36" s="265"/>
    </row>
    <row r="37" spans="2:27">
      <c r="B37" s="135">
        <f t="shared" si="0"/>
        <v>2043</v>
      </c>
      <c r="C37" s="136"/>
      <c r="D37" s="128">
        <f t="shared" si="4"/>
        <v>116.31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50.7</v>
      </c>
      <c r="F37" s="128">
        <f t="shared" si="20"/>
        <v>16.27</v>
      </c>
      <c r="G37" s="130">
        <f t="shared" si="6"/>
        <v>56.394540240495274</v>
      </c>
      <c r="H37" s="128">
        <f t="shared" si="1"/>
        <v>0</v>
      </c>
      <c r="I37" s="130">
        <f t="shared" si="7"/>
        <v>56.394540240495274</v>
      </c>
      <c r="J37" s="130">
        <f t="shared" si="16"/>
        <v>183.28</v>
      </c>
      <c r="K37" s="128">
        <f t="shared" si="2"/>
        <v>183.28</v>
      </c>
      <c r="L37" s="119"/>
      <c r="AA37" s="265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65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65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65"/>
    </row>
    <row r="41" spans="2:27">
      <c r="AA41" s="265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65"/>
    </row>
    <row r="43" spans="2:27">
      <c r="AA43" s="265"/>
    </row>
    <row r="44" spans="2:27">
      <c r="B44" s="117" t="s">
        <v>63</v>
      </c>
      <c r="C44" s="140" t="s">
        <v>64</v>
      </c>
      <c r="D44" s="141" t="s">
        <v>102</v>
      </c>
      <c r="AA44" s="265"/>
    </row>
    <row r="45" spans="2:27">
      <c r="C45" s="140" t="str">
        <f>C7</f>
        <v>(a)</v>
      </c>
      <c r="D45" s="117" t="s">
        <v>65</v>
      </c>
      <c r="AA45" s="265"/>
    </row>
    <row r="46" spans="2:27">
      <c r="C46" s="140" t="str">
        <f>D7</f>
        <v>(b)</v>
      </c>
      <c r="D46" s="130" t="str">
        <f>"= "&amp;C7&amp;" x "&amp;C62</f>
        <v>= (a) x 0.06899</v>
      </c>
      <c r="AA46" s="265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65"/>
    </row>
    <row r="48" spans="2:27">
      <c r="C48" s="140" t="str">
        <f>I7</f>
        <v>(g)</v>
      </c>
      <c r="D48" s="130" t="str">
        <f>"= "&amp;$G$7&amp;" + "&amp;$H$7</f>
        <v>= (e) + (f)</v>
      </c>
      <c r="AA48" s="265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65"/>
    </row>
    <row r="50" spans="2:27">
      <c r="C50" s="140"/>
      <c r="D50" s="130"/>
      <c r="AA50" s="265"/>
    </row>
    <row r="51" spans="2:27" ht="13.5" thickBot="1">
      <c r="AA51" s="265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65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65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56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66">
        <f>PMT(0.0692,30,NPV(0.0692,AA18:AA53))</f>
        <v>0</v>
      </c>
    </row>
    <row r="57" spans="2:27" ht="24" customHeight="1">
      <c r="B57" s="85"/>
      <c r="C57" s="258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56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84" t="s">
        <v>91</v>
      </c>
      <c r="L59" s="151"/>
      <c r="M59" s="152"/>
      <c r="O59" s="150"/>
      <c r="P59" s="119"/>
      <c r="Q59" s="201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57" t="str">
        <f>LEFT(RIGHT(INDEX('Table 3 TransCost'!$39:$39,1,MATCH(F60,'Table 3 TransCost'!$4:$4,0)),6),5)</f>
        <v>2030$</v>
      </c>
      <c r="C60" s="258">
        <f>INDEX('Table 3 TransCost'!$39:$39,1,MATCH(F60,'Table 3 TransCost'!$4:$4,0)+2)</f>
        <v>12.097273854334603</v>
      </c>
      <c r="D60" s="117" t="s">
        <v>218</v>
      </c>
      <c r="F60" s="262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87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57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195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December 31, 2020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1.9E-2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0.02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2.3E-2</v>
      </c>
      <c r="N72" s="164"/>
    </row>
    <row r="73" spans="3:14" s="119" customFormat="1">
      <c r="C73" s="87">
        <f t="shared" si="21"/>
        <v>2024</v>
      </c>
      <c r="D73" s="41">
        <v>0.02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2.3E-2</v>
      </c>
      <c r="N73" s="164"/>
    </row>
    <row r="74" spans="3:14" s="119" customFormat="1">
      <c r="C74" s="87">
        <f t="shared" si="21"/>
        <v>2025</v>
      </c>
      <c r="D74" s="41">
        <v>2.1000000000000001E-2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55</vt:i4>
      </vt:variant>
    </vt:vector>
  </HeadingPairs>
  <TitlesOfParts>
    <vt:vector size="75" baseType="lpstr">
      <vt:lpstr>Appendix B.1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2021-03-29T22:04:49Z</cp:lastPrinted>
  <dcterms:created xsi:type="dcterms:W3CDTF">2001-03-19T15:45:46Z</dcterms:created>
  <dcterms:modified xsi:type="dcterms:W3CDTF">2021-03-30T17:54:02Z</dcterms:modified>
</cp:coreProperties>
</file>