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0docs\2003530\"/>
    </mc:Choice>
  </mc:AlternateContent>
  <bookViews>
    <workbookView xWindow="0" yWindow="0" windowWidth="19125" windowHeight="12810"/>
  </bookViews>
  <sheets>
    <sheet name="Appendix B.2" sheetId="82" r:id="rId1"/>
    <sheet name="Table 1" sheetId="25" r:id="rId2"/>
    <sheet name="Table 2" sheetId="66" r:id="rId3"/>
    <sheet name="Table 4" sheetId="28" r:id="rId4"/>
    <sheet name="Table3ACsummary" sheetId="77" state="hidden" r:id="rId5"/>
    <sheet name="Table 5" sheetId="31" r:id="rId6"/>
    <sheet name="Table 3 UT CP Wind_2023" sheetId="81" state="hidden" r:id="rId7"/>
    <sheet name="Table 3 WYAE Wind_2024" sheetId="43" state="hidden" r:id="rId8"/>
    <sheet name="Table 3 ID Wind_2030" sheetId="75" state="hidden" r:id="rId9"/>
    <sheet name="Table 3 PV wS UTS_2024" sheetId="67" r:id="rId10"/>
    <sheet name="Table 3 PV wS UTS_2030" sheetId="80" state="hidden" r:id="rId11"/>
    <sheet name="Table 3 PV wS JB_2024" sheetId="71" state="hidden" r:id="rId12"/>
    <sheet name="Table 3 PV wS JB_2029" sheetId="78" state="hidden" r:id="rId13"/>
    <sheet name="Table 3 PV wS SO_2024" sheetId="72" state="hidden" r:id="rId14"/>
    <sheet name="Table 3 PV wS YK_2024" sheetId="73" state="hidden" r:id="rId15"/>
    <sheet name="Table 3 PV wS UTN_2024" sheetId="70" state="hidden" r:id="rId16"/>
    <sheet name="Table 3 185 MW (NTN) 2026)" sheetId="68" state="hidden" r:id="rId17"/>
    <sheet name="Table 3 YK Wind wS_2029" sheetId="76" state="hidden" r:id="rId18"/>
    <sheet name="Table 3 ID Wind wS_2032" sheetId="79" state="hidden" r:id="rId19"/>
    <sheet name="Table 3 TransCost" sheetId="47" state="hidden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200_SCCT_UtahN" localSheetId="2">'[1]Table 1'!$I$19</definedName>
    <definedName name="_200_SCCT_UtahN">'Table 1'!$I$19</definedName>
    <definedName name="_200_SCCT_WYNE">'Table 1'!$I$21</definedName>
    <definedName name="_30_Geo_West" localSheetId="0">'[2]Table 1'!$I$17</definedName>
    <definedName name="_30_Geo_West" localSheetId="2">'[1]Table 1'!$I$17</definedName>
    <definedName name="_30_Geo_West" localSheetId="16">'Table 1'!$I$17</definedName>
    <definedName name="_30_Geo_West" localSheetId="19">'Table 1'!$I$17</definedName>
    <definedName name="_30_Geo_West" localSheetId="6">'[3]Table 1'!$I$17</definedName>
    <definedName name="_30_Geo_West">'Table 1'!$I$17</definedName>
    <definedName name="_436_CCCT_WestMain" localSheetId="0">'[2]Table 1'!$I$18</definedName>
    <definedName name="_436_CCCT_WestMain" localSheetId="2">'[1]Table 1'!$I$18</definedName>
    <definedName name="_436_CCCT_WestMain" localSheetId="16">'Table 1'!$I$18</definedName>
    <definedName name="_436_CCCT_WestMain" localSheetId="19">'Table 1'!$I$18</definedName>
    <definedName name="_436_CCCT_WestMain" localSheetId="6">'[3]Table 1'!$I$18</definedName>
    <definedName name="_436_CCCT_WestMain">'Table 1'!$I$18</definedName>
    <definedName name="_477_CCCT_WestMain" localSheetId="0">'[2]Table 1'!$I$18</definedName>
    <definedName name="_477_CCCT_WestMain" localSheetId="2">'Table 1'!$I$18</definedName>
    <definedName name="_477_CCCT_WestMain">'[4]Table 1'!$I$18</definedName>
    <definedName name="_477_CCCT_WYNE">'Table 1'!$I$20</definedName>
    <definedName name="_635_CCCT_UtahS" localSheetId="0">'[2]Table 1'!$I$19</definedName>
    <definedName name="_635_CCCT_UtahS" localSheetId="2">'Table 1'!$I$19</definedName>
    <definedName name="_635_CCCT_UtahS">'[4]Table 1'!$I$19</definedName>
    <definedName name="_635_CCCT_WyoNE" localSheetId="0">'[2]Table 1'!$I$17</definedName>
    <definedName name="_635_CCCT_WyoNE" localSheetId="2">'Table 1'!$I$17</definedName>
    <definedName name="_635_CCCT_WyoNE">'[4]Table 1'!$I$17</definedName>
    <definedName name="_774_Wind_IDGoshen">'Table 1'!$I$23</definedName>
    <definedName name="_85_Wind_DJ_2031">'Table 1'!$I$22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19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19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19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19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19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0">'[5]Table 1'!#REF!</definedName>
    <definedName name="_Percent_Last_CCCT" localSheetId="2">'[1]Table 1'!#REF!</definedName>
    <definedName name="_Percent_Last_CCCT" localSheetId="18">'[5]Table 1'!#REF!</definedName>
    <definedName name="_Percent_Last_CCCT" localSheetId="8">'[5]Table 1'!#REF!</definedName>
    <definedName name="_Percent_Last_CCCT" localSheetId="11">'[5]Table 1'!#REF!</definedName>
    <definedName name="_Percent_Last_CCCT" localSheetId="12">'[5]Table 1'!#REF!</definedName>
    <definedName name="_Percent_Last_CCCT" localSheetId="13">'[5]Table 1'!#REF!</definedName>
    <definedName name="_Percent_Last_CCCT" localSheetId="15">'[5]Table 1'!#REF!</definedName>
    <definedName name="_Percent_Last_CCCT" localSheetId="9">'[5]Table 1'!#REF!</definedName>
    <definedName name="_Percent_Last_CCCT" localSheetId="10">'[5]Table 1'!#REF!</definedName>
    <definedName name="_Percent_Last_CCCT" localSheetId="14">'[5]Table 1'!#REF!</definedName>
    <definedName name="_Percent_Last_CCCT" localSheetId="6">'[5]Table 1'!#REF!</definedName>
    <definedName name="_Percent_Last_CCCT" localSheetId="17">'[5]Table 1'!#REF!</definedName>
    <definedName name="_Percent_Last_CCCT">'[5]Table 1'!#REF!</definedName>
    <definedName name="_UtahS_Solar_2031">'Table 1'!$I$30</definedName>
    <definedName name="_UtahS_Solar_2032">'Table 1'!$I$31</definedName>
    <definedName name="_UtahS_Solar_2033">'Table 1'!$I$32</definedName>
    <definedName name="_UtahS_Solar_2034">'Table 1'!$I$33</definedName>
    <definedName name="_UtahS_Solar_2035">'Table 1'!$I$34</definedName>
    <definedName name="_UtahS_Solar_2036">'Table 1'!$I$39</definedName>
    <definedName name="_Yakima_Solar_2028">'Table 1'!$I$24</definedName>
    <definedName name="_Yakima_Solar_2029">'Table 1'!$I$25</definedName>
    <definedName name="_Yakima_Solar_2031">'Table 1'!$I$26</definedName>
    <definedName name="_Yakima_Solar_2032">'Table 1'!$I$27</definedName>
    <definedName name="_Yakima_Solar_2033">'Table 1'!$I$28</definedName>
    <definedName name="_Yakima_Solar_2034">'Table 1'!$I$29</definedName>
    <definedName name="dateTable" localSheetId="0">'[6]on off peak hours'!$C$15:$ED$15</definedName>
    <definedName name="dateTable" localSheetId="16">'[6]on off peak hours'!$C$15:$ED$15</definedName>
    <definedName name="dateTable">'[6]on off peak hours'!$C$15:$ED$15</definedName>
    <definedName name="Discount_Rate" localSheetId="0">'[2]Table 1'!$I$39</definedName>
    <definedName name="Discount_Rate">'Table 1'!$I$43</definedName>
    <definedName name="Discount_Rate_2015_IRP" localSheetId="0">'[7]Table 7 to 8'!$AE$43</definedName>
    <definedName name="Discount_Rate_2015_IRP" localSheetId="16">'[8]Table 7 to 8'!$AE$43</definedName>
    <definedName name="Discount_Rate_2015_IRP" localSheetId="18">'[9]Table 7 to 8'!$AE$43</definedName>
    <definedName name="Discount_Rate_2015_IRP" localSheetId="8">'[9]Table 7 to 8'!$AE$43</definedName>
    <definedName name="Discount_Rate_2015_IRP" localSheetId="11">'[9]Table 7 to 8'!$AE$43</definedName>
    <definedName name="Discount_Rate_2015_IRP" localSheetId="12">'[9]Table 7 to 8'!$AE$43</definedName>
    <definedName name="Discount_Rate_2015_IRP" localSheetId="13">'[9]Table 7 to 8'!$AE$43</definedName>
    <definedName name="Discount_Rate_2015_IRP" localSheetId="15">'[9]Table 7 to 8'!$AE$43</definedName>
    <definedName name="Discount_Rate_2015_IRP" localSheetId="9">'[9]Table 7 to 8'!$AE$43</definedName>
    <definedName name="Discount_Rate_2015_IRP" localSheetId="10">'[9]Table 7 to 8'!$AE$43</definedName>
    <definedName name="Discount_Rate_2015_IRP" localSheetId="14">'[9]Table 7 to 8'!$AE$43</definedName>
    <definedName name="Discount_Rate_2015_IRP" localSheetId="19">'[9]Table 7 to 8'!$AE$43</definedName>
    <definedName name="Discount_Rate_2015_IRP" localSheetId="6">'[9]Table 7 to 8'!$AE$43</definedName>
    <definedName name="Discount_Rate_2015_IRP" localSheetId="7">'[9]Table 7 to 8'!$AE$43</definedName>
    <definedName name="Discount_Rate_2015_IRP" localSheetId="17">'[9]Table 7 to 8'!$AE$43</definedName>
    <definedName name="Discount_Rate_2015_IRP">'[8]Table 7 to 8'!$AE$43</definedName>
    <definedName name="DispatchSum">"GRID Thermal Generation!R2C1:R4C2"</definedName>
    <definedName name="FixedSolar_Capacity_Contr" localSheetId="0">'[8]Exhibit 3- Std FixedSolar QF'!$G$53</definedName>
    <definedName name="FixedSolar_Capacity_Contr" localSheetId="16">'[8]Exhibit 3- Std FixedSolar QF'!$G$53</definedName>
    <definedName name="FixedSolar_Capacity_Contr">'[8]Exhibit 3- Std FixedSolar QF'!$G$53</definedName>
    <definedName name="HoursHoliday" localSheetId="0">'[6]on off peak hours'!$C$16:$ED$20</definedName>
    <definedName name="HoursHoliday" localSheetId="16">'[6]on off peak hours'!$C$16:$ED$20</definedName>
    <definedName name="HoursHoliday">'[6]on off peak hours'!$C$16:$ED$20</definedName>
    <definedName name="Market" localSheetId="0">'[8]OFPC Source'!$J$8:$M$295</definedName>
    <definedName name="Market" localSheetId="16">'[8]OFPC Source'!$J$8:$M$295</definedName>
    <definedName name="Market" localSheetId="18">'[10]OFPC Source'!$J$8:$M$295</definedName>
    <definedName name="Market" localSheetId="8">'[10]OFPC Source'!$J$8:$M$295</definedName>
    <definedName name="Market" localSheetId="11">'[10]OFPC Source'!$J$8:$M$295</definedName>
    <definedName name="Market" localSheetId="12">'[10]OFPC Source'!$J$8:$M$295</definedName>
    <definedName name="Market" localSheetId="13">'[10]OFPC Source'!$J$8:$M$295</definedName>
    <definedName name="Market" localSheetId="15">'[10]OFPC Source'!$J$8:$M$295</definedName>
    <definedName name="Market" localSheetId="9">'[10]OFPC Source'!$J$8:$M$295</definedName>
    <definedName name="Market" localSheetId="10">'[10]OFPC Source'!$J$8:$M$295</definedName>
    <definedName name="Market" localSheetId="14">'[10]OFPC Source'!$J$8:$M$295</definedName>
    <definedName name="Market" localSheetId="19">'[10]OFPC Source'!$J$8:$M$295</definedName>
    <definedName name="Market" localSheetId="6">'[10]OFPC Source'!$J$8:$M$295</definedName>
    <definedName name="Market" localSheetId="7">'[10]OFPC Source'!$J$8:$M$295</definedName>
    <definedName name="Market" localSheetId="17">'[10]OFPC Source'!$J$8:$M$295</definedName>
    <definedName name="Market">'[8]OFPC Source'!$J$8:$M$295</definedName>
    <definedName name="MidC_Flat" localSheetId="0">[11]Market_Price!#REF!</definedName>
    <definedName name="MidC_Flat" localSheetId="2">[11]Market_Price!#REF!</definedName>
    <definedName name="MidC_Flat" localSheetId="18">[11]Market_Price!#REF!</definedName>
    <definedName name="MidC_Flat" localSheetId="8">[11]Market_Price!#REF!</definedName>
    <definedName name="MidC_Flat" localSheetId="11">[11]Market_Price!#REF!</definedName>
    <definedName name="MidC_Flat" localSheetId="12">[11]Market_Price!#REF!</definedName>
    <definedName name="MidC_Flat" localSheetId="13">[11]Market_Price!#REF!</definedName>
    <definedName name="MidC_Flat" localSheetId="15">[11]Market_Price!#REF!</definedName>
    <definedName name="MidC_Flat" localSheetId="9">[11]Market_Price!#REF!</definedName>
    <definedName name="MidC_Flat" localSheetId="10">[11]Market_Price!#REF!</definedName>
    <definedName name="MidC_Flat" localSheetId="14">[11]Market_Price!#REF!</definedName>
    <definedName name="MidC_Flat" localSheetId="6">[11]Market_Price!#REF!</definedName>
    <definedName name="MidC_Flat" localSheetId="17">[11]Market_Price!#REF!</definedName>
    <definedName name="MidC_Flat">[11]Market_Price!#REF!</definedName>
    <definedName name="OR_AC_price" localSheetId="0">#REF!</definedName>
    <definedName name="OR_AC_price" localSheetId="2">#REF!</definedName>
    <definedName name="OR_AC_price" localSheetId="18">#REF!</definedName>
    <definedName name="OR_AC_price" localSheetId="8">#REF!</definedName>
    <definedName name="OR_AC_price" localSheetId="11">#REF!</definedName>
    <definedName name="OR_AC_price" localSheetId="12">#REF!</definedName>
    <definedName name="OR_AC_price" localSheetId="13">#REF!</definedName>
    <definedName name="OR_AC_price" localSheetId="15">#REF!</definedName>
    <definedName name="OR_AC_price" localSheetId="9">#REF!</definedName>
    <definedName name="OR_AC_price" localSheetId="10">#REF!</definedName>
    <definedName name="OR_AC_price" localSheetId="14">#REF!</definedName>
    <definedName name="OR_AC_price" localSheetId="6">#REF!</definedName>
    <definedName name="OR_AC_price" localSheetId="17">#REF!</definedName>
    <definedName name="OR_AC_price">#REF!</definedName>
    <definedName name="_xlnm.Print_Area" localSheetId="0">'Appendix B.2'!$A$1:$L$34</definedName>
    <definedName name="_xlnm.Print_Area" localSheetId="1">'Table 1'!$A$1:$H$55</definedName>
    <definedName name="_xlnm.Print_Area" localSheetId="2">'Table 2'!$B$1:$P$36</definedName>
    <definedName name="_xlnm.Print_Area" localSheetId="16">'Table 3 185 MW (NTN) 2026)'!$A$1:$K$87</definedName>
    <definedName name="_xlnm.Print_Area" localSheetId="18">'Table 3 ID Wind wS_2032'!$A$1:$P$74</definedName>
    <definedName name="_xlnm.Print_Area" localSheetId="8">'Table 3 ID Wind_2030'!$A$1:$P$74</definedName>
    <definedName name="_xlnm.Print_Area" localSheetId="11">'Table 3 PV wS JB_2024'!$A$1:$P$74</definedName>
    <definedName name="_xlnm.Print_Area" localSheetId="12">'Table 3 PV wS JB_2029'!$A$1:$P$74</definedName>
    <definedName name="_xlnm.Print_Area" localSheetId="13">'Table 3 PV wS SO_2024'!$A$1:$P$74</definedName>
    <definedName name="_xlnm.Print_Area" localSheetId="15">'Table 3 PV wS UTN_2024'!$A$1:$P$77</definedName>
    <definedName name="_xlnm.Print_Area" localSheetId="9">'Table 3 PV wS UTS_2024'!$A$1:$P$74</definedName>
    <definedName name="_xlnm.Print_Area" localSheetId="10">'Table 3 PV wS UTS_2030'!$A$1:$P$74</definedName>
    <definedName name="_xlnm.Print_Area" localSheetId="14">'Table 3 PV wS YK_2024'!$A$1:$P$74</definedName>
    <definedName name="_xlnm.Print_Area" localSheetId="19">'Table 3 TransCost'!$A$1:$BD$50</definedName>
    <definedName name="_xlnm.Print_Area" localSheetId="6">'Table 3 UT CP Wind_2023'!$A$1:$N$74</definedName>
    <definedName name="_xlnm.Print_Area" localSheetId="7">'Table 3 WYAE Wind_2024'!$A$1:$Q$74</definedName>
    <definedName name="_xlnm.Print_Area" localSheetId="17">'Table 3 YK Wind wS_2029'!$A$1:$P$74</definedName>
    <definedName name="_xlnm.Print_Area" localSheetId="3">'Table 4'!$A$1:$F$44</definedName>
    <definedName name="_xlnm.Print_Area" localSheetId="5">'Table 5'!$A$1:$H$228</definedName>
    <definedName name="_xlnm.Print_Area" localSheetId="4">Table3ACsummary!$A$1:$M$50</definedName>
    <definedName name="_xlnm.Print_Titles" localSheetId="2">'Table 2'!$1:$9</definedName>
    <definedName name="_xlnm.Print_Titles" localSheetId="16">'Table 3 185 MW (NTN) 2026)'!$1:$6</definedName>
    <definedName name="RenewableMarketShape" localSheetId="0">'[8]OFPC Source'!$P$5:$U$33</definedName>
    <definedName name="RenewableMarketShape" localSheetId="16">'[8]OFPC Source'!$P$5:$U$33</definedName>
    <definedName name="RenewableMarketShape" localSheetId="18">'[10]OFPC Source'!$P$5:$U$28</definedName>
    <definedName name="RenewableMarketShape" localSheetId="8">'[10]OFPC Source'!$P$5:$U$28</definedName>
    <definedName name="RenewableMarketShape" localSheetId="11">'[10]OFPC Source'!$P$5:$U$28</definedName>
    <definedName name="RenewableMarketShape" localSheetId="12">'[10]OFPC Source'!$P$5:$U$28</definedName>
    <definedName name="RenewableMarketShape" localSheetId="13">'[10]OFPC Source'!$P$5:$U$28</definedName>
    <definedName name="RenewableMarketShape" localSheetId="15">'[10]OFPC Source'!$P$5:$U$28</definedName>
    <definedName name="RenewableMarketShape" localSheetId="9">'[10]OFPC Source'!$P$5:$U$28</definedName>
    <definedName name="RenewableMarketShape" localSheetId="10">'[10]OFPC Source'!$P$5:$U$28</definedName>
    <definedName name="RenewableMarketShape" localSheetId="14">'[10]OFPC Source'!$P$5:$U$28</definedName>
    <definedName name="RenewableMarketShape" localSheetId="19">'[10]OFPC Source'!$P$5:$U$28</definedName>
    <definedName name="RenewableMarketShape" localSheetId="6">'[10]OFPC Source'!$P$5:$U$28</definedName>
    <definedName name="RenewableMarketShape" localSheetId="7">'[10]OFPC Source'!$P$5:$U$28</definedName>
    <definedName name="RenewableMarketShape" localSheetId="17">'[10]OFPC Source'!$P$5:$U$28</definedName>
    <definedName name="RenewableMarketShape">'[8]OFPC Source'!$P$5:$U$33</definedName>
    <definedName name="RevenueSum">"GRID Thermal Revenue!R2C1:R4C2"</definedName>
    <definedName name="Solar_Fixed_integr_cost" localSheetId="0">'[12]Table 10'!$B$46</definedName>
    <definedName name="Solar_Fixed_integr_cost" localSheetId="16">'[12]Table 10'!$B$46</definedName>
    <definedName name="Solar_Fixed_integr_cost">'[12]Table 10'!$B$46</definedName>
    <definedName name="Solar_HLH" localSheetId="0">'[8]OFPC Source'!$U$48</definedName>
    <definedName name="Solar_HLH" localSheetId="16">'[8]OFPC Source'!$U$48</definedName>
    <definedName name="Solar_HLH" localSheetId="18">'[10]OFPC Source'!$U$47</definedName>
    <definedName name="Solar_HLH" localSheetId="8">'[10]OFPC Source'!$U$47</definedName>
    <definedName name="Solar_HLH" localSheetId="11">'[10]OFPC Source'!$U$47</definedName>
    <definedName name="Solar_HLH" localSheetId="12">'[10]OFPC Source'!$U$47</definedName>
    <definedName name="Solar_HLH" localSheetId="13">'[10]OFPC Source'!$U$47</definedName>
    <definedName name="Solar_HLH" localSheetId="15">'[10]OFPC Source'!$U$47</definedName>
    <definedName name="Solar_HLH" localSheetId="9">'[10]OFPC Source'!$U$47</definedName>
    <definedName name="Solar_HLH" localSheetId="10">'[10]OFPC Source'!$U$47</definedName>
    <definedName name="Solar_HLH" localSheetId="14">'[10]OFPC Source'!$U$47</definedName>
    <definedName name="Solar_HLH" localSheetId="19">'[10]OFPC Source'!$U$47</definedName>
    <definedName name="Solar_HLH" localSheetId="6">'[10]OFPC Source'!$U$47</definedName>
    <definedName name="Solar_HLH" localSheetId="7">'[10]OFPC Source'!$U$47</definedName>
    <definedName name="Solar_HLH" localSheetId="17">'[10]OFPC Source'!$U$47</definedName>
    <definedName name="Solar_HLH">'[8]OFPC Source'!$U$48</definedName>
    <definedName name="Solar_LLH" localSheetId="0">'[8]OFPC Source'!$V$48</definedName>
    <definedName name="Solar_LLH" localSheetId="16">'[8]OFPC Source'!$V$48</definedName>
    <definedName name="Solar_LLH" localSheetId="18">'[10]OFPC Source'!$V$47</definedName>
    <definedName name="Solar_LLH" localSheetId="8">'[10]OFPC Source'!$V$47</definedName>
    <definedName name="Solar_LLH" localSheetId="11">'[10]OFPC Source'!$V$47</definedName>
    <definedName name="Solar_LLH" localSheetId="12">'[10]OFPC Source'!$V$47</definedName>
    <definedName name="Solar_LLH" localSheetId="13">'[10]OFPC Source'!$V$47</definedName>
    <definedName name="Solar_LLH" localSheetId="15">'[10]OFPC Source'!$V$47</definedName>
    <definedName name="Solar_LLH" localSheetId="9">'[10]OFPC Source'!$V$47</definedName>
    <definedName name="Solar_LLH" localSheetId="10">'[10]OFPC Source'!$V$47</definedName>
    <definedName name="Solar_LLH" localSheetId="14">'[10]OFPC Source'!$V$47</definedName>
    <definedName name="Solar_LLH" localSheetId="19">'[10]OFPC Source'!$V$47</definedName>
    <definedName name="Solar_LLH" localSheetId="6">'[10]OFPC Source'!$V$47</definedName>
    <definedName name="Solar_LLH" localSheetId="7">'[10]OFPC Source'!$V$47</definedName>
    <definedName name="Solar_LLH" localSheetId="17">'[10]OFPC Source'!$V$47</definedName>
    <definedName name="Solar_LLH">'[8]OFPC Source'!$V$48</definedName>
    <definedName name="Solar_Tracking_integr_cost" localSheetId="0">'[12]Table 10'!$B$45</definedName>
    <definedName name="Solar_Tracking_integr_cost" localSheetId="16">'[12]Table 10'!$B$45</definedName>
    <definedName name="Solar_Tracking_integr_cost">'[12]Table 10'!$B$45</definedName>
    <definedName name="Study_Cap_Adj" localSheetId="0">'[2]Table 1'!$I$8</definedName>
    <definedName name="Study_Cap_Adj" localSheetId="2">'Table 1'!$I$8</definedName>
    <definedName name="Study_Cap_Adj" localSheetId="16">'Table 1'!$I$8</definedName>
    <definedName name="Study_Cap_Adj" localSheetId="19">'Table 1'!$I$8</definedName>
    <definedName name="Study_Cap_Adj" localSheetId="6">'[3]Table 1'!$I$8</definedName>
    <definedName name="Study_Cap_Adj">'Table 1'!$I$8</definedName>
    <definedName name="Study_CF" localSheetId="0">'[2]Table 5'!$M$7</definedName>
    <definedName name="Study_CF">'Table 5'!$M$7</definedName>
    <definedName name="Study_MW" localSheetId="0">'[2]Table 5'!$M$6</definedName>
    <definedName name="Study_MW">'Table 5'!$M$6</definedName>
    <definedName name="Study_Name" localSheetId="18">[6]ImportData!$D$7</definedName>
    <definedName name="Study_Name" localSheetId="8">[6]ImportData!$D$7</definedName>
    <definedName name="Study_Name" localSheetId="11">[6]ImportData!$D$7</definedName>
    <definedName name="Study_Name" localSheetId="12">[6]ImportData!$D$7</definedName>
    <definedName name="Study_Name" localSheetId="13">[6]ImportData!$D$7</definedName>
    <definedName name="Study_Name" localSheetId="15">[6]ImportData!$D$7</definedName>
    <definedName name="Study_Name" localSheetId="9">[6]ImportData!$D$7</definedName>
    <definedName name="Study_Name" localSheetId="10">[6]ImportData!$D$7</definedName>
    <definedName name="Study_Name" localSheetId="14">[6]ImportData!$D$7</definedName>
    <definedName name="Study_Name" localSheetId="19">[6]ImportData!$D$7</definedName>
    <definedName name="Study_Name" localSheetId="6">[6]ImportData!$D$7</definedName>
    <definedName name="Study_Name" localSheetId="7">[6]ImportData!$D$7</definedName>
    <definedName name="Study_Name" localSheetId="17">[6]ImportData!$D$7</definedName>
    <definedName name="ValuationDate" localSheetId="0">#REF!</definedName>
    <definedName name="ValuationDate" localSheetId="2">#REF!</definedName>
    <definedName name="ValuationDate" localSheetId="18">#REF!</definedName>
    <definedName name="ValuationDate" localSheetId="8">#REF!</definedName>
    <definedName name="ValuationDate" localSheetId="11">#REF!</definedName>
    <definedName name="ValuationDate" localSheetId="12">#REF!</definedName>
    <definedName name="ValuationDate" localSheetId="13">#REF!</definedName>
    <definedName name="ValuationDate" localSheetId="15">#REF!</definedName>
    <definedName name="ValuationDate" localSheetId="9">#REF!</definedName>
    <definedName name="ValuationDate" localSheetId="10">#REF!</definedName>
    <definedName name="ValuationDate" localSheetId="14">#REF!</definedName>
    <definedName name="ValuationDate" localSheetId="6">#REF!</definedName>
    <definedName name="ValuationDate" localSheetId="17">#REF!</definedName>
    <definedName name="ValuationDate">#REF!</definedName>
    <definedName name="Wind_Capacity_Contr" localSheetId="0">'[8]Exhibit 2- Std Wind QF '!$E$57</definedName>
    <definedName name="Wind_Capacity_Contr" localSheetId="16">'[8]Exhibit 2- Std Wind QF '!$E$57</definedName>
    <definedName name="Wind_Capacity_Contr">'[8]Exhibit 2- Std Wind QF '!$E$57</definedName>
    <definedName name="Wind_Integration_Charge" localSheetId="0">'[8]Exhibit 2- Std Wind QF '!$E$45</definedName>
    <definedName name="Wind_Integration_Charge" localSheetId="16">'[8]Exhibit 2- Std Wind QF '!$E$45</definedName>
    <definedName name="Wind_Integration_Charge">'[8]Exhibit 2- Std Wind QF '!$E$45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82" l="1"/>
  <c r="E9" i="82"/>
  <c r="E15" i="82"/>
  <c r="E16" i="82" l="1"/>
  <c r="E12" i="82"/>
  <c r="E10" i="82"/>
  <c r="E18" i="82"/>
  <c r="E14" i="82"/>
  <c r="E17" i="82"/>
  <c r="E11" i="82"/>
  <c r="E23" i="82" l="1"/>
  <c r="E19" i="82"/>
  <c r="E20" i="82" l="1"/>
  <c r="E22" i="82"/>
  <c r="E21" i="82"/>
  <c r="E26" i="82"/>
  <c r="B32" i="82" l="1"/>
  <c r="H26" i="82"/>
  <c r="G26" i="82"/>
  <c r="F26" i="82"/>
  <c r="B9" i="82"/>
  <c r="B10" i="82" s="1"/>
  <c r="K5" i="82"/>
  <c r="J5" i="82"/>
  <c r="I5" i="82"/>
  <c r="H9" i="82" l="1"/>
  <c r="K26" i="82"/>
  <c r="K27" i="82" s="1"/>
  <c r="G10" i="82"/>
  <c r="B11" i="82"/>
  <c r="H10" i="82"/>
  <c r="F10" i="82"/>
  <c r="F9" i="82"/>
  <c r="G9" i="82"/>
  <c r="K9" i="82"/>
  <c r="B12" i="82" l="1"/>
  <c r="G11" i="82"/>
  <c r="F11" i="82"/>
  <c r="H11" i="82"/>
  <c r="K10" i="82"/>
  <c r="G12" i="82" l="1"/>
  <c r="K12" i="82"/>
  <c r="B13" i="82"/>
  <c r="H12" i="82"/>
  <c r="F12" i="82"/>
  <c r="K11" i="82"/>
  <c r="H13" i="82" l="1"/>
  <c r="G13" i="82"/>
  <c r="F13" i="82"/>
  <c r="B14" i="82"/>
  <c r="K13" i="82" l="1"/>
  <c r="G14" i="82"/>
  <c r="F14" i="82"/>
  <c r="B15" i="82"/>
  <c r="H14" i="82"/>
  <c r="S6" i="31"/>
  <c r="K14" i="82" l="1"/>
  <c r="K15" i="82"/>
  <c r="H15" i="82"/>
  <c r="G15" i="82"/>
  <c r="F15" i="82"/>
  <c r="B16" i="82"/>
  <c r="A9" i="31"/>
  <c r="P5" i="31"/>
  <c r="P6" i="31" s="1"/>
  <c r="G16" i="82" l="1"/>
  <c r="F16" i="82"/>
  <c r="B17" i="82"/>
  <c r="H16" i="82"/>
  <c r="CX38" i="25"/>
  <c r="CW38" i="25"/>
  <c r="CV38" i="25"/>
  <c r="CX37" i="25"/>
  <c r="CW37" i="25"/>
  <c r="CV37" i="25"/>
  <c r="CX36" i="25"/>
  <c r="CW36" i="25"/>
  <c r="CV36" i="25"/>
  <c r="CX35" i="25"/>
  <c r="CW35" i="25"/>
  <c r="CV35" i="25"/>
  <c r="CX34" i="25"/>
  <c r="CW34" i="25"/>
  <c r="CV34" i="25"/>
  <c r="CX33" i="25"/>
  <c r="CW33" i="25"/>
  <c r="CV33" i="25"/>
  <c r="BC38" i="25"/>
  <c r="BB38" i="25"/>
  <c r="BA38" i="25"/>
  <c r="AZ38" i="25"/>
  <c r="AY38" i="25"/>
  <c r="AX38" i="25"/>
  <c r="AW38" i="25"/>
  <c r="AV38" i="25"/>
  <c r="AU38" i="25"/>
  <c r="AT38" i="25"/>
  <c r="AS38" i="25"/>
  <c r="AR38" i="25"/>
  <c r="AQ38" i="25"/>
  <c r="AP38" i="25"/>
  <c r="AO38" i="25"/>
  <c r="AN38" i="25"/>
  <c r="AM38" i="25"/>
  <c r="AL38" i="25"/>
  <c r="BC37" i="25"/>
  <c r="BB37" i="25"/>
  <c r="BA37" i="25"/>
  <c r="AZ37" i="25"/>
  <c r="AY37" i="25"/>
  <c r="AX37" i="25"/>
  <c r="AW37" i="25"/>
  <c r="AV37" i="25"/>
  <c r="AU37" i="25"/>
  <c r="AT37" i="25"/>
  <c r="AS37" i="25"/>
  <c r="AR37" i="25"/>
  <c r="AQ37" i="25"/>
  <c r="AP37" i="25"/>
  <c r="AO37" i="25"/>
  <c r="AN37" i="25"/>
  <c r="AM37" i="25"/>
  <c r="AL37" i="25"/>
  <c r="BC36" i="25"/>
  <c r="BB36" i="25"/>
  <c r="BA36" i="25"/>
  <c r="AZ36" i="25"/>
  <c r="AY36" i="25"/>
  <c r="AX36" i="25"/>
  <c r="AW36" i="25"/>
  <c r="AV36" i="25"/>
  <c r="AU36" i="25"/>
  <c r="AT36" i="25"/>
  <c r="AS36" i="25"/>
  <c r="AR36" i="25"/>
  <c r="AQ36" i="25"/>
  <c r="AP36" i="25"/>
  <c r="AO36" i="25"/>
  <c r="AN36" i="25"/>
  <c r="AM36" i="25"/>
  <c r="AL36" i="25"/>
  <c r="BC35" i="25"/>
  <c r="BB35" i="25"/>
  <c r="BA35" i="25"/>
  <c r="AZ35" i="25"/>
  <c r="AY35" i="25"/>
  <c r="AX35" i="25"/>
  <c r="AW35" i="25"/>
  <c r="AV35" i="25"/>
  <c r="AU35" i="25"/>
  <c r="AT35" i="25"/>
  <c r="AS35" i="25"/>
  <c r="AR35" i="25"/>
  <c r="AQ35" i="25"/>
  <c r="AP35" i="25"/>
  <c r="AO35" i="25"/>
  <c r="AN35" i="25"/>
  <c r="AM35" i="25"/>
  <c r="AL35" i="25"/>
  <c r="BC34" i="25"/>
  <c r="BB34" i="25"/>
  <c r="BA34" i="25"/>
  <c r="AZ34" i="25"/>
  <c r="AY34" i="25"/>
  <c r="AX34" i="25"/>
  <c r="AW34" i="25"/>
  <c r="AV34" i="25"/>
  <c r="AU34" i="25"/>
  <c r="AT34" i="25"/>
  <c r="AS34" i="25"/>
  <c r="AR34" i="25"/>
  <c r="AQ34" i="25"/>
  <c r="AP34" i="25"/>
  <c r="AO34" i="25"/>
  <c r="AN34" i="25"/>
  <c r="AM34" i="25"/>
  <c r="AL34" i="25"/>
  <c r="BC33" i="25"/>
  <c r="BB33" i="25"/>
  <c r="BA33" i="25"/>
  <c r="AZ33" i="25"/>
  <c r="AY33" i="25"/>
  <c r="AX33" i="25"/>
  <c r="AW33" i="25"/>
  <c r="AV33" i="25"/>
  <c r="AU33" i="25"/>
  <c r="AT33" i="25"/>
  <c r="AS33" i="25"/>
  <c r="AR33" i="25"/>
  <c r="AQ33" i="25"/>
  <c r="AP33" i="25"/>
  <c r="AO33" i="25"/>
  <c r="AN33" i="25"/>
  <c r="AM33" i="25"/>
  <c r="CX32" i="25"/>
  <c r="CW32" i="25"/>
  <c r="CV32" i="25"/>
  <c r="BB32" i="25"/>
  <c r="AX32" i="25"/>
  <c r="AT32" i="25"/>
  <c r="AP32" i="25"/>
  <c r="AL32" i="25"/>
  <c r="BC32" i="25"/>
  <c r="BA32" i="25"/>
  <c r="AZ32" i="25"/>
  <c r="AY32" i="25"/>
  <c r="AW32" i="25"/>
  <c r="AV32" i="25"/>
  <c r="AU32" i="25"/>
  <c r="AS32" i="25"/>
  <c r="AR32" i="25"/>
  <c r="AQ32" i="25"/>
  <c r="AO32" i="25"/>
  <c r="AN32" i="25"/>
  <c r="AM32" i="25"/>
  <c r="CX31" i="25"/>
  <c r="CW31" i="25"/>
  <c r="CV31" i="25"/>
  <c r="K16" i="82" l="1"/>
  <c r="B18" i="82"/>
  <c r="H17" i="82"/>
  <c r="G17" i="82"/>
  <c r="F17" i="82"/>
  <c r="BI9" i="25"/>
  <c r="CE9" i="25" s="1"/>
  <c r="AM9" i="25"/>
  <c r="C67" i="81"/>
  <c r="D46" i="81"/>
  <c r="Q59" i="81"/>
  <c r="T56" i="81"/>
  <c r="T55" i="81"/>
  <c r="D49" i="81"/>
  <c r="C49" i="81"/>
  <c r="D48" i="81"/>
  <c r="C48" i="81"/>
  <c r="D47" i="81"/>
  <c r="C47" i="81"/>
  <c r="C46" i="81"/>
  <c r="C45" i="81"/>
  <c r="K16" i="81"/>
  <c r="K15" i="81"/>
  <c r="K14" i="81"/>
  <c r="K13" i="81"/>
  <c r="K12" i="81"/>
  <c r="H12" i="81"/>
  <c r="B11" i="81"/>
  <c r="B12" i="81" s="1"/>
  <c r="B13" i="81" s="1"/>
  <c r="B3" i="81"/>
  <c r="C52" i="81" s="1"/>
  <c r="B9" i="81" s="1"/>
  <c r="G18" i="82" l="1"/>
  <c r="F18" i="82"/>
  <c r="K18" i="82"/>
  <c r="B19" i="82"/>
  <c r="H18" i="82"/>
  <c r="K17" i="82"/>
  <c r="C68" i="81"/>
  <c r="B14" i="81"/>
  <c r="B15" i="81" s="1"/>
  <c r="B16" i="81" s="1"/>
  <c r="B17" i="81" s="1"/>
  <c r="C69" i="81"/>
  <c r="B20" i="82" l="1"/>
  <c r="H19" i="82"/>
  <c r="G19" i="82"/>
  <c r="F19" i="82"/>
  <c r="C70" i="81"/>
  <c r="D17" i="81"/>
  <c r="B18" i="81"/>
  <c r="G20" i="82" l="1"/>
  <c r="F20" i="82"/>
  <c r="K20" i="82"/>
  <c r="B21" i="82"/>
  <c r="H20" i="82"/>
  <c r="K19" i="82"/>
  <c r="B19" i="81"/>
  <c r="C71" i="81"/>
  <c r="B22" i="82" l="1"/>
  <c r="H21" i="82"/>
  <c r="G21" i="82"/>
  <c r="F21" i="82"/>
  <c r="C72" i="81"/>
  <c r="B20" i="81"/>
  <c r="K21" i="82" l="1"/>
  <c r="G22" i="82"/>
  <c r="F22" i="82"/>
  <c r="B23" i="82"/>
  <c r="H22" i="82"/>
  <c r="B21" i="81"/>
  <c r="C73" i="81"/>
  <c r="H23" i="82" l="1"/>
  <c r="G23" i="82"/>
  <c r="F23" i="82"/>
  <c r="B33" i="82"/>
  <c r="K22" i="82"/>
  <c r="C74" i="81"/>
  <c r="B22" i="81"/>
  <c r="K23" i="82" l="1"/>
  <c r="B23" i="81"/>
  <c r="F66" i="81"/>
  <c r="F67" i="81" l="1"/>
  <c r="B24" i="81"/>
  <c r="B25" i="81" l="1"/>
  <c r="F68" i="81"/>
  <c r="F69" i="81" l="1"/>
  <c r="B26" i="81"/>
  <c r="B27" i="81" l="1"/>
  <c r="F70" i="81"/>
  <c r="F71" i="81" l="1"/>
  <c r="B28" i="81"/>
  <c r="B29" i="81" l="1"/>
  <c r="F72" i="81"/>
  <c r="F73" i="81" l="1"/>
  <c r="B30" i="81"/>
  <c r="B31" i="81" l="1"/>
  <c r="F74" i="81"/>
  <c r="I66" i="81" l="1"/>
  <c r="B32" i="81"/>
  <c r="B33" i="81" l="1"/>
  <c r="B34" i="81" s="1"/>
  <c r="B35" i="81" s="1"/>
  <c r="B36" i="81" s="1"/>
  <c r="B37" i="81" s="1"/>
  <c r="I67" i="81"/>
  <c r="I68" i="81" l="1"/>
  <c r="I69" i="81" l="1"/>
  <c r="I70" i="81" l="1"/>
  <c r="E33" i="81" l="1"/>
  <c r="I71" i="81"/>
  <c r="I72" i="81" l="1"/>
  <c r="E34" i="81"/>
  <c r="E35" i="81" l="1"/>
  <c r="I73" i="81"/>
  <c r="I74" i="81" l="1"/>
  <c r="E36" i="81"/>
  <c r="E37" i="81" s="1"/>
  <c r="D18" i="81"/>
  <c r="H13" i="81"/>
  <c r="H14" i="81" s="1"/>
  <c r="H15" i="81" s="1"/>
  <c r="H16" i="81" s="1"/>
  <c r="D19" i="81" l="1"/>
  <c r="D20" i="81" l="1"/>
  <c r="D21" i="81" l="1"/>
  <c r="D22" i="81" l="1"/>
  <c r="D23" i="81" l="1"/>
  <c r="D24" i="81" l="1"/>
  <c r="D25" i="81" l="1"/>
  <c r="D26" i="81" l="1"/>
  <c r="F17" i="81" l="1"/>
  <c r="D27" i="81"/>
  <c r="K17" i="81" l="1"/>
  <c r="G17" i="81"/>
  <c r="I17" i="81" s="1"/>
  <c r="J17" i="81" s="1"/>
  <c r="F18" i="81"/>
  <c r="D28" i="81"/>
  <c r="F19" i="81" l="1"/>
  <c r="K18" i="81"/>
  <c r="G18" i="81"/>
  <c r="I18" i="81" s="1"/>
  <c r="J18" i="81" s="1"/>
  <c r="D29" i="81"/>
  <c r="F20" i="81" l="1"/>
  <c r="K19" i="81"/>
  <c r="G19" i="81"/>
  <c r="I19" i="81" s="1"/>
  <c r="J19" i="81" s="1"/>
  <c r="D30" i="81"/>
  <c r="F21" i="81" l="1"/>
  <c r="K20" i="81"/>
  <c r="G20" i="81"/>
  <c r="I20" i="81" s="1"/>
  <c r="J20" i="81" s="1"/>
  <c r="D31" i="81"/>
  <c r="F22" i="81" l="1"/>
  <c r="K21" i="81"/>
  <c r="G21" i="81"/>
  <c r="I21" i="81" s="1"/>
  <c r="J21" i="81" s="1"/>
  <c r="D32" i="81"/>
  <c r="F23" i="81" l="1"/>
  <c r="G22" i="81"/>
  <c r="I22" i="81" s="1"/>
  <c r="J22" i="81" s="1"/>
  <c r="K22" i="81"/>
  <c r="D33" i="81"/>
  <c r="F24" i="81" l="1"/>
  <c r="K23" i="81"/>
  <c r="G23" i="81"/>
  <c r="I23" i="81" s="1"/>
  <c r="J23" i="81" s="1"/>
  <c r="D34" i="81"/>
  <c r="F25" i="81" l="1"/>
  <c r="K24" i="81"/>
  <c r="G24" i="81"/>
  <c r="I24" i="81" s="1"/>
  <c r="J24" i="81" s="1"/>
  <c r="D35" i="81"/>
  <c r="F26" i="81" l="1"/>
  <c r="K25" i="81"/>
  <c r="G25" i="81"/>
  <c r="I25" i="81" s="1"/>
  <c r="J25" i="81" s="1"/>
  <c r="D36" i="81"/>
  <c r="F27" i="81" l="1"/>
  <c r="G26" i="81"/>
  <c r="I26" i="81" s="1"/>
  <c r="J26" i="81" s="1"/>
  <c r="K26" i="81"/>
  <c r="D37" i="81"/>
  <c r="F28" i="81" l="1"/>
  <c r="K27" i="81"/>
  <c r="G27" i="81"/>
  <c r="I27" i="81" s="1"/>
  <c r="J27" i="81" s="1"/>
  <c r="F29" i="81" l="1"/>
  <c r="K28" i="81"/>
  <c r="G28" i="81"/>
  <c r="I28" i="81" s="1"/>
  <c r="J28" i="81" s="1"/>
  <c r="F30" i="81" l="1"/>
  <c r="K29" i="81"/>
  <c r="G29" i="81"/>
  <c r="I29" i="81" s="1"/>
  <c r="J29" i="81" s="1"/>
  <c r="F31" i="81" l="1"/>
  <c r="K30" i="81"/>
  <c r="G30" i="81"/>
  <c r="I30" i="81" s="1"/>
  <c r="J30" i="81" s="1"/>
  <c r="F32" i="81" l="1"/>
  <c r="K31" i="81"/>
  <c r="G31" i="81"/>
  <c r="I31" i="81" s="1"/>
  <c r="J31" i="81" s="1"/>
  <c r="F33" i="81" l="1"/>
  <c r="K32" i="81"/>
  <c r="G32" i="81"/>
  <c r="I32" i="81" s="1"/>
  <c r="J32" i="81" s="1"/>
  <c r="F34" i="81" l="1"/>
  <c r="K33" i="81"/>
  <c r="G33" i="81"/>
  <c r="I33" i="81" s="1"/>
  <c r="J33" i="81" s="1"/>
  <c r="F35" i="81" l="1"/>
  <c r="K34" i="81"/>
  <c r="G34" i="81"/>
  <c r="I34" i="81" s="1"/>
  <c r="J34" i="81" s="1"/>
  <c r="F36" i="81" l="1"/>
  <c r="K35" i="81"/>
  <c r="G35" i="81"/>
  <c r="I35" i="81" s="1"/>
  <c r="J35" i="81" s="1"/>
  <c r="F37" i="81" l="1"/>
  <c r="K36" i="81"/>
  <c r="G36" i="81"/>
  <c r="I36" i="81" s="1"/>
  <c r="J36" i="81" s="1"/>
  <c r="K37" i="81" l="1"/>
  <c r="G37" i="81"/>
  <c r="I37" i="81" s="1"/>
  <c r="J37" i="81" s="1"/>
  <c r="A47" i="25" l="1"/>
  <c r="B48" i="25" l="1"/>
  <c r="K25" i="79" l="1"/>
  <c r="K24" i="79"/>
  <c r="K23" i="79"/>
  <c r="K22" i="79"/>
  <c r="K21" i="79"/>
  <c r="K20" i="79"/>
  <c r="K19" i="79"/>
  <c r="K18" i="79"/>
  <c r="K17" i="79"/>
  <c r="K16" i="79"/>
  <c r="K15" i="79"/>
  <c r="K14" i="79"/>
  <c r="K13" i="79"/>
  <c r="K12" i="79"/>
  <c r="K23" i="75"/>
  <c r="K22" i="75"/>
  <c r="K21" i="75"/>
  <c r="K20" i="75"/>
  <c r="K19" i="75"/>
  <c r="K18" i="75"/>
  <c r="K17" i="75"/>
  <c r="K16" i="75"/>
  <c r="K15" i="75"/>
  <c r="K14" i="75"/>
  <c r="K13" i="75"/>
  <c r="K12" i="75"/>
  <c r="K22" i="76"/>
  <c r="K21" i="76"/>
  <c r="K20" i="76"/>
  <c r="K19" i="76"/>
  <c r="K18" i="76"/>
  <c r="K17" i="76"/>
  <c r="K16" i="76"/>
  <c r="K15" i="76"/>
  <c r="K14" i="76"/>
  <c r="K13" i="76"/>
  <c r="K12" i="76"/>
  <c r="L15" i="68"/>
  <c r="L17" i="43"/>
  <c r="L16" i="43"/>
  <c r="L15" i="43"/>
  <c r="L14" i="43"/>
  <c r="L13" i="43"/>
  <c r="L12" i="43"/>
  <c r="D48" i="43" l="1"/>
  <c r="C48" i="67"/>
  <c r="D48" i="67"/>
  <c r="D48" i="80"/>
  <c r="D51" i="70"/>
  <c r="D48" i="71"/>
  <c r="D48" i="78"/>
  <c r="D48" i="72"/>
  <c r="D48" i="73"/>
  <c r="D48" i="76"/>
  <c r="D48" i="75"/>
  <c r="D48" i="79"/>
  <c r="B60" i="72" l="1"/>
  <c r="C60" i="72"/>
  <c r="F18" i="72" s="1"/>
  <c r="BF10" i="47" l="1"/>
  <c r="B60" i="79" l="1"/>
  <c r="B60" i="75"/>
  <c r="B60" i="76"/>
  <c r="B60" i="73"/>
  <c r="B60" i="78"/>
  <c r="B60" i="71"/>
  <c r="B63" i="70"/>
  <c r="B60" i="80"/>
  <c r="B60" i="67"/>
  <c r="B60" i="43"/>
  <c r="BY9" i="25" l="1"/>
  <c r="BY8" i="25"/>
  <c r="BC9" i="25"/>
  <c r="BC8" i="25"/>
  <c r="BX9" i="25" l="1"/>
  <c r="BW9" i="25"/>
  <c r="BV9" i="25"/>
  <c r="BU9" i="25"/>
  <c r="BT9" i="25"/>
  <c r="BS9" i="25"/>
  <c r="BR9" i="25"/>
  <c r="BQ9" i="25"/>
  <c r="BP9" i="25"/>
  <c r="BO9" i="25"/>
  <c r="BN9" i="25"/>
  <c r="BM9" i="25"/>
  <c r="BL9" i="25"/>
  <c r="BX8" i="25"/>
  <c r="BW8" i="25"/>
  <c r="BV8" i="25"/>
  <c r="BU8" i="25"/>
  <c r="BT8" i="25"/>
  <c r="BS8" i="25"/>
  <c r="BR8" i="25"/>
  <c r="BQ8" i="25"/>
  <c r="BP8" i="25"/>
  <c r="BO8" i="25"/>
  <c r="BN8" i="25"/>
  <c r="BM8" i="25"/>
  <c r="BL8" i="25"/>
  <c r="BK8" i="25"/>
  <c r="BK9" i="25"/>
  <c r="BJ9" i="25"/>
  <c r="BH9" i="25"/>
  <c r="BB8" i="25"/>
  <c r="BA8" i="25"/>
  <c r="AZ8" i="25"/>
  <c r="AY8" i="25"/>
  <c r="AX8" i="25"/>
  <c r="AW8" i="25"/>
  <c r="AV8" i="25"/>
  <c r="AU8" i="25"/>
  <c r="AT8" i="25"/>
  <c r="AS8" i="25"/>
  <c r="AR8" i="25"/>
  <c r="AQ8" i="25"/>
  <c r="AP8" i="25"/>
  <c r="AO8" i="25"/>
  <c r="AN8" i="25"/>
  <c r="AL8" i="25"/>
  <c r="AZ9" i="47" l="1"/>
  <c r="BE9" i="47"/>
  <c r="BH10" i="47"/>
  <c r="BG39" i="47"/>
  <c r="C45" i="47"/>
  <c r="AU10" i="47"/>
  <c r="AU11" i="47" s="1"/>
  <c r="AU12" i="47" s="1"/>
  <c r="AU13" i="47" s="1"/>
  <c r="AU14" i="47" s="1"/>
  <c r="AU15" i="47" s="1"/>
  <c r="AU16" i="47" s="1"/>
  <c r="AU17" i="47" s="1"/>
  <c r="AU18" i="47" s="1"/>
  <c r="AU19" i="47" s="1"/>
  <c r="AU20" i="47" s="1"/>
  <c r="AU21" i="47" s="1"/>
  <c r="AU22" i="47" s="1"/>
  <c r="AU23" i="47" s="1"/>
  <c r="AU24" i="47" s="1"/>
  <c r="AU25" i="47" s="1"/>
  <c r="AU26" i="47" s="1"/>
  <c r="AU27" i="47" s="1"/>
  <c r="AU28" i="47" s="1"/>
  <c r="AU29" i="47" s="1"/>
  <c r="AU30" i="47" s="1"/>
  <c r="AU31" i="47" s="1"/>
  <c r="AU32" i="47" s="1"/>
  <c r="AU9" i="47"/>
  <c r="AP10" i="47"/>
  <c r="AP11" i="47" s="1"/>
  <c r="AP12" i="47" s="1"/>
  <c r="AP13" i="47" s="1"/>
  <c r="AP14" i="47" s="1"/>
  <c r="AP15" i="47" s="1"/>
  <c r="AP16" i="47" s="1"/>
  <c r="AP17" i="47" s="1"/>
  <c r="AP18" i="47" s="1"/>
  <c r="AP19" i="47" s="1"/>
  <c r="AP20" i="47" s="1"/>
  <c r="AP21" i="47" s="1"/>
  <c r="AP22" i="47" s="1"/>
  <c r="AP23" i="47" s="1"/>
  <c r="AP24" i="47" s="1"/>
  <c r="AP25" i="47" s="1"/>
  <c r="AP26" i="47" s="1"/>
  <c r="AP27" i="47" s="1"/>
  <c r="AP28" i="47" s="1"/>
  <c r="AP29" i="47" s="1"/>
  <c r="AP30" i="47" s="1"/>
  <c r="AP31" i="47" s="1"/>
  <c r="AP32" i="47" s="1"/>
  <c r="AP9" i="47"/>
  <c r="L11" i="47"/>
  <c r="L12" i="47" s="1"/>
  <c r="L13" i="47" s="1"/>
  <c r="L14" i="47" s="1"/>
  <c r="L15" i="47" s="1"/>
  <c r="L16" i="47" s="1"/>
  <c r="L17" i="47" s="1"/>
  <c r="L18" i="47" s="1"/>
  <c r="L19" i="47" s="1"/>
  <c r="L20" i="47" s="1"/>
  <c r="L21" i="47" s="1"/>
  <c r="L22" i="47" s="1"/>
  <c r="L23" i="47" s="1"/>
  <c r="L24" i="47" s="1"/>
  <c r="L25" i="47" s="1"/>
  <c r="L26" i="47" s="1"/>
  <c r="L27" i="47" s="1"/>
  <c r="L28" i="47" s="1"/>
  <c r="L29" i="47" s="1"/>
  <c r="L30" i="47" s="1"/>
  <c r="L31" i="47" s="1"/>
  <c r="L32" i="47" s="1"/>
  <c r="L9" i="47"/>
  <c r="AK9" i="47"/>
  <c r="AK10" i="47"/>
  <c r="AK11" i="47" s="1"/>
  <c r="AK12" i="47" s="1"/>
  <c r="AK13" i="47" s="1"/>
  <c r="AK14" i="47" s="1"/>
  <c r="AK15" i="47" s="1"/>
  <c r="AK16" i="47" s="1"/>
  <c r="AK17" i="47" s="1"/>
  <c r="AK18" i="47" s="1"/>
  <c r="AK19" i="47" s="1"/>
  <c r="AK20" i="47" s="1"/>
  <c r="AK21" i="47" s="1"/>
  <c r="AK22" i="47" s="1"/>
  <c r="AK23" i="47" s="1"/>
  <c r="AK24" i="47" s="1"/>
  <c r="AK25" i="47" s="1"/>
  <c r="AK26" i="47" s="1"/>
  <c r="AK27" i="47" s="1"/>
  <c r="AK28" i="47" s="1"/>
  <c r="AK29" i="47" s="1"/>
  <c r="AK30" i="47" s="1"/>
  <c r="AK31" i="47" s="1"/>
  <c r="AK32" i="47" s="1"/>
  <c r="C46" i="47" l="1"/>
  <c r="BB39" i="47"/>
  <c r="AL10" i="47"/>
  <c r="AQ10" i="47"/>
  <c r="AS10" i="47" s="1"/>
  <c r="BA10" i="47"/>
  <c r="BC10" i="47" s="1"/>
  <c r="M10" i="47"/>
  <c r="O10" i="47" s="1"/>
  <c r="AV10" i="47"/>
  <c r="AX10" i="47" s="1"/>
  <c r="AW39" i="47"/>
  <c r="AR39" i="47"/>
  <c r="N39" i="47"/>
  <c r="AM39" i="47"/>
  <c r="C47" i="47" l="1"/>
  <c r="AN10" i="47"/>
  <c r="V10" i="47"/>
  <c r="AZ10" i="47" s="1"/>
  <c r="AZ11" i="47" s="1"/>
  <c r="AZ12" i="47" s="1"/>
  <c r="AZ13" i="47" s="1"/>
  <c r="AZ14" i="47" s="1"/>
  <c r="AZ15" i="47" s="1"/>
  <c r="AZ16" i="47" s="1"/>
  <c r="AZ17" i="47" s="1"/>
  <c r="AZ18" i="47" s="1"/>
  <c r="AZ19" i="47" s="1"/>
  <c r="AZ20" i="47" s="1"/>
  <c r="AZ21" i="47" s="1"/>
  <c r="AZ22" i="47" s="1"/>
  <c r="AZ23" i="47" s="1"/>
  <c r="AZ24" i="47" s="1"/>
  <c r="AZ25" i="47" s="1"/>
  <c r="AZ26" i="47" s="1"/>
  <c r="AZ27" i="47" s="1"/>
  <c r="AZ28" i="47" s="1"/>
  <c r="AZ29" i="47" s="1"/>
  <c r="AZ30" i="47" s="1"/>
  <c r="AZ31" i="47" s="1"/>
  <c r="AZ32" i="47" s="1"/>
  <c r="Q10" i="47"/>
  <c r="AF10" i="47"/>
  <c r="AA10" i="47"/>
  <c r="BE10" i="47" s="1"/>
  <c r="BE11" i="47" s="1"/>
  <c r="BE12" i="47" s="1"/>
  <c r="BE13" i="47" s="1"/>
  <c r="BE14" i="47" s="1"/>
  <c r="BE15" i="47" s="1"/>
  <c r="BE16" i="47" s="1"/>
  <c r="BE17" i="47" s="1"/>
  <c r="BE18" i="47" s="1"/>
  <c r="BE19" i="47" s="1"/>
  <c r="BE20" i="47" s="1"/>
  <c r="BE21" i="47" s="1"/>
  <c r="BE22" i="47" s="1"/>
  <c r="BE23" i="47" s="1"/>
  <c r="BE24" i="47" s="1"/>
  <c r="BE25" i="47" s="1"/>
  <c r="BE26" i="47" s="1"/>
  <c r="BE27" i="47" s="1"/>
  <c r="BE28" i="47" s="1"/>
  <c r="BE29" i="47" s="1"/>
  <c r="BE30" i="47" s="1"/>
  <c r="BE31" i="47" s="1"/>
  <c r="BE32" i="47" s="1"/>
  <c r="G11" i="47"/>
  <c r="G12" i="47" s="1"/>
  <c r="G13" i="47" s="1"/>
  <c r="G14" i="47" s="1"/>
  <c r="G15" i="47" s="1"/>
  <c r="G16" i="47" s="1"/>
  <c r="G17" i="47" s="1"/>
  <c r="G18" i="47" s="1"/>
  <c r="G19" i="47" s="1"/>
  <c r="G20" i="47" s="1"/>
  <c r="G21" i="47" s="1"/>
  <c r="G22" i="47" s="1"/>
  <c r="G23" i="47" s="1"/>
  <c r="G24" i="47" s="1"/>
  <c r="G25" i="47" s="1"/>
  <c r="G26" i="47" s="1"/>
  <c r="G27" i="47" s="1"/>
  <c r="G28" i="47" s="1"/>
  <c r="G29" i="47" s="1"/>
  <c r="G30" i="47" s="1"/>
  <c r="G31" i="47" s="1"/>
  <c r="G32" i="47" s="1"/>
  <c r="G9" i="47"/>
  <c r="V9" i="47"/>
  <c r="Q9" i="47"/>
  <c r="B9" i="47"/>
  <c r="C48" i="47" l="1"/>
  <c r="C10" i="47"/>
  <c r="R10" i="47"/>
  <c r="W10" i="47"/>
  <c r="Y10" i="47" s="1"/>
  <c r="AG10" i="47"/>
  <c r="H10" i="47"/>
  <c r="J10" i="47" s="1"/>
  <c r="X39" i="47"/>
  <c r="AH39" i="47"/>
  <c r="AF11" i="47"/>
  <c r="AF12" i="47" s="1"/>
  <c r="AF13" i="47" s="1"/>
  <c r="AF14" i="47" s="1"/>
  <c r="AF15" i="47" s="1"/>
  <c r="AF16" i="47" s="1"/>
  <c r="AF17" i="47" s="1"/>
  <c r="AF18" i="47" s="1"/>
  <c r="AF19" i="47" s="1"/>
  <c r="AF20" i="47" s="1"/>
  <c r="AF21" i="47" s="1"/>
  <c r="AF22" i="47" s="1"/>
  <c r="AF23" i="47" s="1"/>
  <c r="AF24" i="47" s="1"/>
  <c r="AF25" i="47" s="1"/>
  <c r="AF26" i="47" s="1"/>
  <c r="AF27" i="47" s="1"/>
  <c r="AF28" i="47" s="1"/>
  <c r="AF29" i="47" s="1"/>
  <c r="AF30" i="47" s="1"/>
  <c r="AF31" i="47" s="1"/>
  <c r="AF32" i="47" s="1"/>
  <c r="S39" i="47"/>
  <c r="AC39" i="47"/>
  <c r="AB10" i="47" s="1"/>
  <c r="I39" i="47"/>
  <c r="V11" i="47"/>
  <c r="V12" i="47" s="1"/>
  <c r="V13" i="47" s="1"/>
  <c r="V14" i="47" s="1"/>
  <c r="V15" i="47" s="1"/>
  <c r="V16" i="47" s="1"/>
  <c r="V17" i="47" s="1"/>
  <c r="V18" i="47" s="1"/>
  <c r="V19" i="47" s="1"/>
  <c r="V20" i="47" s="1"/>
  <c r="V21" i="47" s="1"/>
  <c r="V22" i="47" s="1"/>
  <c r="V23" i="47" s="1"/>
  <c r="V24" i="47" s="1"/>
  <c r="V25" i="47" s="1"/>
  <c r="V26" i="47" s="1"/>
  <c r="V27" i="47" s="1"/>
  <c r="V28" i="47" s="1"/>
  <c r="V29" i="47" s="1"/>
  <c r="V30" i="47" s="1"/>
  <c r="V31" i="47" s="1"/>
  <c r="V32" i="47" s="1"/>
  <c r="D39" i="47"/>
  <c r="C49" i="47" l="1"/>
  <c r="AI10" i="47"/>
  <c r="C60" i="75"/>
  <c r="F24" i="75" s="1"/>
  <c r="C63" i="70"/>
  <c r="F18" i="70" s="1"/>
  <c r="C60" i="71"/>
  <c r="F18" i="71" s="1"/>
  <c r="C60" i="80"/>
  <c r="F24" i="80" s="1"/>
  <c r="C60" i="78"/>
  <c r="F23" i="78" s="1"/>
  <c r="C60" i="79"/>
  <c r="C60" i="76"/>
  <c r="C60" i="43"/>
  <c r="F18" i="43" s="1"/>
  <c r="C60" i="73"/>
  <c r="F18" i="73" s="1"/>
  <c r="C60" i="67"/>
  <c r="AA11" i="47"/>
  <c r="AA12" i="47" s="1"/>
  <c r="AA13" i="47" s="1"/>
  <c r="AA14" i="47" s="1"/>
  <c r="AA15" i="47" s="1"/>
  <c r="AA16" i="47" s="1"/>
  <c r="AA17" i="47" s="1"/>
  <c r="AA18" i="47" s="1"/>
  <c r="AA19" i="47" s="1"/>
  <c r="AA20" i="47" s="1"/>
  <c r="AA21" i="47" s="1"/>
  <c r="AA22" i="47" s="1"/>
  <c r="AA23" i="47" s="1"/>
  <c r="AA24" i="47" s="1"/>
  <c r="AA25" i="47" s="1"/>
  <c r="AA26" i="47" s="1"/>
  <c r="AA27" i="47" s="1"/>
  <c r="AA28" i="47" s="1"/>
  <c r="AA29" i="47" s="1"/>
  <c r="AA30" i="47" s="1"/>
  <c r="AA31" i="47" s="1"/>
  <c r="AA32" i="47" s="1"/>
  <c r="AD10" i="47"/>
  <c r="T10" i="47"/>
  <c r="C67" i="80"/>
  <c r="B3" i="80"/>
  <c r="C52" i="80" s="1"/>
  <c r="B9" i="80" s="1"/>
  <c r="H12" i="80"/>
  <c r="T57" i="80"/>
  <c r="Q57" i="80"/>
  <c r="T56" i="80"/>
  <c r="E12" i="80"/>
  <c r="K12" i="80" s="1"/>
  <c r="T55" i="80"/>
  <c r="D49" i="80"/>
  <c r="C49" i="80"/>
  <c r="C48" i="80"/>
  <c r="C47" i="80"/>
  <c r="C46" i="80"/>
  <c r="C45" i="80"/>
  <c r="C50" i="47" l="1"/>
  <c r="D47" i="80"/>
  <c r="C68" i="80"/>
  <c r="Q11" i="47"/>
  <c r="Q12" i="47" s="1"/>
  <c r="Q13" i="47" s="1"/>
  <c r="Q14" i="47" s="1"/>
  <c r="Q15" i="47" s="1"/>
  <c r="Q16" i="47" s="1"/>
  <c r="Q17" i="47" s="1"/>
  <c r="Q18" i="47" s="1"/>
  <c r="Q19" i="47" s="1"/>
  <c r="Q20" i="47" s="1"/>
  <c r="Q21" i="47" s="1"/>
  <c r="Q22" i="47" s="1"/>
  <c r="Q23" i="47" s="1"/>
  <c r="Q24" i="47" s="1"/>
  <c r="Q25" i="47" s="1"/>
  <c r="Q26" i="47" s="1"/>
  <c r="Q27" i="47" s="1"/>
  <c r="Q28" i="47" s="1"/>
  <c r="Q29" i="47" s="1"/>
  <c r="Q30" i="47" s="1"/>
  <c r="Q31" i="47" s="1"/>
  <c r="Q32" i="47" s="1"/>
  <c r="B13" i="80"/>
  <c r="C67" i="79"/>
  <c r="T59" i="79"/>
  <c r="Q59" i="79"/>
  <c r="T58" i="79"/>
  <c r="H12" i="79"/>
  <c r="T56" i="79"/>
  <c r="T55" i="79"/>
  <c r="D49" i="79"/>
  <c r="C49" i="79"/>
  <c r="C48" i="79"/>
  <c r="D47" i="79"/>
  <c r="C47" i="79"/>
  <c r="C46" i="79"/>
  <c r="C45" i="79"/>
  <c r="B11" i="79"/>
  <c r="B12" i="79" s="1"/>
  <c r="B13" i="79" s="1"/>
  <c r="B14" i="79" s="1"/>
  <c r="B15" i="79" s="1"/>
  <c r="B16" i="79" s="1"/>
  <c r="B17" i="79" s="1"/>
  <c r="B18" i="79" s="1"/>
  <c r="B3" i="79"/>
  <c r="C52" i="79" s="1"/>
  <c r="B9" i="79" s="1"/>
  <c r="C51" i="47" l="1"/>
  <c r="C69" i="80"/>
  <c r="B14" i="80"/>
  <c r="B15" i="80" s="1"/>
  <c r="B16" i="80" s="1"/>
  <c r="B17" i="80" s="1"/>
  <c r="B18" i="80" s="1"/>
  <c r="B19" i="79"/>
  <c r="C68" i="79"/>
  <c r="C52" i="47" l="1"/>
  <c r="C70" i="80"/>
  <c r="B19" i="80"/>
  <c r="C69" i="79"/>
  <c r="B20" i="79"/>
  <c r="C71" i="80" l="1"/>
  <c r="B20" i="80"/>
  <c r="B21" i="79"/>
  <c r="C70" i="79"/>
  <c r="C72" i="80" l="1"/>
  <c r="B21" i="80"/>
  <c r="C71" i="79"/>
  <c r="B22" i="79"/>
  <c r="C73" i="80" l="1"/>
  <c r="B22" i="80"/>
  <c r="C72" i="79"/>
  <c r="B23" i="79"/>
  <c r="C74" i="80" l="1"/>
  <c r="B23" i="80"/>
  <c r="B24" i="79"/>
  <c r="C73" i="79"/>
  <c r="F66" i="80" l="1"/>
  <c r="B24" i="80"/>
  <c r="C74" i="79"/>
  <c r="B25" i="79"/>
  <c r="F67" i="80" l="1"/>
  <c r="B25" i="80"/>
  <c r="F66" i="79"/>
  <c r="B26" i="79"/>
  <c r="F68" i="80" l="1"/>
  <c r="B26" i="80"/>
  <c r="F67" i="79"/>
  <c r="B27" i="79"/>
  <c r="F69" i="80" l="1"/>
  <c r="B27" i="80"/>
  <c r="B28" i="79"/>
  <c r="F68" i="79"/>
  <c r="F70" i="80" l="1"/>
  <c r="B28" i="80"/>
  <c r="B29" i="79"/>
  <c r="F69" i="79"/>
  <c r="F71" i="80" l="1"/>
  <c r="B29" i="80"/>
  <c r="B30" i="79"/>
  <c r="F70" i="79"/>
  <c r="F72" i="80" l="1"/>
  <c r="B30" i="80"/>
  <c r="F71" i="79"/>
  <c r="B31" i="79"/>
  <c r="F73" i="80" l="1"/>
  <c r="B31" i="80"/>
  <c r="B32" i="79"/>
  <c r="F72" i="79"/>
  <c r="B33" i="79" l="1"/>
  <c r="F74" i="80"/>
  <c r="B32" i="80"/>
  <c r="F73" i="79"/>
  <c r="B34" i="79" l="1"/>
  <c r="B33" i="80"/>
  <c r="B34" i="80" s="1"/>
  <c r="B35" i="80" s="1"/>
  <c r="B36" i="80" s="1"/>
  <c r="B37" i="80" s="1"/>
  <c r="I66" i="80"/>
  <c r="F74" i="79"/>
  <c r="B35" i="79" l="1"/>
  <c r="I67" i="80"/>
  <c r="I66" i="79"/>
  <c r="B36" i="79" l="1"/>
  <c r="I68" i="80"/>
  <c r="I67" i="79"/>
  <c r="B37" i="79" l="1"/>
  <c r="I69" i="80"/>
  <c r="I68" i="79"/>
  <c r="I70" i="80" l="1"/>
  <c r="I69" i="79"/>
  <c r="I71" i="80" l="1"/>
  <c r="I70" i="79"/>
  <c r="I72" i="80" l="1"/>
  <c r="E33" i="79"/>
  <c r="I71" i="79"/>
  <c r="I73" i="80" l="1"/>
  <c r="I72" i="79"/>
  <c r="E34" i="79"/>
  <c r="I74" i="80" l="1"/>
  <c r="E35" i="79"/>
  <c r="I73" i="79"/>
  <c r="F25" i="80" l="1"/>
  <c r="F26" i="80" s="1"/>
  <c r="F27" i="80" s="1"/>
  <c r="F28" i="80" s="1"/>
  <c r="F29" i="80" s="1"/>
  <c r="F30" i="80" s="1"/>
  <c r="F31" i="80" s="1"/>
  <c r="F32" i="80" s="1"/>
  <c r="F33" i="80" s="1"/>
  <c r="F34" i="80" s="1"/>
  <c r="F35" i="80" s="1"/>
  <c r="F36" i="80" s="1"/>
  <c r="F37" i="80" s="1"/>
  <c r="E13" i="80"/>
  <c r="H13" i="80"/>
  <c r="H14" i="80" s="1"/>
  <c r="H15" i="80" s="1"/>
  <c r="H16" i="80" s="1"/>
  <c r="H17" i="80" s="1"/>
  <c r="H18" i="80" s="1"/>
  <c r="H19" i="80" s="1"/>
  <c r="H20" i="80" s="1"/>
  <c r="H21" i="80" s="1"/>
  <c r="H22" i="80" s="1"/>
  <c r="H23" i="80" s="1"/>
  <c r="H24" i="80" s="1"/>
  <c r="H25" i="80" s="1"/>
  <c r="H26" i="80" s="1"/>
  <c r="H27" i="80" s="1"/>
  <c r="H28" i="80" s="1"/>
  <c r="H29" i="80" s="1"/>
  <c r="H30" i="80" s="1"/>
  <c r="H31" i="80" s="1"/>
  <c r="H32" i="80" s="1"/>
  <c r="H33" i="80" s="1"/>
  <c r="H34" i="80" s="1"/>
  <c r="H35" i="80" s="1"/>
  <c r="H36" i="80" s="1"/>
  <c r="I74" i="79"/>
  <c r="E36" i="79"/>
  <c r="H13" i="79" l="1"/>
  <c r="H14" i="79" s="1"/>
  <c r="H15" i="79" s="1"/>
  <c r="H16" i="79" s="1"/>
  <c r="H17" i="79" s="1"/>
  <c r="H18" i="79" s="1"/>
  <c r="H19" i="79" s="1"/>
  <c r="H20" i="79" s="1"/>
  <c r="H21" i="79" s="1"/>
  <c r="H22" i="79" s="1"/>
  <c r="H23" i="79" s="1"/>
  <c r="H24" i="79" s="1"/>
  <c r="H25" i="79" s="1"/>
  <c r="H26" i="79" s="1"/>
  <c r="H27" i="79" s="1"/>
  <c r="H28" i="79" s="1"/>
  <c r="H29" i="79" s="1"/>
  <c r="H30" i="79" s="1"/>
  <c r="H31" i="79" s="1"/>
  <c r="H32" i="79" s="1"/>
  <c r="H33" i="79" s="1"/>
  <c r="H34" i="79" s="1"/>
  <c r="H35" i="79" s="1"/>
  <c r="H36" i="79" s="1"/>
  <c r="H37" i="79" s="1"/>
  <c r="E37" i="79"/>
  <c r="E14" i="80"/>
  <c r="K13" i="80"/>
  <c r="H37" i="80"/>
  <c r="E15" i="80" l="1"/>
  <c r="K14" i="80"/>
  <c r="E16" i="80" l="1"/>
  <c r="K15" i="80"/>
  <c r="D26" i="79"/>
  <c r="D24" i="80"/>
  <c r="E17" i="80" l="1"/>
  <c r="K16" i="80"/>
  <c r="D46" i="80"/>
  <c r="D46" i="79"/>
  <c r="E18" i="80" l="1"/>
  <c r="K17" i="80"/>
  <c r="E19" i="80" l="1"/>
  <c r="K18" i="80"/>
  <c r="E20" i="80" l="1"/>
  <c r="K19" i="80"/>
  <c r="D27" i="79"/>
  <c r="E21" i="80" l="1"/>
  <c r="K20" i="80"/>
  <c r="D28" i="79"/>
  <c r="E22" i="80" l="1"/>
  <c r="K21" i="80"/>
  <c r="D29" i="79"/>
  <c r="E23" i="80" l="1"/>
  <c r="K22" i="80"/>
  <c r="D25" i="80"/>
  <c r="D30" i="79"/>
  <c r="E24" i="80" l="1"/>
  <c r="K23" i="80"/>
  <c r="D26" i="80"/>
  <c r="D31" i="79"/>
  <c r="E25" i="80" l="1"/>
  <c r="K24" i="80"/>
  <c r="G24" i="80"/>
  <c r="I24" i="80" s="1"/>
  <c r="D27" i="80"/>
  <c r="D32" i="79"/>
  <c r="J24" i="80" l="1"/>
  <c r="E26" i="80"/>
  <c r="K25" i="80"/>
  <c r="G25" i="80"/>
  <c r="I25" i="80" s="1"/>
  <c r="D33" i="79"/>
  <c r="D28" i="80"/>
  <c r="E27" i="80" l="1"/>
  <c r="K26" i="80"/>
  <c r="G26" i="80"/>
  <c r="I26" i="80" s="1"/>
  <c r="J25" i="80"/>
  <c r="D34" i="79"/>
  <c r="D29" i="80"/>
  <c r="J26" i="80" l="1"/>
  <c r="E28" i="80"/>
  <c r="K27" i="80"/>
  <c r="G27" i="80"/>
  <c r="I27" i="80" s="1"/>
  <c r="D35" i="79"/>
  <c r="D30" i="80"/>
  <c r="E29" i="80" l="1"/>
  <c r="G28" i="80"/>
  <c r="I28" i="80" s="1"/>
  <c r="K28" i="80"/>
  <c r="J27" i="80"/>
  <c r="D36" i="79"/>
  <c r="D31" i="80"/>
  <c r="J28" i="80" l="1"/>
  <c r="E30" i="80"/>
  <c r="G29" i="80"/>
  <c r="I29" i="80" s="1"/>
  <c r="K29" i="80"/>
  <c r="D37" i="79"/>
  <c r="D32" i="80"/>
  <c r="E31" i="80" l="1"/>
  <c r="G30" i="80"/>
  <c r="I30" i="80" s="1"/>
  <c r="K30" i="80"/>
  <c r="J29" i="80"/>
  <c r="D33" i="80"/>
  <c r="J30" i="80" l="1"/>
  <c r="E32" i="80"/>
  <c r="K31" i="80"/>
  <c r="G31" i="80"/>
  <c r="I31" i="80" s="1"/>
  <c r="D34" i="80"/>
  <c r="J31" i="80" l="1"/>
  <c r="E33" i="80"/>
  <c r="K32" i="80"/>
  <c r="G32" i="80"/>
  <c r="I32" i="80" s="1"/>
  <c r="D35" i="80"/>
  <c r="E34" i="80" l="1"/>
  <c r="G33" i="80"/>
  <c r="I33" i="80" s="1"/>
  <c r="J33" i="80" s="1"/>
  <c r="K33" i="80"/>
  <c r="J32" i="80"/>
  <c r="D36" i="80"/>
  <c r="E35" i="80" l="1"/>
  <c r="K34" i="80"/>
  <c r="G34" i="80"/>
  <c r="I34" i="80" s="1"/>
  <c r="J34" i="80" s="1"/>
  <c r="D37" i="80"/>
  <c r="E36" i="80" l="1"/>
  <c r="K35" i="80"/>
  <c r="G35" i="80"/>
  <c r="I35" i="80" s="1"/>
  <c r="J35" i="80" s="1"/>
  <c r="E37" i="80" l="1"/>
  <c r="G36" i="80"/>
  <c r="I36" i="80" s="1"/>
  <c r="J36" i="80" s="1"/>
  <c r="K36" i="80"/>
  <c r="K37" i="80" l="1"/>
  <c r="G37" i="80"/>
  <c r="I37" i="80" s="1"/>
  <c r="J37" i="80" s="1"/>
  <c r="C67" i="78" l="1"/>
  <c r="D47" i="78"/>
  <c r="T57" i="78"/>
  <c r="Q57" i="78"/>
  <c r="T56" i="78"/>
  <c r="T55" i="78"/>
  <c r="D49" i="78"/>
  <c r="C49" i="78"/>
  <c r="C48" i="78"/>
  <c r="C47" i="78"/>
  <c r="C46" i="78"/>
  <c r="C45" i="78"/>
  <c r="H12" i="78"/>
  <c r="E12" i="78"/>
  <c r="K12" i="78" s="1"/>
  <c r="B11" i="78"/>
  <c r="B12" i="78" s="1"/>
  <c r="B3" i="78" l="1"/>
  <c r="C52" i="78" s="1"/>
  <c r="B9" i="78" s="1"/>
  <c r="D46" i="78"/>
  <c r="C68" i="78"/>
  <c r="B13" i="78"/>
  <c r="C69" i="78" l="1"/>
  <c r="B14" i="78"/>
  <c r="B15" i="78" l="1"/>
  <c r="C70" i="78"/>
  <c r="C71" i="78" l="1"/>
  <c r="B16" i="78"/>
  <c r="B17" i="78" l="1"/>
  <c r="C72" i="78"/>
  <c r="B18" i="78" l="1"/>
  <c r="C73" i="78"/>
  <c r="B19" i="78" l="1"/>
  <c r="C74" i="78"/>
  <c r="F66" i="78" l="1"/>
  <c r="B20" i="78"/>
  <c r="F67" i="78" l="1"/>
  <c r="B21" i="78"/>
  <c r="F68" i="78" l="1"/>
  <c r="B22" i="78"/>
  <c r="F69" i="78" l="1"/>
  <c r="B23" i="78"/>
  <c r="D23" i="78" l="1"/>
  <c r="B24" i="78"/>
  <c r="F70" i="78"/>
  <c r="F71" i="78" l="1"/>
  <c r="B25" i="78"/>
  <c r="B26" i="78" l="1"/>
  <c r="F72" i="78"/>
  <c r="F73" i="78" l="1"/>
  <c r="B27" i="78"/>
  <c r="B28" i="78" l="1"/>
  <c r="F74" i="78"/>
  <c r="B29" i="78" l="1"/>
  <c r="I66" i="78"/>
  <c r="B30" i="78" l="1"/>
  <c r="I67" i="78"/>
  <c r="B31" i="78" l="1"/>
  <c r="I68" i="78"/>
  <c r="I69" i="78" l="1"/>
  <c r="B32" i="78"/>
  <c r="B33" i="78" s="1"/>
  <c r="B34" i="78" l="1"/>
  <c r="I70" i="78"/>
  <c r="B35" i="78" l="1"/>
  <c r="I71" i="78"/>
  <c r="B36" i="78" l="1"/>
  <c r="I72" i="78"/>
  <c r="B37" i="78" l="1"/>
  <c r="I73" i="78"/>
  <c r="I74" i="78" l="1"/>
  <c r="F24" i="78" l="1"/>
  <c r="F25" i="78" s="1"/>
  <c r="F26" i="78" s="1"/>
  <c r="F27" i="78" s="1"/>
  <c r="F28" i="78" s="1"/>
  <c r="F29" i="78" s="1"/>
  <c r="F30" i="78" s="1"/>
  <c r="F31" i="78" s="1"/>
  <c r="F32" i="78" s="1"/>
  <c r="F33" i="78" s="1"/>
  <c r="F34" i="78" s="1"/>
  <c r="F35" i="78" s="1"/>
  <c r="F36" i="78" s="1"/>
  <c r="D24" i="78"/>
  <c r="E13" i="78"/>
  <c r="H13" i="78"/>
  <c r="H14" i="78" s="1"/>
  <c r="H15" i="78" s="1"/>
  <c r="H16" i="78" s="1"/>
  <c r="H17" i="78" s="1"/>
  <c r="H18" i="78" s="1"/>
  <c r="H19" i="78" s="1"/>
  <c r="H20" i="78" s="1"/>
  <c r="H21" i="78" s="1"/>
  <c r="H22" i="78" s="1"/>
  <c r="H23" i="78" s="1"/>
  <c r="H24" i="78" s="1"/>
  <c r="H25" i="78" s="1"/>
  <c r="H26" i="78" s="1"/>
  <c r="H27" i="78" s="1"/>
  <c r="H28" i="78" s="1"/>
  <c r="H29" i="78" s="1"/>
  <c r="H30" i="78" s="1"/>
  <c r="H31" i="78" s="1"/>
  <c r="H32" i="78" s="1"/>
  <c r="H33" i="78" s="1"/>
  <c r="H34" i="78" s="1"/>
  <c r="H35" i="78" s="1"/>
  <c r="H36" i="78" s="1"/>
  <c r="H37" i="78" s="1"/>
  <c r="F37" i="78" l="1"/>
  <c r="E14" i="78"/>
  <c r="K13" i="78"/>
  <c r="E15" i="78" l="1"/>
  <c r="K14" i="78"/>
  <c r="E16" i="78" l="1"/>
  <c r="K15" i="78"/>
  <c r="E17" i="78" l="1"/>
  <c r="K16" i="78"/>
  <c r="E18" i="78" l="1"/>
  <c r="K17" i="78"/>
  <c r="K18" i="78" l="1"/>
  <c r="E19" i="78"/>
  <c r="D25" i="78"/>
  <c r="E20" i="78" l="1"/>
  <c r="K19" i="78"/>
  <c r="D26" i="78"/>
  <c r="E21" i="78" l="1"/>
  <c r="K20" i="78"/>
  <c r="D27" i="78"/>
  <c r="E22" i="78" l="1"/>
  <c r="K21" i="78"/>
  <c r="D28" i="78"/>
  <c r="E23" i="78" l="1"/>
  <c r="K22" i="78"/>
  <c r="D29" i="78"/>
  <c r="G23" i="78" l="1"/>
  <c r="I23" i="78" s="1"/>
  <c r="K23" i="78"/>
  <c r="E24" i="78"/>
  <c r="D30" i="78"/>
  <c r="K24" i="78" l="1"/>
  <c r="G24" i="78"/>
  <c r="I24" i="78" s="1"/>
  <c r="E25" i="78"/>
  <c r="J23" i="78"/>
  <c r="D31" i="78"/>
  <c r="E26" i="78" l="1"/>
  <c r="K25" i="78"/>
  <c r="G25" i="78"/>
  <c r="I25" i="78" s="1"/>
  <c r="J24" i="78"/>
  <c r="D32" i="78"/>
  <c r="J25" i="78" l="1"/>
  <c r="E27" i="78"/>
  <c r="K26" i="78"/>
  <c r="G26" i="78"/>
  <c r="I26" i="78" s="1"/>
  <c r="D33" i="78"/>
  <c r="J26" i="78" l="1"/>
  <c r="E28" i="78"/>
  <c r="K27" i="78"/>
  <c r="G27" i="78"/>
  <c r="I27" i="78" s="1"/>
  <c r="D34" i="78"/>
  <c r="A6" i="77"/>
  <c r="A7" i="77" s="1"/>
  <c r="A8" i="77" s="1"/>
  <c r="A9" i="77" s="1"/>
  <c r="A10" i="77" s="1"/>
  <c r="A11" i="77" s="1"/>
  <c r="A12" i="77" s="1"/>
  <c r="A13" i="77" s="1"/>
  <c r="H12" i="75"/>
  <c r="J27" i="78" l="1"/>
  <c r="E29" i="78"/>
  <c r="G28" i="78"/>
  <c r="I28" i="78" s="1"/>
  <c r="K28" i="78"/>
  <c r="D35" i="78"/>
  <c r="A14" i="77"/>
  <c r="J28" i="78" l="1"/>
  <c r="E30" i="78"/>
  <c r="G29" i="78"/>
  <c r="I29" i="78" s="1"/>
  <c r="K29" i="78"/>
  <c r="D36" i="78"/>
  <c r="A15" i="77"/>
  <c r="J29" i="78" l="1"/>
  <c r="E31" i="78"/>
  <c r="K30" i="78"/>
  <c r="G30" i="78"/>
  <c r="I30" i="78" s="1"/>
  <c r="D37" i="78"/>
  <c r="A16" i="77"/>
  <c r="H16" i="77" s="1"/>
  <c r="J30" i="78" l="1"/>
  <c r="E32" i="78"/>
  <c r="G31" i="78"/>
  <c r="I31" i="78" s="1"/>
  <c r="K31" i="78"/>
  <c r="A17" i="77"/>
  <c r="H17" i="77" l="1"/>
  <c r="J17" i="77"/>
  <c r="J31" i="78"/>
  <c r="E33" i="78"/>
  <c r="G32" i="78"/>
  <c r="I32" i="78" s="1"/>
  <c r="K32" i="78"/>
  <c r="A18" i="77"/>
  <c r="H18" i="77" l="1"/>
  <c r="J18" i="77"/>
  <c r="J32" i="78"/>
  <c r="E34" i="78"/>
  <c r="G33" i="78"/>
  <c r="I33" i="78" s="1"/>
  <c r="K33" i="78"/>
  <c r="A19" i="77"/>
  <c r="J19" i="77" s="1"/>
  <c r="E35" i="78" l="1"/>
  <c r="G34" i="78"/>
  <c r="I34" i="78" s="1"/>
  <c r="K34" i="78"/>
  <c r="J33" i="78"/>
  <c r="H19" i="77"/>
  <c r="A20" i="77"/>
  <c r="J20" i="77" s="1"/>
  <c r="J34" i="78" l="1"/>
  <c r="E36" i="78"/>
  <c r="G35" i="78"/>
  <c r="I35" i="78" s="1"/>
  <c r="K35" i="78"/>
  <c r="H20" i="77"/>
  <c r="A21" i="77"/>
  <c r="J21" i="77" s="1"/>
  <c r="E37" i="78" l="1"/>
  <c r="G36" i="78"/>
  <c r="I36" i="78" s="1"/>
  <c r="K36" i="78"/>
  <c r="J35" i="78"/>
  <c r="H21" i="77"/>
  <c r="A22" i="77"/>
  <c r="J22" i="77" s="1"/>
  <c r="J36" i="78" l="1"/>
  <c r="G37" i="78"/>
  <c r="I37" i="78" s="1"/>
  <c r="K37" i="78"/>
  <c r="H22" i="77"/>
  <c r="A23" i="77"/>
  <c r="J23" i="77" s="1"/>
  <c r="J37" i="78" l="1"/>
  <c r="H23" i="77"/>
  <c r="A24" i="77"/>
  <c r="J24" i="77" s="1"/>
  <c r="H24" i="77" l="1"/>
  <c r="A25" i="77"/>
  <c r="J25" i="77" s="1"/>
  <c r="H25" i="77" l="1"/>
  <c r="A26" i="77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D47" i="76" l="1"/>
  <c r="C67" i="76"/>
  <c r="T59" i="76"/>
  <c r="Q59" i="76"/>
  <c r="T58" i="76"/>
  <c r="T56" i="76"/>
  <c r="T55" i="76"/>
  <c r="D49" i="76"/>
  <c r="C49" i="76"/>
  <c r="C48" i="76"/>
  <c r="C47" i="76"/>
  <c r="C46" i="76"/>
  <c r="C45" i="76"/>
  <c r="B11" i="76"/>
  <c r="B12" i="76" s="1"/>
  <c r="B13" i="76" s="1"/>
  <c r="B14" i="76" s="1"/>
  <c r="T59" i="75"/>
  <c r="T57" i="75"/>
  <c r="T56" i="75"/>
  <c r="T58" i="75"/>
  <c r="B3" i="75"/>
  <c r="C52" i="75" s="1"/>
  <c r="B9" i="75" s="1"/>
  <c r="C67" i="75"/>
  <c r="Q59" i="75"/>
  <c r="T55" i="75"/>
  <c r="D49" i="75"/>
  <c r="C49" i="75"/>
  <c r="C48" i="75"/>
  <c r="C47" i="75"/>
  <c r="C46" i="75"/>
  <c r="C45" i="75"/>
  <c r="B11" i="75"/>
  <c r="B12" i="75" s="1"/>
  <c r="B13" i="75" s="1"/>
  <c r="B14" i="75" s="1"/>
  <c r="B15" i="75" s="1"/>
  <c r="B16" i="75" s="1"/>
  <c r="U59" i="68"/>
  <c r="R59" i="68"/>
  <c r="U58" i="68"/>
  <c r="U57" i="68"/>
  <c r="B3" i="73"/>
  <c r="C52" i="73" s="1"/>
  <c r="B9" i="73" s="1"/>
  <c r="H12" i="73"/>
  <c r="E12" i="73"/>
  <c r="K12" i="73" s="1"/>
  <c r="C67" i="73"/>
  <c r="T57" i="73"/>
  <c r="Q57" i="73"/>
  <c r="T56" i="73"/>
  <c r="T55" i="73"/>
  <c r="D49" i="73"/>
  <c r="C49" i="73"/>
  <c r="C48" i="73"/>
  <c r="C47" i="73"/>
  <c r="C46" i="73"/>
  <c r="C45" i="73"/>
  <c r="B11" i="73"/>
  <c r="B12" i="73" s="1"/>
  <c r="B3" i="72"/>
  <c r="C52" i="72" s="1"/>
  <c r="B9" i="72" s="1"/>
  <c r="H12" i="72"/>
  <c r="E12" i="72"/>
  <c r="K12" i="72" s="1"/>
  <c r="C67" i="72"/>
  <c r="T57" i="72"/>
  <c r="Q57" i="72"/>
  <c r="T56" i="72"/>
  <c r="T55" i="72"/>
  <c r="D49" i="72"/>
  <c r="C49" i="72"/>
  <c r="C48" i="72"/>
  <c r="C47" i="72"/>
  <c r="C46" i="72"/>
  <c r="C45" i="72"/>
  <c r="B11" i="72"/>
  <c r="B12" i="72" s="1"/>
  <c r="C67" i="71"/>
  <c r="D47" i="71"/>
  <c r="H12" i="71"/>
  <c r="T57" i="71"/>
  <c r="Q57" i="71"/>
  <c r="T56" i="71"/>
  <c r="E12" i="71"/>
  <c r="K12" i="71" s="1"/>
  <c r="T55" i="71"/>
  <c r="D49" i="71"/>
  <c r="C49" i="71"/>
  <c r="C48" i="71"/>
  <c r="C47" i="71"/>
  <c r="C46" i="71"/>
  <c r="C45" i="71"/>
  <c r="B11" i="71"/>
  <c r="B12" i="71" s="1"/>
  <c r="C68" i="72" l="1"/>
  <c r="B3" i="71"/>
  <c r="C52" i="71" s="1"/>
  <c r="B9" i="71" s="1"/>
  <c r="D47" i="75"/>
  <c r="D47" i="73"/>
  <c r="D47" i="72"/>
  <c r="H12" i="76"/>
  <c r="B3" i="76"/>
  <c r="C52" i="76" s="1"/>
  <c r="B9" i="76" s="1"/>
  <c r="B15" i="76"/>
  <c r="C68" i="76"/>
  <c r="B17" i="75"/>
  <c r="C68" i="75"/>
  <c r="B13" i="73"/>
  <c r="C68" i="73"/>
  <c r="B13" i="72"/>
  <c r="B13" i="71"/>
  <c r="C68" i="71"/>
  <c r="C69" i="72" l="1"/>
  <c r="C69" i="76"/>
  <c r="B16" i="76"/>
  <c r="C69" i="75"/>
  <c r="B18" i="75"/>
  <c r="C69" i="73"/>
  <c r="B14" i="73"/>
  <c r="B15" i="73" s="1"/>
  <c r="B16" i="73" s="1"/>
  <c r="B17" i="73" s="1"/>
  <c r="B18" i="73" s="1"/>
  <c r="B14" i="72"/>
  <c r="C69" i="71"/>
  <c r="B14" i="71"/>
  <c r="C70" i="72" l="1"/>
  <c r="B15" i="71"/>
  <c r="C70" i="76"/>
  <c r="B17" i="76"/>
  <c r="B19" i="75"/>
  <c r="C70" i="75"/>
  <c r="B19" i="73"/>
  <c r="C70" i="73"/>
  <c r="B15" i="72"/>
  <c r="C70" i="71"/>
  <c r="C71" i="72" l="1"/>
  <c r="B16" i="71"/>
  <c r="B18" i="76"/>
  <c r="C71" i="76"/>
  <c r="C71" i="75"/>
  <c r="B20" i="75"/>
  <c r="C71" i="73"/>
  <c r="B20" i="73"/>
  <c r="B16" i="72"/>
  <c r="C71" i="71"/>
  <c r="C72" i="72" l="1"/>
  <c r="B17" i="71"/>
  <c r="C72" i="76"/>
  <c r="B19" i="76"/>
  <c r="C72" i="75"/>
  <c r="B21" i="75"/>
  <c r="C72" i="73"/>
  <c r="B21" i="73"/>
  <c r="B17" i="72"/>
  <c r="C72" i="71"/>
  <c r="C73" i="72" l="1"/>
  <c r="B18" i="71"/>
  <c r="B20" i="76"/>
  <c r="C73" i="76"/>
  <c r="B22" i="75"/>
  <c r="C73" i="75"/>
  <c r="C73" i="73"/>
  <c r="B22" i="73"/>
  <c r="B18" i="72"/>
  <c r="C73" i="71"/>
  <c r="C74" i="72" l="1"/>
  <c r="B19" i="71"/>
  <c r="C74" i="76"/>
  <c r="B21" i="76"/>
  <c r="B23" i="75"/>
  <c r="C74" i="75"/>
  <c r="C74" i="73"/>
  <c r="B23" i="73"/>
  <c r="B19" i="72"/>
  <c r="C74" i="71"/>
  <c r="F66" i="72" l="1"/>
  <c r="B20" i="71"/>
  <c r="B22" i="76"/>
  <c r="F66" i="76"/>
  <c r="F66" i="75"/>
  <c r="B24" i="75"/>
  <c r="B24" i="73"/>
  <c r="F66" i="73"/>
  <c r="B20" i="72"/>
  <c r="F66" i="71"/>
  <c r="F67" i="72" l="1"/>
  <c r="B21" i="71"/>
  <c r="B23" i="76"/>
  <c r="F67" i="76"/>
  <c r="F67" i="75"/>
  <c r="B25" i="75"/>
  <c r="F67" i="73"/>
  <c r="B25" i="73"/>
  <c r="B21" i="72"/>
  <c r="F67" i="71"/>
  <c r="F68" i="72" l="1"/>
  <c r="B22" i="71"/>
  <c r="B24" i="76"/>
  <c r="F68" i="76"/>
  <c r="F68" i="75"/>
  <c r="B26" i="75"/>
  <c r="F68" i="73"/>
  <c r="B26" i="73"/>
  <c r="B22" i="72"/>
  <c r="F68" i="71"/>
  <c r="F69" i="72" l="1"/>
  <c r="B23" i="71"/>
  <c r="F69" i="76"/>
  <c r="B25" i="76"/>
  <c r="F69" i="75"/>
  <c r="B27" i="75"/>
  <c r="F69" i="73"/>
  <c r="B27" i="73"/>
  <c r="B23" i="72"/>
  <c r="F69" i="71"/>
  <c r="F70" i="72" l="1"/>
  <c r="B24" i="71"/>
  <c r="B26" i="76"/>
  <c r="F70" i="76"/>
  <c r="B28" i="75"/>
  <c r="F70" i="75"/>
  <c r="B28" i="73"/>
  <c r="F70" i="73"/>
  <c r="B24" i="72"/>
  <c r="F70" i="71"/>
  <c r="F71" i="72" l="1"/>
  <c r="B25" i="71"/>
  <c r="F71" i="76"/>
  <c r="B27" i="76"/>
  <c r="F71" i="75"/>
  <c r="B29" i="75"/>
  <c r="F71" i="73"/>
  <c r="B29" i="73"/>
  <c r="B25" i="72"/>
  <c r="F71" i="71"/>
  <c r="F72" i="72" l="1"/>
  <c r="B26" i="71"/>
  <c r="B28" i="76"/>
  <c r="F72" i="76"/>
  <c r="B30" i="75"/>
  <c r="F72" i="75"/>
  <c r="B30" i="73"/>
  <c r="F72" i="73"/>
  <c r="B26" i="72"/>
  <c r="F72" i="71"/>
  <c r="F73" i="72" l="1"/>
  <c r="B27" i="71"/>
  <c r="B29" i="76"/>
  <c r="F73" i="76"/>
  <c r="F73" i="75"/>
  <c r="B31" i="75"/>
  <c r="F73" i="73"/>
  <c r="B31" i="73"/>
  <c r="B27" i="72"/>
  <c r="F73" i="71"/>
  <c r="F74" i="72" l="1"/>
  <c r="B28" i="71"/>
  <c r="F74" i="76"/>
  <c r="B30" i="76"/>
  <c r="B32" i="75"/>
  <c r="B33" i="75" s="1"/>
  <c r="B34" i="75" s="1"/>
  <c r="B35" i="75" s="1"/>
  <c r="B36" i="75" s="1"/>
  <c r="B37" i="75" s="1"/>
  <c r="F74" i="75"/>
  <c r="B32" i="73"/>
  <c r="F74" i="73"/>
  <c r="B28" i="72"/>
  <c r="F74" i="71"/>
  <c r="I66" i="72" l="1"/>
  <c r="B33" i="73"/>
  <c r="B29" i="71"/>
  <c r="B31" i="76"/>
  <c r="I66" i="76"/>
  <c r="I66" i="75"/>
  <c r="I66" i="73"/>
  <c r="B29" i="72"/>
  <c r="I66" i="71"/>
  <c r="I67" i="72" l="1"/>
  <c r="B34" i="73"/>
  <c r="B30" i="71"/>
  <c r="B32" i="76"/>
  <c r="B33" i="76" s="1"/>
  <c r="B34" i="76" s="1"/>
  <c r="B35" i="76" s="1"/>
  <c r="B36" i="76" s="1"/>
  <c r="B37" i="76" s="1"/>
  <c r="I67" i="76"/>
  <c r="I67" i="75"/>
  <c r="I67" i="73"/>
  <c r="B30" i="72"/>
  <c r="I67" i="71"/>
  <c r="I68" i="72" l="1"/>
  <c r="B35" i="73"/>
  <c r="B31" i="71"/>
  <c r="I68" i="76"/>
  <c r="I68" i="75"/>
  <c r="I68" i="73"/>
  <c r="B31" i="72"/>
  <c r="I68" i="71"/>
  <c r="I69" i="72" l="1"/>
  <c r="B36" i="73"/>
  <c r="B32" i="71"/>
  <c r="B33" i="71" s="1"/>
  <c r="I69" i="76"/>
  <c r="I69" i="75"/>
  <c r="I69" i="73"/>
  <c r="B32" i="72"/>
  <c r="B33" i="72" s="1"/>
  <c r="I69" i="71"/>
  <c r="I70" i="72" l="1"/>
  <c r="B37" i="73"/>
  <c r="B34" i="72"/>
  <c r="B34" i="71"/>
  <c r="I70" i="76"/>
  <c r="I70" i="75"/>
  <c r="I70" i="73"/>
  <c r="I70" i="71"/>
  <c r="I71" i="72" l="1"/>
  <c r="B35" i="72"/>
  <c r="B35" i="71"/>
  <c r="I71" i="76"/>
  <c r="I71" i="75"/>
  <c r="I71" i="73"/>
  <c r="I71" i="71"/>
  <c r="I72" i="72" l="1"/>
  <c r="B36" i="72"/>
  <c r="B36" i="71"/>
  <c r="I72" i="76"/>
  <c r="I72" i="75"/>
  <c r="I72" i="73"/>
  <c r="I72" i="71"/>
  <c r="I73" i="72" l="1"/>
  <c r="B37" i="72"/>
  <c r="B37" i="71"/>
  <c r="I73" i="76"/>
  <c r="I73" i="75"/>
  <c r="I73" i="73"/>
  <c r="I73" i="71"/>
  <c r="I74" i="72" l="1"/>
  <c r="E13" i="72"/>
  <c r="I74" i="76"/>
  <c r="I74" i="75"/>
  <c r="I74" i="73"/>
  <c r="I74" i="71"/>
  <c r="E14" i="72" l="1"/>
  <c r="K13" i="72"/>
  <c r="H13" i="72"/>
  <c r="H14" i="72" s="1"/>
  <c r="H15" i="72" s="1"/>
  <c r="H16" i="72" s="1"/>
  <c r="H17" i="72" s="1"/>
  <c r="H18" i="72" s="1"/>
  <c r="H19" i="72" s="1"/>
  <c r="H20" i="72" s="1"/>
  <c r="H21" i="72" s="1"/>
  <c r="H22" i="72" s="1"/>
  <c r="H23" i="72" s="1"/>
  <c r="H24" i="72" s="1"/>
  <c r="H25" i="72" s="1"/>
  <c r="H26" i="72" s="1"/>
  <c r="H27" i="72" s="1"/>
  <c r="H28" i="72" s="1"/>
  <c r="H29" i="72" s="1"/>
  <c r="H30" i="72" s="1"/>
  <c r="H31" i="72" s="1"/>
  <c r="H32" i="72" s="1"/>
  <c r="H33" i="72" s="1"/>
  <c r="H34" i="72" s="1"/>
  <c r="H35" i="72" s="1"/>
  <c r="H36" i="72" s="1"/>
  <c r="H37" i="72" s="1"/>
  <c r="F19" i="72"/>
  <c r="F20" i="72" s="1"/>
  <c r="F21" i="72" s="1"/>
  <c r="F22" i="72" s="1"/>
  <c r="F23" i="72" s="1"/>
  <c r="F24" i="72" s="1"/>
  <c r="F25" i="72" s="1"/>
  <c r="F26" i="72" s="1"/>
  <c r="F27" i="72" s="1"/>
  <c r="F28" i="72" s="1"/>
  <c r="F29" i="72" s="1"/>
  <c r="F30" i="72" s="1"/>
  <c r="F31" i="72" s="1"/>
  <c r="F32" i="72" s="1"/>
  <c r="F33" i="72" s="1"/>
  <c r="F34" i="72" s="1"/>
  <c r="F35" i="72" s="1"/>
  <c r="F36" i="72" s="1"/>
  <c r="E13" i="73"/>
  <c r="E14" i="73" s="1"/>
  <c r="F25" i="75"/>
  <c r="F26" i="75" s="1"/>
  <c r="F27" i="75" s="1"/>
  <c r="F19" i="71"/>
  <c r="F20" i="71" s="1"/>
  <c r="F21" i="71" s="1"/>
  <c r="F22" i="71" s="1"/>
  <c r="F23" i="71" s="1"/>
  <c r="F24" i="71" s="1"/>
  <c r="F25" i="71" s="1"/>
  <c r="F26" i="71" s="1"/>
  <c r="F27" i="71" s="1"/>
  <c r="F28" i="71" s="1"/>
  <c r="F29" i="71" s="1"/>
  <c r="F30" i="71" s="1"/>
  <c r="F31" i="71" s="1"/>
  <c r="F32" i="71" s="1"/>
  <c r="F33" i="71" s="1"/>
  <c r="F34" i="71" s="1"/>
  <c r="F35" i="71" s="1"/>
  <c r="F36" i="71" s="1"/>
  <c r="H13" i="73"/>
  <c r="H14" i="73" s="1"/>
  <c r="H15" i="73" s="1"/>
  <c r="H16" i="73" s="1"/>
  <c r="H17" i="73" s="1"/>
  <c r="H18" i="73" s="1"/>
  <c r="H19" i="73" s="1"/>
  <c r="H20" i="73" s="1"/>
  <c r="H21" i="73" s="1"/>
  <c r="H22" i="73" s="1"/>
  <c r="H23" i="73" s="1"/>
  <c r="H24" i="73" s="1"/>
  <c r="H25" i="73" s="1"/>
  <c r="H26" i="73" s="1"/>
  <c r="H27" i="73" s="1"/>
  <c r="H28" i="73" s="1"/>
  <c r="H29" i="73" s="1"/>
  <c r="H30" i="73" s="1"/>
  <c r="H31" i="73" s="1"/>
  <c r="H32" i="73" s="1"/>
  <c r="H33" i="73" s="1"/>
  <c r="H34" i="73" s="1"/>
  <c r="H35" i="73" s="1"/>
  <c r="H36" i="73" s="1"/>
  <c r="H37" i="73" s="1"/>
  <c r="F19" i="73"/>
  <c r="F20" i="73" s="1"/>
  <c r="F21" i="73" s="1"/>
  <c r="F22" i="73" s="1"/>
  <c r="F23" i="73" s="1"/>
  <c r="H13" i="76"/>
  <c r="H14" i="76" s="1"/>
  <c r="H15" i="76" s="1"/>
  <c r="H16" i="76" s="1"/>
  <c r="H17" i="76" s="1"/>
  <c r="H18" i="76" s="1"/>
  <c r="H19" i="76" s="1"/>
  <c r="H20" i="76" s="1"/>
  <c r="H21" i="76" s="1"/>
  <c r="H22" i="76" s="1"/>
  <c r="H23" i="76" s="1"/>
  <c r="H24" i="76" s="1"/>
  <c r="H25" i="76" s="1"/>
  <c r="H26" i="76" s="1"/>
  <c r="H27" i="76" s="1"/>
  <c r="H28" i="76" s="1"/>
  <c r="H29" i="76" s="1"/>
  <c r="H30" i="76" s="1"/>
  <c r="H31" i="76" s="1"/>
  <c r="H32" i="76" s="1"/>
  <c r="H33" i="76" s="1"/>
  <c r="H34" i="76" s="1"/>
  <c r="H35" i="76" s="1"/>
  <c r="H36" i="76" s="1"/>
  <c r="H37" i="76" s="1"/>
  <c r="H13" i="75"/>
  <c r="H14" i="75" s="1"/>
  <c r="H15" i="75" s="1"/>
  <c r="H16" i="75" s="1"/>
  <c r="H17" i="75" s="1"/>
  <c r="H18" i="75" s="1"/>
  <c r="H19" i="75" s="1"/>
  <c r="H20" i="75" s="1"/>
  <c r="H21" i="75" s="1"/>
  <c r="H22" i="75" s="1"/>
  <c r="H23" i="75" s="1"/>
  <c r="H24" i="75" s="1"/>
  <c r="H25" i="75" s="1"/>
  <c r="H26" i="75" s="1"/>
  <c r="H27" i="75" s="1"/>
  <c r="H28" i="75" s="1"/>
  <c r="H29" i="75" s="1"/>
  <c r="H30" i="75" s="1"/>
  <c r="H31" i="75" s="1"/>
  <c r="H32" i="75" s="1"/>
  <c r="H33" i="75" s="1"/>
  <c r="H34" i="75" s="1"/>
  <c r="H35" i="75" s="1"/>
  <c r="H36" i="75" s="1"/>
  <c r="E13" i="71"/>
  <c r="H13" i="71"/>
  <c r="H14" i="71" s="1"/>
  <c r="H15" i="71" s="1"/>
  <c r="H16" i="71" s="1"/>
  <c r="H17" i="71" s="1"/>
  <c r="H18" i="71" s="1"/>
  <c r="H19" i="71" s="1"/>
  <c r="H20" i="71" s="1"/>
  <c r="H21" i="71" s="1"/>
  <c r="H22" i="71" s="1"/>
  <c r="H23" i="71" s="1"/>
  <c r="H24" i="71" s="1"/>
  <c r="H25" i="71" s="1"/>
  <c r="H26" i="71" s="1"/>
  <c r="H27" i="71" s="1"/>
  <c r="H28" i="71" s="1"/>
  <c r="H29" i="71" s="1"/>
  <c r="H30" i="71" s="1"/>
  <c r="H31" i="71" s="1"/>
  <c r="H32" i="71" s="1"/>
  <c r="H33" i="71" s="1"/>
  <c r="H34" i="71" s="1"/>
  <c r="H35" i="71" s="1"/>
  <c r="H36" i="71" s="1"/>
  <c r="H37" i="71" s="1"/>
  <c r="F37" i="72" l="1"/>
  <c r="E15" i="72"/>
  <c r="K14" i="72"/>
  <c r="K13" i="73"/>
  <c r="F26" i="79"/>
  <c r="G26" i="79" s="1"/>
  <c r="I26" i="79" s="1"/>
  <c r="E15" i="73"/>
  <c r="K14" i="73"/>
  <c r="E14" i="71"/>
  <c r="K13" i="71"/>
  <c r="F24" i="73"/>
  <c r="F23" i="76"/>
  <c r="F28" i="75"/>
  <c r="F27" i="79"/>
  <c r="F37" i="71"/>
  <c r="H37" i="75"/>
  <c r="K15" i="72" l="1"/>
  <c r="E16" i="72"/>
  <c r="K26" i="79"/>
  <c r="F29" i="75"/>
  <c r="F28" i="79"/>
  <c r="E15" i="71"/>
  <c r="K14" i="71"/>
  <c r="F25" i="73"/>
  <c r="F24" i="76"/>
  <c r="G27" i="79"/>
  <c r="I27" i="79" s="1"/>
  <c r="K27" i="79"/>
  <c r="J26" i="79"/>
  <c r="M19" i="77"/>
  <c r="E16" i="73"/>
  <c r="K15" i="73"/>
  <c r="E17" i="72" l="1"/>
  <c r="K16" i="72"/>
  <c r="J27" i="79"/>
  <c r="M20" i="77"/>
  <c r="G28" i="79"/>
  <c r="I28" i="79" s="1"/>
  <c r="K28" i="79"/>
  <c r="E17" i="73"/>
  <c r="K16" i="73"/>
  <c r="E16" i="71"/>
  <c r="K15" i="71"/>
  <c r="F26" i="73"/>
  <c r="F25" i="76"/>
  <c r="F30" i="75"/>
  <c r="F29" i="79"/>
  <c r="K17" i="72" l="1"/>
  <c r="E18" i="72"/>
  <c r="E19" i="72" s="1"/>
  <c r="E20" i="72" s="1"/>
  <c r="E21" i="72" s="1"/>
  <c r="E22" i="72" s="1"/>
  <c r="E23" i="72" s="1"/>
  <c r="E24" i="72" s="1"/>
  <c r="E25" i="72" s="1"/>
  <c r="E26" i="72" s="1"/>
  <c r="E27" i="72" s="1"/>
  <c r="E28" i="72" s="1"/>
  <c r="E29" i="72" s="1"/>
  <c r="E30" i="72" s="1"/>
  <c r="E31" i="72" s="1"/>
  <c r="E32" i="72" s="1"/>
  <c r="E33" i="72" s="1"/>
  <c r="E34" i="72" s="1"/>
  <c r="E35" i="72" s="1"/>
  <c r="E36" i="72" s="1"/>
  <c r="E37" i="72" s="1"/>
  <c r="K17" i="73"/>
  <c r="E18" i="73"/>
  <c r="E19" i="73" s="1"/>
  <c r="E20" i="73" s="1"/>
  <c r="E21" i="73" s="1"/>
  <c r="E22" i="73" s="1"/>
  <c r="E23" i="73" s="1"/>
  <c r="E24" i="73" s="1"/>
  <c r="E25" i="73" s="1"/>
  <c r="E26" i="73" s="1"/>
  <c r="E27" i="73" s="1"/>
  <c r="E28" i="73" s="1"/>
  <c r="E29" i="73" s="1"/>
  <c r="E30" i="73" s="1"/>
  <c r="E31" i="73" s="1"/>
  <c r="E32" i="73" s="1"/>
  <c r="E33" i="73" s="1"/>
  <c r="E34" i="73" s="1"/>
  <c r="E35" i="73" s="1"/>
  <c r="E36" i="73" s="1"/>
  <c r="E37" i="73" s="1"/>
  <c r="E17" i="71"/>
  <c r="K16" i="71"/>
  <c r="J28" i="79"/>
  <c r="M21" i="77"/>
  <c r="F27" i="73"/>
  <c r="F26" i="76"/>
  <c r="G29" i="79"/>
  <c r="I29" i="79" s="1"/>
  <c r="K29" i="79"/>
  <c r="F31" i="75"/>
  <c r="F30" i="79"/>
  <c r="F32" i="75" l="1"/>
  <c r="F31" i="79"/>
  <c r="F28" i="73"/>
  <c r="F27" i="76"/>
  <c r="E18" i="71"/>
  <c r="E19" i="71" s="1"/>
  <c r="E20" i="71" s="1"/>
  <c r="E21" i="71" s="1"/>
  <c r="E22" i="71" s="1"/>
  <c r="E23" i="71" s="1"/>
  <c r="E24" i="71" s="1"/>
  <c r="E25" i="71" s="1"/>
  <c r="E26" i="71" s="1"/>
  <c r="E27" i="71" s="1"/>
  <c r="E28" i="71" s="1"/>
  <c r="E29" i="71" s="1"/>
  <c r="E30" i="71" s="1"/>
  <c r="E31" i="71" s="1"/>
  <c r="E32" i="71" s="1"/>
  <c r="E33" i="71" s="1"/>
  <c r="E34" i="71" s="1"/>
  <c r="E35" i="71" s="1"/>
  <c r="E36" i="71" s="1"/>
  <c r="E37" i="71" s="1"/>
  <c r="K17" i="71"/>
  <c r="J29" i="79"/>
  <c r="M22" i="77"/>
  <c r="G30" i="79"/>
  <c r="I30" i="79" s="1"/>
  <c r="K30" i="79"/>
  <c r="J30" i="79" l="1"/>
  <c r="M23" i="77"/>
  <c r="F29" i="73"/>
  <c r="F28" i="76"/>
  <c r="G31" i="79"/>
  <c r="I31" i="79" s="1"/>
  <c r="K31" i="79"/>
  <c r="F33" i="75"/>
  <c r="F32" i="79"/>
  <c r="K32" i="79" l="1"/>
  <c r="G32" i="79"/>
  <c r="I32" i="79" s="1"/>
  <c r="F34" i="75"/>
  <c r="F33" i="79"/>
  <c r="F30" i="73"/>
  <c r="F29" i="76"/>
  <c r="J31" i="79"/>
  <c r="M24" i="77"/>
  <c r="G33" i="79" l="1"/>
  <c r="I33" i="79" s="1"/>
  <c r="J33" i="79" s="1"/>
  <c r="K33" i="79"/>
  <c r="F35" i="75"/>
  <c r="F34" i="79"/>
  <c r="AA56" i="79"/>
  <c r="J32" i="79"/>
  <c r="M25" i="77"/>
  <c r="F31" i="73"/>
  <c r="F30" i="76"/>
  <c r="F32" i="73" l="1"/>
  <c r="F31" i="76"/>
  <c r="G34" i="79"/>
  <c r="I34" i="79" s="1"/>
  <c r="J34" i="79" s="1"/>
  <c r="K34" i="79"/>
  <c r="F36" i="75"/>
  <c r="F35" i="79"/>
  <c r="G35" i="79" l="1"/>
  <c r="I35" i="79" s="1"/>
  <c r="J35" i="79" s="1"/>
  <c r="K35" i="79"/>
  <c r="F36" i="79"/>
  <c r="F37" i="75"/>
  <c r="F37" i="79" s="1"/>
  <c r="F33" i="73"/>
  <c r="F32" i="76"/>
  <c r="K37" i="79" l="1"/>
  <c r="G37" i="79"/>
  <c r="I37" i="79" s="1"/>
  <c r="J37" i="79" s="1"/>
  <c r="G36" i="79"/>
  <c r="I36" i="79" s="1"/>
  <c r="J36" i="79" s="1"/>
  <c r="K36" i="79"/>
  <c r="F34" i="73"/>
  <c r="F33" i="76"/>
  <c r="D24" i="75"/>
  <c r="D23" i="76"/>
  <c r="F35" i="73" l="1"/>
  <c r="F34" i="76"/>
  <c r="D24" i="76"/>
  <c r="D25" i="76" s="1"/>
  <c r="D46" i="76"/>
  <c r="D46" i="75"/>
  <c r="D46" i="73"/>
  <c r="D18" i="73"/>
  <c r="D46" i="71"/>
  <c r="F36" i="73" l="1"/>
  <c r="F35" i="76"/>
  <c r="K18" i="73"/>
  <c r="G18" i="73"/>
  <c r="I18" i="73" s="1"/>
  <c r="D11" i="77" s="1"/>
  <c r="D19" i="73"/>
  <c r="D18" i="71"/>
  <c r="K18" i="71" s="1"/>
  <c r="D46" i="72"/>
  <c r="D18" i="72"/>
  <c r="K19" i="73" l="1"/>
  <c r="G19" i="73"/>
  <c r="I19" i="73" s="1"/>
  <c r="K18" i="72"/>
  <c r="G18" i="72"/>
  <c r="I18" i="72" s="1"/>
  <c r="E11" i="77" s="1"/>
  <c r="F37" i="73"/>
  <c r="F37" i="76" s="1"/>
  <c r="F36" i="76"/>
  <c r="G18" i="71"/>
  <c r="I18" i="71" s="1"/>
  <c r="D26" i="76"/>
  <c r="D19" i="71"/>
  <c r="K19" i="71" s="1"/>
  <c r="D12" i="77"/>
  <c r="D20" i="73"/>
  <c r="J18" i="73"/>
  <c r="D19" i="72"/>
  <c r="K20" i="73" l="1"/>
  <c r="G20" i="73"/>
  <c r="I20" i="73" s="1"/>
  <c r="D13" i="77" s="1"/>
  <c r="K19" i="72"/>
  <c r="G19" i="72"/>
  <c r="I19" i="72" s="1"/>
  <c r="E12" i="77" s="1"/>
  <c r="J18" i="71"/>
  <c r="G11" i="77"/>
  <c r="D20" i="71"/>
  <c r="G19" i="71"/>
  <c r="I19" i="71" s="1"/>
  <c r="D27" i="76"/>
  <c r="D21" i="73"/>
  <c r="J19" i="73"/>
  <c r="J18" i="72"/>
  <c r="D20" i="72"/>
  <c r="K21" i="73" l="1"/>
  <c r="G21" i="73"/>
  <c r="I21" i="73" s="1"/>
  <c r="D14" i="77" s="1"/>
  <c r="K20" i="72"/>
  <c r="G20" i="72"/>
  <c r="I20" i="72" s="1"/>
  <c r="E13" i="77" s="1"/>
  <c r="G20" i="71"/>
  <c r="I20" i="71" s="1"/>
  <c r="G13" i="77" s="1"/>
  <c r="K20" i="71"/>
  <c r="D21" i="71"/>
  <c r="D28" i="76"/>
  <c r="J20" i="73"/>
  <c r="D22" i="73"/>
  <c r="J19" i="72"/>
  <c r="D21" i="72"/>
  <c r="J20" i="71" l="1"/>
  <c r="G21" i="71"/>
  <c r="I21" i="71" s="1"/>
  <c r="K21" i="71"/>
  <c r="D22" i="71"/>
  <c r="D23" i="71" s="1"/>
  <c r="K21" i="72"/>
  <c r="G21" i="72"/>
  <c r="I21" i="72" s="1"/>
  <c r="E14" i="77" s="1"/>
  <c r="K22" i="73"/>
  <c r="G22" i="73"/>
  <c r="I22" i="73" s="1"/>
  <c r="D15" i="77" s="1"/>
  <c r="J19" i="71"/>
  <c r="G12" i="77"/>
  <c r="D29" i="76"/>
  <c r="J21" i="73"/>
  <c r="D23" i="73"/>
  <c r="J20" i="72"/>
  <c r="D22" i="72"/>
  <c r="G14" i="77" l="1"/>
  <c r="J21" i="71"/>
  <c r="G23" i="71"/>
  <c r="I23" i="71" s="1"/>
  <c r="K23" i="71"/>
  <c r="G22" i="71"/>
  <c r="I22" i="71" s="1"/>
  <c r="G15" i="77" s="1"/>
  <c r="K22" i="71"/>
  <c r="K22" i="72"/>
  <c r="G22" i="72"/>
  <c r="I22" i="72" s="1"/>
  <c r="E15" i="77" s="1"/>
  <c r="K23" i="73"/>
  <c r="G23" i="73"/>
  <c r="I23" i="73" s="1"/>
  <c r="D16" i="77" s="1"/>
  <c r="D30" i="76"/>
  <c r="D24" i="73"/>
  <c r="J22" i="73"/>
  <c r="J21" i="72"/>
  <c r="D23" i="72"/>
  <c r="D24" i="71"/>
  <c r="J22" i="71" l="1"/>
  <c r="K23" i="72"/>
  <c r="G23" i="72"/>
  <c r="I23" i="72" s="1"/>
  <c r="E16" i="77" s="1"/>
  <c r="K24" i="73"/>
  <c r="G24" i="73"/>
  <c r="I24" i="73" s="1"/>
  <c r="G24" i="71"/>
  <c r="I24" i="71" s="1"/>
  <c r="K24" i="71"/>
  <c r="G16" i="77"/>
  <c r="D31" i="76"/>
  <c r="D25" i="75"/>
  <c r="J23" i="73"/>
  <c r="D25" i="73"/>
  <c r="D17" i="77"/>
  <c r="D24" i="72"/>
  <c r="J22" i="72"/>
  <c r="J23" i="71"/>
  <c r="D25" i="71"/>
  <c r="G25" i="71" l="1"/>
  <c r="I25" i="71" s="1"/>
  <c r="K25" i="71"/>
  <c r="K25" i="73"/>
  <c r="G25" i="73"/>
  <c r="I25" i="73" s="1"/>
  <c r="D18" i="77" s="1"/>
  <c r="K24" i="72"/>
  <c r="G24" i="72"/>
  <c r="I24" i="72" s="1"/>
  <c r="E17" i="77" s="1"/>
  <c r="G17" i="77"/>
  <c r="D32" i="76"/>
  <c r="D26" i="75"/>
  <c r="J24" i="73"/>
  <c r="D26" i="73"/>
  <c r="J23" i="72"/>
  <c r="D25" i="72"/>
  <c r="D26" i="71"/>
  <c r="J24" i="71"/>
  <c r="G26" i="71" l="1"/>
  <c r="I26" i="71" s="1"/>
  <c r="K26" i="71"/>
  <c r="K26" i="73"/>
  <c r="G26" i="73"/>
  <c r="I26" i="73" s="1"/>
  <c r="D19" i="77" s="1"/>
  <c r="K25" i="72"/>
  <c r="G25" i="72"/>
  <c r="I25" i="72" s="1"/>
  <c r="E18" i="77" s="1"/>
  <c r="D33" i="76"/>
  <c r="G18" i="77"/>
  <c r="D27" i="75"/>
  <c r="J25" i="73"/>
  <c r="D27" i="73"/>
  <c r="D26" i="72"/>
  <c r="J24" i="72"/>
  <c r="J25" i="71"/>
  <c r="D27" i="71"/>
  <c r="K26" i="72" l="1"/>
  <c r="G26" i="72"/>
  <c r="I26" i="72" s="1"/>
  <c r="E19" i="77" s="1"/>
  <c r="G27" i="71"/>
  <c r="I27" i="71" s="1"/>
  <c r="K27" i="71"/>
  <c r="K27" i="73"/>
  <c r="G27" i="73"/>
  <c r="I27" i="73" s="1"/>
  <c r="D20" i="77" s="1"/>
  <c r="D34" i="76"/>
  <c r="G19" i="77"/>
  <c r="D28" i="75"/>
  <c r="D28" i="73"/>
  <c r="J26" i="73"/>
  <c r="J25" i="72"/>
  <c r="D27" i="72"/>
  <c r="D28" i="71"/>
  <c r="J26" i="71"/>
  <c r="K28" i="73" l="1"/>
  <c r="G28" i="73"/>
  <c r="I28" i="73" s="1"/>
  <c r="D21" i="77" s="1"/>
  <c r="D35" i="76"/>
  <c r="G28" i="71"/>
  <c r="I28" i="71" s="1"/>
  <c r="K28" i="71"/>
  <c r="K27" i="72"/>
  <c r="G27" i="72"/>
  <c r="I27" i="72" s="1"/>
  <c r="E20" i="77" s="1"/>
  <c r="G20" i="77"/>
  <c r="D29" i="75"/>
  <c r="J27" i="73"/>
  <c r="D29" i="73"/>
  <c r="D28" i="72"/>
  <c r="J26" i="72"/>
  <c r="D29" i="71"/>
  <c r="J27" i="71"/>
  <c r="G29" i="71" l="1"/>
  <c r="I29" i="71" s="1"/>
  <c r="K29" i="71"/>
  <c r="K28" i="72"/>
  <c r="G28" i="72"/>
  <c r="I28" i="72" s="1"/>
  <c r="E21" i="77" s="1"/>
  <c r="K29" i="73"/>
  <c r="G29" i="73"/>
  <c r="I29" i="73" s="1"/>
  <c r="D36" i="76"/>
  <c r="D37" i="76" s="1"/>
  <c r="G21" i="77"/>
  <c r="D30" i="75"/>
  <c r="J28" i="73"/>
  <c r="D30" i="73"/>
  <c r="D22" i="77"/>
  <c r="J27" i="72"/>
  <c r="D29" i="72"/>
  <c r="D30" i="71"/>
  <c r="J28" i="71"/>
  <c r="G30" i="71" l="1"/>
  <c r="I30" i="71" s="1"/>
  <c r="K30" i="71"/>
  <c r="K30" i="73"/>
  <c r="G30" i="73"/>
  <c r="I30" i="73" s="1"/>
  <c r="D23" i="77" s="1"/>
  <c r="K29" i="72"/>
  <c r="G29" i="72"/>
  <c r="I29" i="72" s="1"/>
  <c r="E22" i="77" s="1"/>
  <c r="G22" i="77"/>
  <c r="D31" i="75"/>
  <c r="J29" i="73"/>
  <c r="D31" i="73"/>
  <c r="D30" i="72"/>
  <c r="J28" i="72"/>
  <c r="J29" i="71"/>
  <c r="D31" i="71"/>
  <c r="K30" i="72" l="1"/>
  <c r="G30" i="72"/>
  <c r="I30" i="72" s="1"/>
  <c r="E23" i="77" s="1"/>
  <c r="G31" i="71"/>
  <c r="I31" i="71" s="1"/>
  <c r="K31" i="71"/>
  <c r="K31" i="73"/>
  <c r="G31" i="73"/>
  <c r="I31" i="73" s="1"/>
  <c r="D24" i="77" s="1"/>
  <c r="G23" i="77"/>
  <c r="D32" i="75"/>
  <c r="D32" i="73"/>
  <c r="J30" i="73"/>
  <c r="D31" i="72"/>
  <c r="J29" i="72"/>
  <c r="J30" i="71"/>
  <c r="D32" i="71"/>
  <c r="G32" i="71" l="1"/>
  <c r="I32" i="71" s="1"/>
  <c r="K32" i="71"/>
  <c r="K32" i="73"/>
  <c r="G32" i="73"/>
  <c r="I32" i="73" s="1"/>
  <c r="D25" i="77" s="1"/>
  <c r="D26" i="77" s="1"/>
  <c r="D27" i="77" s="1"/>
  <c r="D28" i="77" s="1"/>
  <c r="D29" i="77" s="1"/>
  <c r="D30" i="77" s="1"/>
  <c r="D31" i="77" s="1"/>
  <c r="D32" i="77" s="1"/>
  <c r="D33" i="77" s="1"/>
  <c r="D34" i="77" s="1"/>
  <c r="D35" i="77" s="1"/>
  <c r="D36" i="77" s="1"/>
  <c r="D37" i="77" s="1"/>
  <c r="D38" i="77" s="1"/>
  <c r="D39" i="77" s="1"/>
  <c r="D40" i="77" s="1"/>
  <c r="K31" i="72"/>
  <c r="G31" i="72"/>
  <c r="I31" i="72" s="1"/>
  <c r="D33" i="75"/>
  <c r="D33" i="73"/>
  <c r="G25" i="77"/>
  <c r="G26" i="77" s="1"/>
  <c r="G27" i="77" s="1"/>
  <c r="G28" i="77" s="1"/>
  <c r="G29" i="77" s="1"/>
  <c r="G30" i="77" s="1"/>
  <c r="G31" i="77" s="1"/>
  <c r="G32" i="77" s="1"/>
  <c r="G33" i="77" s="1"/>
  <c r="G34" i="77" s="1"/>
  <c r="G35" i="77" s="1"/>
  <c r="G36" i="77" s="1"/>
  <c r="G37" i="77" s="1"/>
  <c r="G38" i="77" s="1"/>
  <c r="G39" i="77" s="1"/>
  <c r="G40" i="77" s="1"/>
  <c r="D33" i="71"/>
  <c r="H26" i="77"/>
  <c r="G24" i="77"/>
  <c r="J31" i="73"/>
  <c r="D32" i="72"/>
  <c r="E24" i="77"/>
  <c r="J30" i="72"/>
  <c r="J31" i="71"/>
  <c r="K32" i="72" l="1"/>
  <c r="G32" i="72"/>
  <c r="I32" i="72" s="1"/>
  <c r="E25" i="77" s="1"/>
  <c r="E26" i="77" s="1"/>
  <c r="E27" i="77" s="1"/>
  <c r="E28" i="77" s="1"/>
  <c r="E29" i="77" s="1"/>
  <c r="E30" i="77" s="1"/>
  <c r="E31" i="77" s="1"/>
  <c r="E32" i="77" s="1"/>
  <c r="E33" i="77" s="1"/>
  <c r="E34" i="77" s="1"/>
  <c r="E35" i="77" s="1"/>
  <c r="E36" i="77" s="1"/>
  <c r="E37" i="77" s="1"/>
  <c r="E38" i="77" s="1"/>
  <c r="E39" i="77" s="1"/>
  <c r="E40" i="77" s="1"/>
  <c r="K33" i="73"/>
  <c r="G33" i="73"/>
  <c r="I33" i="73" s="1"/>
  <c r="G33" i="71"/>
  <c r="I33" i="71" s="1"/>
  <c r="K33" i="71"/>
  <c r="D34" i="75"/>
  <c r="D35" i="75" s="1"/>
  <c r="J32" i="73"/>
  <c r="J32" i="71"/>
  <c r="D50" i="77"/>
  <c r="D34" i="73"/>
  <c r="D33" i="72"/>
  <c r="D34" i="71"/>
  <c r="G50" i="77"/>
  <c r="H27" i="77"/>
  <c r="H28" i="77" s="1"/>
  <c r="H29" i="77" s="1"/>
  <c r="H30" i="77" s="1"/>
  <c r="H31" i="77" s="1"/>
  <c r="H32" i="77" s="1"/>
  <c r="H33" i="77" s="1"/>
  <c r="H34" i="77" s="1"/>
  <c r="H35" i="77" s="1"/>
  <c r="H36" i="77" s="1"/>
  <c r="H37" i="77" s="1"/>
  <c r="H38" i="77" s="1"/>
  <c r="H39" i="77" s="1"/>
  <c r="H40" i="77" s="1"/>
  <c r="H41" i="77" s="1"/>
  <c r="H42" i="77" s="1"/>
  <c r="H43" i="77" s="1"/>
  <c r="H44" i="77" s="1"/>
  <c r="H45" i="77" s="1"/>
  <c r="H50" i="77" s="1"/>
  <c r="J31" i="72"/>
  <c r="K34" i="73" l="1"/>
  <c r="G34" i="73"/>
  <c r="I34" i="73" s="1"/>
  <c r="G34" i="71"/>
  <c r="I34" i="71" s="1"/>
  <c r="K34" i="71"/>
  <c r="K33" i="72"/>
  <c r="G33" i="72"/>
  <c r="I33" i="72" s="1"/>
  <c r="D36" i="75"/>
  <c r="J33" i="73"/>
  <c r="D35" i="73"/>
  <c r="E50" i="77"/>
  <c r="J32" i="72"/>
  <c r="D34" i="72"/>
  <c r="D35" i="71"/>
  <c r="J33" i="71"/>
  <c r="K34" i="72" l="1"/>
  <c r="G34" i="72"/>
  <c r="I34" i="72" s="1"/>
  <c r="G35" i="71"/>
  <c r="I35" i="71" s="1"/>
  <c r="K35" i="71"/>
  <c r="K35" i="73"/>
  <c r="G35" i="73"/>
  <c r="I35" i="73" s="1"/>
  <c r="D37" i="75"/>
  <c r="D36" i="73"/>
  <c r="J34" i="73"/>
  <c r="J33" i="72"/>
  <c r="D35" i="72"/>
  <c r="J34" i="71"/>
  <c r="D36" i="71"/>
  <c r="K35" i="72" l="1"/>
  <c r="G35" i="72"/>
  <c r="I35" i="72" s="1"/>
  <c r="G36" i="71"/>
  <c r="I36" i="71" s="1"/>
  <c r="K36" i="71"/>
  <c r="K36" i="73"/>
  <c r="G36" i="73"/>
  <c r="I36" i="73" s="1"/>
  <c r="D37" i="71"/>
  <c r="K37" i="71" s="1"/>
  <c r="D37" i="73"/>
  <c r="J35" i="73"/>
  <c r="J34" i="72"/>
  <c r="D36" i="72"/>
  <c r="J35" i="71"/>
  <c r="K36" i="72" l="1"/>
  <c r="G36" i="72"/>
  <c r="I36" i="72" s="1"/>
  <c r="K37" i="73"/>
  <c r="G37" i="73"/>
  <c r="I37" i="73" s="1"/>
  <c r="G37" i="71"/>
  <c r="I37" i="71" s="1"/>
  <c r="J36" i="71"/>
  <c r="J36" i="73"/>
  <c r="D37" i="72"/>
  <c r="J35" i="72"/>
  <c r="K37" i="72" l="1"/>
  <c r="G37" i="72"/>
  <c r="I37" i="72" s="1"/>
  <c r="J37" i="71"/>
  <c r="J37" i="73"/>
  <c r="J36" i="72"/>
  <c r="J37" i="72" l="1"/>
  <c r="K32" i="75" l="1"/>
  <c r="K32" i="76"/>
  <c r="G31" i="75" l="1"/>
  <c r="I31" i="75" s="1"/>
  <c r="C24" i="77" s="1"/>
  <c r="K31" i="75"/>
  <c r="G26" i="75"/>
  <c r="I26" i="75" s="1"/>
  <c r="C19" i="77" s="1"/>
  <c r="K26" i="75"/>
  <c r="G31" i="76"/>
  <c r="I31" i="76" s="1"/>
  <c r="K31" i="76"/>
  <c r="G29" i="76"/>
  <c r="I29" i="76" s="1"/>
  <c r="K29" i="76"/>
  <c r="G30" i="76"/>
  <c r="I30" i="76" s="1"/>
  <c r="K30" i="76"/>
  <c r="G30" i="75"/>
  <c r="I30" i="75" s="1"/>
  <c r="C23" i="77" s="1"/>
  <c r="K30" i="75"/>
  <c r="G28" i="75"/>
  <c r="I28" i="75" s="1"/>
  <c r="C21" i="77" s="1"/>
  <c r="K28" i="75"/>
  <c r="G25" i="75"/>
  <c r="I25" i="75" s="1"/>
  <c r="C18" i="77" s="1"/>
  <c r="K25" i="75"/>
  <c r="G24" i="76"/>
  <c r="I24" i="76" s="1"/>
  <c r="K24" i="76"/>
  <c r="G23" i="76"/>
  <c r="I23" i="76" s="1"/>
  <c r="K23" i="76"/>
  <c r="G29" i="75"/>
  <c r="I29" i="75" s="1"/>
  <c r="C22" i="77" s="1"/>
  <c r="K29" i="75"/>
  <c r="G24" i="75"/>
  <c r="I24" i="75" s="1"/>
  <c r="C17" i="77" s="1"/>
  <c r="K24" i="75"/>
  <c r="G28" i="76"/>
  <c r="I28" i="76" s="1"/>
  <c r="K28" i="76"/>
  <c r="G27" i="75"/>
  <c r="I27" i="75" s="1"/>
  <c r="C20" i="77" s="1"/>
  <c r="K27" i="75"/>
  <c r="G27" i="76"/>
  <c r="I27" i="76" s="1"/>
  <c r="K27" i="76"/>
  <c r="G25" i="76"/>
  <c r="I25" i="76" s="1"/>
  <c r="K25" i="76"/>
  <c r="G26" i="76"/>
  <c r="I26" i="76" s="1"/>
  <c r="K26" i="76"/>
  <c r="E33" i="75"/>
  <c r="G32" i="75"/>
  <c r="I32" i="75" s="1"/>
  <c r="C25" i="77" s="1"/>
  <c r="C26" i="77" s="1"/>
  <c r="C27" i="77" s="1"/>
  <c r="C28" i="77" s="1"/>
  <c r="C29" i="77" s="1"/>
  <c r="C30" i="77" s="1"/>
  <c r="C31" i="77" s="1"/>
  <c r="C32" i="77" s="1"/>
  <c r="C33" i="77" s="1"/>
  <c r="C34" i="77" s="1"/>
  <c r="C35" i="77" s="1"/>
  <c r="C36" i="77" s="1"/>
  <c r="C37" i="77" s="1"/>
  <c r="C38" i="77" s="1"/>
  <c r="C39" i="77" s="1"/>
  <c r="C40" i="77" s="1"/>
  <c r="C41" i="77" s="1"/>
  <c r="C42" i="77" s="1"/>
  <c r="C43" i="77" s="1"/>
  <c r="C44" i="77" s="1"/>
  <c r="C45" i="77" s="1"/>
  <c r="C46" i="77" s="1"/>
  <c r="C47" i="77" s="1"/>
  <c r="C48" i="77" s="1"/>
  <c r="E33" i="76"/>
  <c r="E34" i="76" s="1"/>
  <c r="G32" i="76"/>
  <c r="I32" i="76" s="1"/>
  <c r="G34" i="76" l="1"/>
  <c r="I34" i="76" s="1"/>
  <c r="J34" i="76" s="1"/>
  <c r="K34" i="76"/>
  <c r="G33" i="75"/>
  <c r="K33" i="75"/>
  <c r="G33" i="76"/>
  <c r="I33" i="76" s="1"/>
  <c r="J33" i="76" s="1"/>
  <c r="K33" i="76"/>
  <c r="E34" i="75"/>
  <c r="E35" i="76"/>
  <c r="L23" i="77"/>
  <c r="L22" i="77"/>
  <c r="L24" i="77"/>
  <c r="L19" i="77"/>
  <c r="L18" i="77"/>
  <c r="L20" i="77"/>
  <c r="L25" i="77"/>
  <c r="L26" i="77" s="1"/>
  <c r="L27" i="77" s="1"/>
  <c r="L28" i="77" s="1"/>
  <c r="L29" i="77" s="1"/>
  <c r="L30" i="77" s="1"/>
  <c r="L31" i="77" s="1"/>
  <c r="L32" i="77" s="1"/>
  <c r="L33" i="77" s="1"/>
  <c r="L34" i="77" s="1"/>
  <c r="L35" i="77" s="1"/>
  <c r="L36" i="77" s="1"/>
  <c r="L37" i="77" s="1"/>
  <c r="L38" i="77" s="1"/>
  <c r="L39" i="77" s="1"/>
  <c r="L40" i="77" s="1"/>
  <c r="L41" i="77" s="1"/>
  <c r="L42" i="77" s="1"/>
  <c r="L43" i="77" s="1"/>
  <c r="L44" i="77" s="1"/>
  <c r="L45" i="77" s="1"/>
  <c r="M26" i="77"/>
  <c r="M27" i="77" s="1"/>
  <c r="M28" i="77" s="1"/>
  <c r="M29" i="77" s="1"/>
  <c r="M30" i="77" s="1"/>
  <c r="M31" i="77" s="1"/>
  <c r="M32" i="77" s="1"/>
  <c r="M33" i="77" s="1"/>
  <c r="M34" i="77" s="1"/>
  <c r="M35" i="77" s="1"/>
  <c r="M36" i="77" s="1"/>
  <c r="M37" i="77" s="1"/>
  <c r="M38" i="77" s="1"/>
  <c r="M39" i="77" s="1"/>
  <c r="M40" i="77" s="1"/>
  <c r="M41" i="77" s="1"/>
  <c r="M42" i="77" s="1"/>
  <c r="M43" i="77" s="1"/>
  <c r="M44" i="77" s="1"/>
  <c r="M45" i="77" s="1"/>
  <c r="M46" i="77" s="1"/>
  <c r="M47" i="77" s="1"/>
  <c r="M48" i="77" s="1"/>
  <c r="M50" i="77" s="1"/>
  <c r="L16" i="77"/>
  <c r="L21" i="77"/>
  <c r="L17" i="77"/>
  <c r="C50" i="77"/>
  <c r="J30" i="76"/>
  <c r="J31" i="76"/>
  <c r="J25" i="76"/>
  <c r="J32" i="76"/>
  <c r="J28" i="76"/>
  <c r="J29" i="76"/>
  <c r="J26" i="76"/>
  <c r="J27" i="76"/>
  <c r="J23" i="76"/>
  <c r="J24" i="76"/>
  <c r="J30" i="75"/>
  <c r="J31" i="75"/>
  <c r="J24" i="75"/>
  <c r="J32" i="75"/>
  <c r="J25" i="75"/>
  <c r="J26" i="75"/>
  <c r="J27" i="75"/>
  <c r="J28" i="75"/>
  <c r="J29" i="75"/>
  <c r="G35" i="76" l="1"/>
  <c r="I35" i="76" s="1"/>
  <c r="J35" i="76" s="1"/>
  <c r="K35" i="76"/>
  <c r="G34" i="75"/>
  <c r="I34" i="75" s="1"/>
  <c r="J34" i="75" s="1"/>
  <c r="K34" i="75"/>
  <c r="I33" i="75"/>
  <c r="J33" i="75" s="1"/>
  <c r="E35" i="75"/>
  <c r="E36" i="76"/>
  <c r="L50" i="77"/>
  <c r="AA56" i="76"/>
  <c r="AA56" i="75"/>
  <c r="G36" i="76" l="1"/>
  <c r="I36" i="76" s="1"/>
  <c r="J36" i="76" s="1"/>
  <c r="K36" i="76"/>
  <c r="G35" i="75"/>
  <c r="K35" i="75"/>
  <c r="E36" i="75"/>
  <c r="E37" i="76"/>
  <c r="H12" i="70"/>
  <c r="E12" i="70"/>
  <c r="K12" i="70" s="1"/>
  <c r="D50" i="70"/>
  <c r="C70" i="70"/>
  <c r="T60" i="70"/>
  <c r="Q60" i="70"/>
  <c r="T59" i="70"/>
  <c r="T58" i="70"/>
  <c r="D52" i="70"/>
  <c r="C52" i="70"/>
  <c r="C51" i="70"/>
  <c r="C50" i="70"/>
  <c r="C49" i="70"/>
  <c r="C48" i="70"/>
  <c r="B11" i="70"/>
  <c r="B12" i="70" s="1"/>
  <c r="C71" i="70" l="1"/>
  <c r="I35" i="75"/>
  <c r="J35" i="75" s="1"/>
  <c r="G37" i="76"/>
  <c r="I37" i="76" s="1"/>
  <c r="J37" i="76" s="1"/>
  <c r="K37" i="76"/>
  <c r="G36" i="75"/>
  <c r="K36" i="75"/>
  <c r="E37" i="75"/>
  <c r="B3" i="70"/>
  <c r="C55" i="70" s="1"/>
  <c r="B9" i="70" s="1"/>
  <c r="B13" i="70"/>
  <c r="C72" i="70"/>
  <c r="G37" i="75" l="1"/>
  <c r="I37" i="75" s="1"/>
  <c r="J37" i="75" s="1"/>
  <c r="K37" i="75"/>
  <c r="I36" i="75"/>
  <c r="J36" i="75" s="1"/>
  <c r="B14" i="70"/>
  <c r="B15" i="70" s="1"/>
  <c r="B16" i="70" s="1"/>
  <c r="B17" i="70" s="1"/>
  <c r="B18" i="70" s="1"/>
  <c r="C73" i="70"/>
  <c r="B19" i="70" l="1"/>
  <c r="C74" i="70"/>
  <c r="C75" i="70" l="1"/>
  <c r="B20" i="70"/>
  <c r="C76" i="70" l="1"/>
  <c r="B21" i="70"/>
  <c r="D48" i="68"/>
  <c r="D9" i="28"/>
  <c r="B22" i="70" l="1"/>
  <c r="C77" i="70"/>
  <c r="C82" i="68"/>
  <c r="C83" i="68" l="1"/>
  <c r="F69" i="70"/>
  <c r="B23" i="70"/>
  <c r="C84" i="68"/>
  <c r="F70" i="70" l="1"/>
  <c r="B24" i="70"/>
  <c r="C85" i="68"/>
  <c r="B25" i="70" l="1"/>
  <c r="F71" i="70"/>
  <c r="C86" i="68"/>
  <c r="F72" i="70" l="1"/>
  <c r="B26" i="70"/>
  <c r="C87" i="68"/>
  <c r="B27" i="70" l="1"/>
  <c r="F73" i="70"/>
  <c r="C88" i="68"/>
  <c r="F74" i="70" l="1"/>
  <c r="B28" i="70"/>
  <c r="C89" i="68"/>
  <c r="B29" i="70" l="1"/>
  <c r="F75" i="70"/>
  <c r="F81" i="68"/>
  <c r="F76" i="70" l="1"/>
  <c r="B30" i="70"/>
  <c r="F82" i="68"/>
  <c r="B31" i="70" l="1"/>
  <c r="F77" i="70"/>
  <c r="F83" i="68"/>
  <c r="I69" i="70" l="1"/>
  <c r="B32" i="70"/>
  <c r="F84" i="68"/>
  <c r="B33" i="70" l="1"/>
  <c r="I70" i="70"/>
  <c r="F85" i="68"/>
  <c r="B34" i="70" l="1"/>
  <c r="I71" i="70"/>
  <c r="F86" i="68"/>
  <c r="B35" i="70" l="1"/>
  <c r="I72" i="70"/>
  <c r="F87" i="68"/>
  <c r="B36" i="70" l="1"/>
  <c r="I73" i="70"/>
  <c r="F88" i="68"/>
  <c r="B37" i="70" l="1"/>
  <c r="B38" i="70" s="1"/>
  <c r="B39" i="70" s="1"/>
  <c r="B40" i="70" s="1"/>
  <c r="B41" i="70" s="1"/>
  <c r="I74" i="70"/>
  <c r="F89" i="68"/>
  <c r="I75" i="70" l="1"/>
  <c r="I81" i="68"/>
  <c r="I76" i="70" l="1"/>
  <c r="I82" i="68"/>
  <c r="I77" i="70" l="1"/>
  <c r="E13" i="70"/>
  <c r="H13" i="70"/>
  <c r="H14" i="70" s="1"/>
  <c r="H15" i="70" s="1"/>
  <c r="H16" i="70" s="1"/>
  <c r="H17" i="70" s="1"/>
  <c r="H18" i="70" s="1"/>
  <c r="H19" i="70" s="1"/>
  <c r="H20" i="70" s="1"/>
  <c r="H21" i="70" s="1"/>
  <c r="H22" i="70" s="1"/>
  <c r="H23" i="70" s="1"/>
  <c r="H24" i="70" s="1"/>
  <c r="H25" i="70" s="1"/>
  <c r="H26" i="70" s="1"/>
  <c r="H27" i="70" s="1"/>
  <c r="H28" i="70" s="1"/>
  <c r="H29" i="70" s="1"/>
  <c r="H30" i="70" s="1"/>
  <c r="H31" i="70" s="1"/>
  <c r="H32" i="70" s="1"/>
  <c r="H33" i="70" s="1"/>
  <c r="H34" i="70" s="1"/>
  <c r="H35" i="70" s="1"/>
  <c r="H36" i="70" s="1"/>
  <c r="I83" i="68"/>
  <c r="I78" i="70" l="1"/>
  <c r="I79" i="70"/>
  <c r="F19" i="70"/>
  <c r="F20" i="70" s="1"/>
  <c r="F21" i="70" s="1"/>
  <c r="F22" i="70" s="1"/>
  <c r="F23" i="70" s="1"/>
  <c r="F24" i="70" s="1"/>
  <c r="F25" i="70" s="1"/>
  <c r="F26" i="70" s="1"/>
  <c r="F27" i="70" s="1"/>
  <c r="F28" i="70" s="1"/>
  <c r="F29" i="70" s="1"/>
  <c r="F30" i="70" s="1"/>
  <c r="F31" i="70" s="1"/>
  <c r="F32" i="70" s="1"/>
  <c r="F33" i="70" s="1"/>
  <c r="F34" i="70" s="1"/>
  <c r="F35" i="70" s="1"/>
  <c r="F36" i="70" s="1"/>
  <c r="F37" i="70" s="1"/>
  <c r="F38" i="70" s="1"/>
  <c r="F39" i="70" s="1"/>
  <c r="F40" i="70" s="1"/>
  <c r="F41" i="70" s="1"/>
  <c r="E14" i="70"/>
  <c r="K13" i="70"/>
  <c r="I84" i="68"/>
  <c r="I80" i="70" l="1"/>
  <c r="E15" i="70"/>
  <c r="K14" i="70"/>
  <c r="H37" i="70"/>
  <c r="H38" i="70" s="1"/>
  <c r="H39" i="70" s="1"/>
  <c r="H40" i="70" s="1"/>
  <c r="H41" i="70" s="1"/>
  <c r="I85" i="68"/>
  <c r="I81" i="70" l="1"/>
  <c r="E16" i="70"/>
  <c r="K15" i="70"/>
  <c r="I86" i="68"/>
  <c r="E17" i="70" l="1"/>
  <c r="K16" i="70"/>
  <c r="I87" i="68"/>
  <c r="K17" i="70" l="1"/>
  <c r="E18" i="70"/>
  <c r="E19" i="70" s="1"/>
  <c r="E20" i="70" s="1"/>
  <c r="E21" i="70" s="1"/>
  <c r="E22" i="70" s="1"/>
  <c r="E23" i="70" s="1"/>
  <c r="E24" i="70" s="1"/>
  <c r="E25" i="70" s="1"/>
  <c r="E26" i="70" s="1"/>
  <c r="E27" i="70" s="1"/>
  <c r="E28" i="70" s="1"/>
  <c r="E29" i="70" s="1"/>
  <c r="E30" i="70" s="1"/>
  <c r="E31" i="70" s="1"/>
  <c r="E32" i="70" s="1"/>
  <c r="E33" i="70" s="1"/>
  <c r="E34" i="70" s="1"/>
  <c r="E35" i="70" s="1"/>
  <c r="E36" i="70" s="1"/>
  <c r="E37" i="70" s="1"/>
  <c r="E38" i="70" s="1"/>
  <c r="E39" i="70" s="1"/>
  <c r="E40" i="70" s="1"/>
  <c r="E41" i="70" s="1"/>
  <c r="I88" i="68"/>
  <c r="I89" i="68" l="1"/>
  <c r="D45" i="68" l="1"/>
  <c r="J61" i="68"/>
  <c r="C71" i="68"/>
  <c r="I56" i="68" s="1"/>
  <c r="H56" i="68"/>
  <c r="K62" i="68"/>
  <c r="J62" i="68"/>
  <c r="G62" i="68"/>
  <c r="F62" i="68"/>
  <c r="C62" i="68"/>
  <c r="K61" i="68"/>
  <c r="G61" i="68"/>
  <c r="F61" i="68"/>
  <c r="F63" i="68" s="1"/>
  <c r="C61" i="68"/>
  <c r="I57" i="68"/>
  <c r="H57" i="68"/>
  <c r="F57" i="68"/>
  <c r="F56" i="68"/>
  <c r="D50" i="68"/>
  <c r="C50" i="68"/>
  <c r="C49" i="68"/>
  <c r="C48" i="68"/>
  <c r="D47" i="68"/>
  <c r="C47" i="68"/>
  <c r="C46" i="68"/>
  <c r="C45" i="68"/>
  <c r="E66" i="68"/>
  <c r="B15" i="68"/>
  <c r="B16" i="68" s="1"/>
  <c r="B12" i="68"/>
  <c r="B5" i="68"/>
  <c r="H62" i="68" l="1"/>
  <c r="B17" i="68"/>
  <c r="B18" i="68" s="1"/>
  <c r="H61" i="68"/>
  <c r="H63" i="68" s="1"/>
  <c r="I61" i="68" s="1"/>
  <c r="F58" i="68"/>
  <c r="H58" i="68" s="1"/>
  <c r="B19" i="68" l="1"/>
  <c r="I62" i="68"/>
  <c r="I63" i="68" s="1"/>
  <c r="G63" i="68"/>
  <c r="D46" i="68" s="1"/>
  <c r="D76" i="68"/>
  <c r="G56" i="68"/>
  <c r="I58" i="68"/>
  <c r="B20" i="68" l="1"/>
  <c r="K63" i="68"/>
  <c r="J63" i="68"/>
  <c r="F16" i="68" s="1"/>
  <c r="G57" i="68"/>
  <c r="G58" i="68" s="1"/>
  <c r="F17" i="68" l="1"/>
  <c r="L16" i="68"/>
  <c r="B21" i="68"/>
  <c r="D49" i="68"/>
  <c r="F18" i="68" l="1"/>
  <c r="L17" i="68"/>
  <c r="B22" i="68"/>
  <c r="F19" i="68" l="1"/>
  <c r="L18" i="68"/>
  <c r="B23" i="68"/>
  <c r="F20" i="68" l="1"/>
  <c r="L19" i="68"/>
  <c r="B24" i="68"/>
  <c r="L20" i="68" l="1"/>
  <c r="F21" i="68"/>
  <c r="B25" i="68"/>
  <c r="E25" i="68"/>
  <c r="L21" i="68" l="1"/>
  <c r="F22" i="68"/>
  <c r="B26" i="68"/>
  <c r="E26" i="68" s="1"/>
  <c r="D24" i="68"/>
  <c r="D25" i="68" s="1"/>
  <c r="L22" i="68" l="1"/>
  <c r="F23" i="68"/>
  <c r="B27" i="68"/>
  <c r="E27" i="68" s="1"/>
  <c r="D26" i="68"/>
  <c r="L23" i="68" l="1"/>
  <c r="F24" i="68"/>
  <c r="F25" i="68" s="1"/>
  <c r="B28" i="68"/>
  <c r="E28" i="68" s="1"/>
  <c r="D27" i="68"/>
  <c r="F26" i="68" l="1"/>
  <c r="G24" i="68"/>
  <c r="H24" i="68" s="1"/>
  <c r="B29" i="68"/>
  <c r="E29" i="68" s="1"/>
  <c r="G25" i="68"/>
  <c r="H25" i="68" s="1"/>
  <c r="D28" i="68"/>
  <c r="L25" i="68" l="1"/>
  <c r="L24" i="68"/>
  <c r="F27" i="68"/>
  <c r="B30" i="68"/>
  <c r="E30" i="68" s="1"/>
  <c r="G26" i="68"/>
  <c r="H26" i="68" s="1"/>
  <c r="D29" i="68"/>
  <c r="F28" i="68" l="1"/>
  <c r="L26" i="68"/>
  <c r="B31" i="68"/>
  <c r="E31" i="68" s="1"/>
  <c r="G27" i="68"/>
  <c r="H27" i="68" s="1"/>
  <c r="D30" i="68"/>
  <c r="L27" i="68" l="1"/>
  <c r="F29" i="68"/>
  <c r="B32" i="68"/>
  <c r="E32" i="68" s="1"/>
  <c r="G28" i="68"/>
  <c r="H28" i="68" s="1"/>
  <c r="D31" i="68"/>
  <c r="L28" i="68" l="1"/>
  <c r="F30" i="68"/>
  <c r="B33" i="68"/>
  <c r="E33" i="68" s="1"/>
  <c r="G29" i="68"/>
  <c r="H29" i="68" s="1"/>
  <c r="D32" i="68"/>
  <c r="F31" i="68" l="1"/>
  <c r="L29" i="68"/>
  <c r="B34" i="68"/>
  <c r="E34" i="68" s="1"/>
  <c r="G30" i="68"/>
  <c r="H30" i="68" s="1"/>
  <c r="D33" i="68"/>
  <c r="L30" i="68" l="1"/>
  <c r="F32" i="68"/>
  <c r="B35" i="68"/>
  <c r="E35" i="68" s="1"/>
  <c r="G31" i="68"/>
  <c r="H31" i="68" s="1"/>
  <c r="D34" i="68"/>
  <c r="F33" i="68" l="1"/>
  <c r="L31" i="68"/>
  <c r="B36" i="68"/>
  <c r="B37" i="68" s="1"/>
  <c r="B38" i="68" s="1"/>
  <c r="B39" i="68" s="1"/>
  <c r="B40" i="68" s="1"/>
  <c r="G32" i="68"/>
  <c r="H32" i="68" s="1"/>
  <c r="D35" i="68"/>
  <c r="F34" i="68" l="1"/>
  <c r="L32" i="68"/>
  <c r="E36" i="68"/>
  <c r="G33" i="68"/>
  <c r="H33" i="68" s="1"/>
  <c r="D36" i="68"/>
  <c r="D37" i="68" s="1"/>
  <c r="F35" i="68" l="1"/>
  <c r="E37" i="68"/>
  <c r="L33" i="68"/>
  <c r="D38" i="68"/>
  <c r="G34" i="68"/>
  <c r="H34" i="68" s="1"/>
  <c r="E38" i="68" l="1"/>
  <c r="F36" i="68"/>
  <c r="L34" i="68"/>
  <c r="D39" i="68"/>
  <c r="G35" i="68"/>
  <c r="H35" i="68" s="1"/>
  <c r="F37" i="68" l="1"/>
  <c r="L35" i="68"/>
  <c r="G36" i="68"/>
  <c r="H36" i="68" s="1"/>
  <c r="E39" i="68"/>
  <c r="D40" i="68"/>
  <c r="D49" i="70"/>
  <c r="D18" i="70"/>
  <c r="K18" i="70" l="1"/>
  <c r="G18" i="70"/>
  <c r="I18" i="70" s="1"/>
  <c r="F11" i="77" s="1"/>
  <c r="L36" i="68"/>
  <c r="E40" i="68"/>
  <c r="G37" i="68"/>
  <c r="H37" i="68" s="1"/>
  <c r="F38" i="68"/>
  <c r="D19" i="70"/>
  <c r="L37" i="68" l="1"/>
  <c r="K19" i="70"/>
  <c r="G19" i="70"/>
  <c r="I19" i="70" s="1"/>
  <c r="F12" i="77" s="1"/>
  <c r="F39" i="68"/>
  <c r="G38" i="68"/>
  <c r="H38" i="68" s="1"/>
  <c r="D20" i="70"/>
  <c r="J18" i="70"/>
  <c r="K20" i="70" l="1"/>
  <c r="G20" i="70"/>
  <c r="I20" i="70" s="1"/>
  <c r="F40" i="68"/>
  <c r="G39" i="68"/>
  <c r="H39" i="68" s="1"/>
  <c r="L38" i="68"/>
  <c r="F13" i="77"/>
  <c r="D21" i="70"/>
  <c r="J19" i="70"/>
  <c r="K21" i="70" l="1"/>
  <c r="G21" i="70"/>
  <c r="I21" i="70" s="1"/>
  <c r="F14" i="77" s="1"/>
  <c r="G40" i="68"/>
  <c r="H40" i="68" s="1"/>
  <c r="L39" i="68"/>
  <c r="D22" i="70"/>
  <c r="J20" i="70"/>
  <c r="L40" i="68" l="1"/>
  <c r="K22" i="70"/>
  <c r="G22" i="70"/>
  <c r="I22" i="70" s="1"/>
  <c r="F15" i="77" s="1"/>
  <c r="J21" i="70"/>
  <c r="D23" i="70"/>
  <c r="K23" i="70" l="1"/>
  <c r="G23" i="70"/>
  <c r="I23" i="70" s="1"/>
  <c r="F16" i="77" s="1"/>
  <c r="J22" i="70"/>
  <c r="D24" i="70"/>
  <c r="K24" i="70" l="1"/>
  <c r="G24" i="70"/>
  <c r="I24" i="70" s="1"/>
  <c r="F17" i="77" s="1"/>
  <c r="J23" i="70"/>
  <c r="D25" i="70"/>
  <c r="K25" i="70" l="1"/>
  <c r="G25" i="70"/>
  <c r="I25" i="70" s="1"/>
  <c r="D26" i="70"/>
  <c r="F18" i="77"/>
  <c r="J24" i="70"/>
  <c r="K26" i="70" l="1"/>
  <c r="G26" i="70"/>
  <c r="I26" i="70" s="1"/>
  <c r="F19" i="77" s="1"/>
  <c r="J25" i="70"/>
  <c r="D27" i="70"/>
  <c r="K27" i="70" l="1"/>
  <c r="G27" i="70"/>
  <c r="I27" i="70" s="1"/>
  <c r="J26" i="70"/>
  <c r="F20" i="77"/>
  <c r="D28" i="70"/>
  <c r="K28" i="70" l="1"/>
  <c r="G28" i="70"/>
  <c r="I28" i="70" s="1"/>
  <c r="F21" i="77" s="1"/>
  <c r="D29" i="70"/>
  <c r="J27" i="70"/>
  <c r="K29" i="70" l="1"/>
  <c r="G29" i="70"/>
  <c r="I29" i="70" s="1"/>
  <c r="D30" i="70"/>
  <c r="F22" i="77"/>
  <c r="J28" i="70"/>
  <c r="K30" i="70" l="1"/>
  <c r="G30" i="70"/>
  <c r="I30" i="70" s="1"/>
  <c r="F23" i="77" s="1"/>
  <c r="J29" i="70"/>
  <c r="D31" i="70"/>
  <c r="K31" i="70" l="1"/>
  <c r="G31" i="70"/>
  <c r="I31" i="70" s="1"/>
  <c r="F24" i="77" s="1"/>
  <c r="J30" i="70"/>
  <c r="D32" i="70"/>
  <c r="K32" i="70" l="1"/>
  <c r="G32" i="70"/>
  <c r="I32" i="70" s="1"/>
  <c r="F25" i="77"/>
  <c r="F26" i="77" s="1"/>
  <c r="F27" i="77" s="1"/>
  <c r="F28" i="77" s="1"/>
  <c r="F29" i="77" s="1"/>
  <c r="F30" i="77" s="1"/>
  <c r="F31" i="77" s="1"/>
  <c r="F32" i="77" s="1"/>
  <c r="F33" i="77" s="1"/>
  <c r="F34" i="77" s="1"/>
  <c r="F35" i="77" s="1"/>
  <c r="F36" i="77" s="1"/>
  <c r="F37" i="77" s="1"/>
  <c r="F38" i="77" s="1"/>
  <c r="F39" i="77" s="1"/>
  <c r="F40" i="77" s="1"/>
  <c r="D33" i="70"/>
  <c r="J31" i="70"/>
  <c r="K33" i="70" l="1"/>
  <c r="G33" i="70"/>
  <c r="I33" i="70" s="1"/>
  <c r="J32" i="70"/>
  <c r="F50" i="77"/>
  <c r="D34" i="70"/>
  <c r="K34" i="70" l="1"/>
  <c r="G34" i="70"/>
  <c r="I34" i="70" s="1"/>
  <c r="D35" i="70"/>
  <c r="J33" i="70"/>
  <c r="K35" i="70" l="1"/>
  <c r="G35" i="70"/>
  <c r="I35" i="70" s="1"/>
  <c r="J34" i="70"/>
  <c r="D36" i="70"/>
  <c r="K36" i="70" l="1"/>
  <c r="G36" i="70"/>
  <c r="I36" i="70" s="1"/>
  <c r="J36" i="70" s="1"/>
  <c r="D37" i="70"/>
  <c r="D38" i="70" s="1"/>
  <c r="J35" i="70"/>
  <c r="K38" i="70" l="1"/>
  <c r="G38" i="70"/>
  <c r="I38" i="70" s="1"/>
  <c r="J38" i="70" s="1"/>
  <c r="D39" i="70"/>
  <c r="K37" i="70"/>
  <c r="G37" i="70"/>
  <c r="I37" i="70" s="1"/>
  <c r="J37" i="70" s="1"/>
  <c r="D40" i="70" l="1"/>
  <c r="D41" i="70" s="1"/>
  <c r="K39" i="70"/>
  <c r="G39" i="70"/>
  <c r="I39" i="70" s="1"/>
  <c r="J39" i="70" s="1"/>
  <c r="E12" i="67"/>
  <c r="K12" i="67" s="1"/>
  <c r="K41" i="70" l="1"/>
  <c r="G41" i="70"/>
  <c r="I41" i="70" s="1"/>
  <c r="J41" i="70" s="1"/>
  <c r="K40" i="70"/>
  <c r="G40" i="70"/>
  <c r="I40" i="70" s="1"/>
  <c r="J40" i="70" s="1"/>
  <c r="U57" i="43" l="1"/>
  <c r="U56" i="43"/>
  <c r="U55" i="43"/>
  <c r="T55" i="67"/>
  <c r="T57" i="67"/>
  <c r="T56" i="67"/>
  <c r="C67" i="67" l="1"/>
  <c r="H12" i="67"/>
  <c r="Q57" i="67"/>
  <c r="D49" i="67"/>
  <c r="C49" i="67"/>
  <c r="D47" i="67"/>
  <c r="C47" i="67"/>
  <c r="C46" i="67"/>
  <c r="C45" i="67"/>
  <c r="B11" i="67"/>
  <c r="B12" i="67" s="1"/>
  <c r="B3" i="67"/>
  <c r="C52" i="67" s="1"/>
  <c r="B9" i="67" s="1"/>
  <c r="C68" i="67" l="1"/>
  <c r="B13" i="67"/>
  <c r="C69" i="67" l="1"/>
  <c r="C70" i="67"/>
  <c r="B14" i="67"/>
  <c r="C71" i="67" l="1"/>
  <c r="B15" i="67"/>
  <c r="B16" i="67" l="1"/>
  <c r="C72" i="67"/>
  <c r="C73" i="67" l="1"/>
  <c r="B17" i="67"/>
  <c r="B18" i="67" l="1"/>
  <c r="F18" i="67"/>
  <c r="C74" i="67"/>
  <c r="B19" i="67" l="1"/>
  <c r="F66" i="67"/>
  <c r="F67" i="67" l="1"/>
  <c r="B20" i="67"/>
  <c r="F68" i="67" l="1"/>
  <c r="B21" i="67"/>
  <c r="B22" i="67" l="1"/>
  <c r="F69" i="67"/>
  <c r="F70" i="67" l="1"/>
  <c r="B23" i="67"/>
  <c r="F71" i="67" l="1"/>
  <c r="B24" i="67"/>
  <c r="F72" i="67" l="1"/>
  <c r="B25" i="67"/>
  <c r="B26" i="67" l="1"/>
  <c r="F73" i="67"/>
  <c r="F74" i="67" l="1"/>
  <c r="B27" i="67"/>
  <c r="B28" i="67" l="1"/>
  <c r="I66" i="67"/>
  <c r="I67" i="67" l="1"/>
  <c r="B29" i="67"/>
  <c r="I68" i="67" l="1"/>
  <c r="B30" i="67"/>
  <c r="I69" i="67" l="1"/>
  <c r="B31" i="67"/>
  <c r="B32" i="67" l="1"/>
  <c r="I70" i="67"/>
  <c r="B33" i="67" l="1"/>
  <c r="B34" i="67" s="1"/>
  <c r="B35" i="67" s="1"/>
  <c r="B36" i="67" s="1"/>
  <c r="B37" i="67" s="1"/>
  <c r="I71" i="67"/>
  <c r="I72" i="67" l="1"/>
  <c r="I73" i="67" l="1"/>
  <c r="I74" i="67" l="1"/>
  <c r="F19" i="67" l="1"/>
  <c r="F20" i="67" s="1"/>
  <c r="F21" i="67" s="1"/>
  <c r="F22" i="67" s="1"/>
  <c r="F23" i="67" s="1"/>
  <c r="F24" i="67" s="1"/>
  <c r="F25" i="67" s="1"/>
  <c r="F26" i="67" s="1"/>
  <c r="F27" i="67" s="1"/>
  <c r="F28" i="67" s="1"/>
  <c r="F29" i="67" s="1"/>
  <c r="F30" i="67" s="1"/>
  <c r="F31" i="67" s="1"/>
  <c r="F32" i="67" s="1"/>
  <c r="F33" i="67" s="1"/>
  <c r="F34" i="67" s="1"/>
  <c r="F35" i="67" s="1"/>
  <c r="F36" i="67" s="1"/>
  <c r="F37" i="67" s="1"/>
  <c r="E13" i="67"/>
  <c r="K13" i="67" s="1"/>
  <c r="H13" i="67"/>
  <c r="H14" i="67" s="1"/>
  <c r="H15" i="67" s="1"/>
  <c r="H16" i="67" s="1"/>
  <c r="H17" i="67" s="1"/>
  <c r="H18" i="67" s="1"/>
  <c r="H19" i="67" s="1"/>
  <c r="H20" i="67" s="1"/>
  <c r="H21" i="67" s="1"/>
  <c r="H22" i="67" s="1"/>
  <c r="H23" i="67" s="1"/>
  <c r="H24" i="67" s="1"/>
  <c r="H25" i="67" s="1"/>
  <c r="H26" i="67" s="1"/>
  <c r="H27" i="67" s="1"/>
  <c r="H28" i="67" s="1"/>
  <c r="H29" i="67" s="1"/>
  <c r="H30" i="67" s="1"/>
  <c r="H31" i="67" s="1"/>
  <c r="H32" i="67" s="1"/>
  <c r="H33" i="67" s="1"/>
  <c r="H34" i="67" s="1"/>
  <c r="H35" i="67" s="1"/>
  <c r="H36" i="67" s="1"/>
  <c r="H37" i="67" s="1"/>
  <c r="E14" i="67" l="1"/>
  <c r="K14" i="67" s="1"/>
  <c r="E15" i="67" l="1"/>
  <c r="K15" i="67" s="1"/>
  <c r="E16" i="67" l="1"/>
  <c r="K16" i="67" s="1"/>
  <c r="E17" i="67" l="1"/>
  <c r="K17" i="67" s="1"/>
  <c r="E18" i="67" l="1"/>
  <c r="E19" i="67" s="1"/>
  <c r="E20" i="67" l="1"/>
  <c r="E21" i="67" l="1"/>
  <c r="E22" i="67" l="1"/>
  <c r="E23" i="67" l="1"/>
  <c r="D46" i="67"/>
  <c r="E24" i="67" l="1"/>
  <c r="E25" i="67" l="1"/>
  <c r="D18" i="67"/>
  <c r="K18" i="67" l="1"/>
  <c r="G18" i="67"/>
  <c r="E26" i="67"/>
  <c r="D19" i="67"/>
  <c r="K19" i="67" l="1"/>
  <c r="G19" i="67"/>
  <c r="E27" i="67"/>
  <c r="D20" i="67"/>
  <c r="K20" i="67" l="1"/>
  <c r="G20" i="67"/>
  <c r="E28" i="67"/>
  <c r="D21" i="67"/>
  <c r="K21" i="67" l="1"/>
  <c r="G21" i="67"/>
  <c r="E29" i="67"/>
  <c r="D22" i="67"/>
  <c r="K22" i="67" l="1"/>
  <c r="G22" i="67"/>
  <c r="E30" i="67"/>
  <c r="D23" i="67"/>
  <c r="K23" i="67" l="1"/>
  <c r="G23" i="67"/>
  <c r="E31" i="67"/>
  <c r="D24" i="67"/>
  <c r="K24" i="67" l="1"/>
  <c r="G24" i="67"/>
  <c r="E32" i="67"/>
  <c r="E33" i="67" s="1"/>
  <c r="E34" i="67" s="1"/>
  <c r="E35" i="67" s="1"/>
  <c r="E36" i="67" s="1"/>
  <c r="E37" i="67" s="1"/>
  <c r="D25" i="67"/>
  <c r="K25" i="67" l="1"/>
  <c r="G25" i="67"/>
  <c r="D26" i="67"/>
  <c r="K26" i="67" l="1"/>
  <c r="G26" i="67"/>
  <c r="D27" i="67"/>
  <c r="K27" i="67" l="1"/>
  <c r="G27" i="67"/>
  <c r="D28" i="67"/>
  <c r="K28" i="67" l="1"/>
  <c r="G28" i="67"/>
  <c r="D29" i="67"/>
  <c r="K29" i="67" l="1"/>
  <c r="G29" i="67"/>
  <c r="D30" i="67"/>
  <c r="K30" i="67" l="1"/>
  <c r="G30" i="67"/>
  <c r="D31" i="67"/>
  <c r="K31" i="67" l="1"/>
  <c r="G31" i="67"/>
  <c r="D32" i="67"/>
  <c r="D33" i="67" l="1"/>
  <c r="D34" i="67" s="1"/>
  <c r="K32" i="67"/>
  <c r="G32" i="67"/>
  <c r="I28" i="67"/>
  <c r="I24" i="67"/>
  <c r="I20" i="67"/>
  <c r="I31" i="67"/>
  <c r="I27" i="67"/>
  <c r="I23" i="67"/>
  <c r="I19" i="67"/>
  <c r="I30" i="67"/>
  <c r="I26" i="67"/>
  <c r="I22" i="67"/>
  <c r="I18" i="67"/>
  <c r="I29" i="67"/>
  <c r="I25" i="67"/>
  <c r="I21" i="67"/>
  <c r="K34" i="67" l="1"/>
  <c r="G34" i="67"/>
  <c r="K33" i="67"/>
  <c r="G33" i="67"/>
  <c r="I33" i="67" s="1"/>
  <c r="J33" i="67" s="1"/>
  <c r="J26" i="77"/>
  <c r="J27" i="77" s="1"/>
  <c r="J28" i="77" s="1"/>
  <c r="J29" i="77" s="1"/>
  <c r="J30" i="77" s="1"/>
  <c r="J31" i="77" s="1"/>
  <c r="J32" i="77" s="1"/>
  <c r="J33" i="77" s="1"/>
  <c r="J34" i="77" s="1"/>
  <c r="J35" i="77" s="1"/>
  <c r="J36" i="77" s="1"/>
  <c r="J37" i="77" s="1"/>
  <c r="J38" i="77" s="1"/>
  <c r="J39" i="77" s="1"/>
  <c r="J40" i="77" s="1"/>
  <c r="J41" i="77" s="1"/>
  <c r="J42" i="77" s="1"/>
  <c r="J43" i="77" s="1"/>
  <c r="J44" i="77" s="1"/>
  <c r="J45" i="77" s="1"/>
  <c r="J46" i="77" s="1"/>
  <c r="I32" i="67"/>
  <c r="I25" i="77" s="1"/>
  <c r="I26" i="77" s="1"/>
  <c r="I27" i="77" s="1"/>
  <c r="I28" i="77" s="1"/>
  <c r="I29" i="77" s="1"/>
  <c r="I30" i="77" s="1"/>
  <c r="I31" i="77" s="1"/>
  <c r="I32" i="77" s="1"/>
  <c r="I33" i="77" s="1"/>
  <c r="I34" i="77" s="1"/>
  <c r="I35" i="77" s="1"/>
  <c r="I36" i="77" s="1"/>
  <c r="I37" i="77" s="1"/>
  <c r="I38" i="77" s="1"/>
  <c r="I39" i="77" s="1"/>
  <c r="I40" i="77" s="1"/>
  <c r="D35" i="67"/>
  <c r="I14" i="77"/>
  <c r="I18" i="77"/>
  <c r="I22" i="77"/>
  <c r="I15" i="77"/>
  <c r="I19" i="77"/>
  <c r="I23" i="77"/>
  <c r="I12" i="77"/>
  <c r="I16" i="77"/>
  <c r="I20" i="77"/>
  <c r="I24" i="77"/>
  <c r="I13" i="77"/>
  <c r="I17" i="77"/>
  <c r="I21" i="77"/>
  <c r="I11" i="77"/>
  <c r="J50" i="77" l="1"/>
  <c r="K35" i="67"/>
  <c r="G35" i="67"/>
  <c r="I34" i="67"/>
  <c r="J34" i="67" s="1"/>
  <c r="D36" i="67"/>
  <c r="I50" i="77"/>
  <c r="J18" i="67"/>
  <c r="J32" i="67"/>
  <c r="J28" i="67"/>
  <c r="J24" i="67"/>
  <c r="J20" i="67"/>
  <c r="J31" i="67"/>
  <c r="J27" i="67"/>
  <c r="J23" i="67"/>
  <c r="J19" i="67"/>
  <c r="J30" i="67"/>
  <c r="J26" i="67"/>
  <c r="J22" i="67"/>
  <c r="J29" i="67"/>
  <c r="J25" i="67"/>
  <c r="J21" i="67"/>
  <c r="K36" i="67" l="1"/>
  <c r="G36" i="67"/>
  <c r="I35" i="67"/>
  <c r="J35" i="67" s="1"/>
  <c r="D37" i="67"/>
  <c r="K37" i="67" l="1"/>
  <c r="G37" i="67"/>
  <c r="I37" i="67" s="1"/>
  <c r="J37" i="67" s="1"/>
  <c r="I36" i="67"/>
  <c r="J36" i="67" s="1"/>
  <c r="R57" i="43" l="1"/>
  <c r="C43" i="47" l="1"/>
  <c r="C65" i="80"/>
  <c r="C65" i="79"/>
  <c r="C65" i="78"/>
  <c r="C65" i="73"/>
  <c r="C65" i="71"/>
  <c r="C65" i="76"/>
  <c r="C65" i="75"/>
  <c r="C65" i="72"/>
  <c r="C68" i="70"/>
  <c r="C80" i="68"/>
  <c r="C65" i="67"/>
  <c r="CN9" i="25" l="1"/>
  <c r="CI9" i="25"/>
  <c r="AV9" i="25"/>
  <c r="AQ9" i="25"/>
  <c r="CX9" i="25" l="1"/>
  <c r="CW9" i="25"/>
  <c r="CV9" i="25"/>
  <c r="CU9" i="25"/>
  <c r="CT9" i="25"/>
  <c r="CS9" i="25"/>
  <c r="CR9" i="25"/>
  <c r="CQ9" i="25"/>
  <c r="CP9" i="25"/>
  <c r="CO9" i="25"/>
  <c r="BB9" i="25"/>
  <c r="BA9" i="25"/>
  <c r="AZ9" i="25"/>
  <c r="AY9" i="25"/>
  <c r="AX9" i="25"/>
  <c r="CM9" i="25" l="1"/>
  <c r="CL9" i="25"/>
  <c r="CK9" i="25"/>
  <c r="CJ9" i="25"/>
  <c r="CH9" i="25"/>
  <c r="CG9" i="25"/>
  <c r="CF9" i="25"/>
  <c r="CD9" i="25"/>
  <c r="AW9" i="25"/>
  <c r="AU9" i="25"/>
  <c r="AT9" i="25"/>
  <c r="AS9" i="25"/>
  <c r="AR9" i="25"/>
  <c r="AP9" i="25"/>
  <c r="AO9" i="25"/>
  <c r="AN9" i="25"/>
  <c r="AL9" i="25"/>
  <c r="B11" i="43" l="1"/>
  <c r="B12" i="43" s="1"/>
  <c r="B13" i="43" l="1"/>
  <c r="B11" i="47" l="1"/>
  <c r="BA11" i="47" l="1"/>
  <c r="M11" i="47"/>
  <c r="AV11" i="47"/>
  <c r="AX11" i="47" s="1"/>
  <c r="BF11" i="47"/>
  <c r="BH11" i="47" s="1"/>
  <c r="AL11" i="47"/>
  <c r="AQ11" i="47"/>
  <c r="AS11" i="47" s="1"/>
  <c r="AG11" i="47"/>
  <c r="H11" i="47"/>
  <c r="J11" i="47" s="1"/>
  <c r="W11" i="47"/>
  <c r="C11" i="47"/>
  <c r="R11" i="47"/>
  <c r="BC11" i="47"/>
  <c r="O11" i="47"/>
  <c r="B12" i="47"/>
  <c r="M12" i="47" l="1"/>
  <c r="O12" i="47" s="1"/>
  <c r="AV12" i="47"/>
  <c r="AX12" i="47" s="1"/>
  <c r="BA12" i="47"/>
  <c r="BC12" i="47" s="1"/>
  <c r="AL12" i="47"/>
  <c r="AQ12" i="47"/>
  <c r="AS12" i="47" s="1"/>
  <c r="AG12" i="47"/>
  <c r="H12" i="47"/>
  <c r="B13" i="47"/>
  <c r="E10" i="47"/>
  <c r="AQ13" i="47" l="1"/>
  <c r="BA13" i="47"/>
  <c r="AV13" i="47"/>
  <c r="AX13" i="47" s="1"/>
  <c r="M13" i="47"/>
  <c r="O13" i="47" s="1"/>
  <c r="AL13" i="47"/>
  <c r="H13" i="47"/>
  <c r="AG13" i="47"/>
  <c r="BC13" i="47"/>
  <c r="AS13" i="47"/>
  <c r="B14" i="47"/>
  <c r="AL14" i="47" l="1"/>
  <c r="AV14" i="47"/>
  <c r="AX14" i="47" s="1"/>
  <c r="BA14" i="47"/>
  <c r="BC14" i="47" s="1"/>
  <c r="AQ14" i="47"/>
  <c r="AS14" i="47" s="1"/>
  <c r="M14" i="47"/>
  <c r="O14" i="47" s="1"/>
  <c r="H14" i="47"/>
  <c r="AG14" i="47"/>
  <c r="B15" i="47"/>
  <c r="AV15" i="47" l="1"/>
  <c r="AQ15" i="47"/>
  <c r="AL15" i="47"/>
  <c r="BA15" i="47"/>
  <c r="M15" i="47"/>
  <c r="AG15" i="47"/>
  <c r="H15" i="47"/>
  <c r="BC15" i="47"/>
  <c r="AX15" i="47"/>
  <c r="O15" i="47"/>
  <c r="AS15" i="47"/>
  <c r="B16" i="47"/>
  <c r="C10" i="25"/>
  <c r="M16" i="47" l="1"/>
  <c r="O16" i="47" s="1"/>
  <c r="AV16" i="47"/>
  <c r="AX16" i="47" s="1"/>
  <c r="BA16" i="47"/>
  <c r="BC16" i="47" s="1"/>
  <c r="AL16" i="47"/>
  <c r="AQ16" i="47"/>
  <c r="H16" i="47"/>
  <c r="AG16" i="47"/>
  <c r="AS16" i="47"/>
  <c r="B17" i="47"/>
  <c r="AL17" i="47" l="1"/>
  <c r="M17" i="47"/>
  <c r="O17" i="47" s="1"/>
  <c r="AQ17" i="47"/>
  <c r="AS17" i="47" s="1"/>
  <c r="AV17" i="47"/>
  <c r="AX17" i="47" s="1"/>
  <c r="AG17" i="47"/>
  <c r="H17" i="47"/>
  <c r="B18" i="47"/>
  <c r="F44" i="47"/>
  <c r="M18" i="47" l="1"/>
  <c r="AV18" i="47"/>
  <c r="AQ18" i="47"/>
  <c r="AS18" i="47" s="1"/>
  <c r="AL18" i="47"/>
  <c r="B19" i="47"/>
  <c r="AX18" i="47"/>
  <c r="AI11" i="47"/>
  <c r="F45" i="47"/>
  <c r="AL19" i="47" l="1"/>
  <c r="AQ19" i="47"/>
  <c r="M19" i="47"/>
  <c r="AV19" i="47"/>
  <c r="AX19" i="47" s="1"/>
  <c r="B20" i="47"/>
  <c r="AS19" i="47"/>
  <c r="AN11" i="47"/>
  <c r="AI12" i="47"/>
  <c r="Y11" i="47"/>
  <c r="F46" i="47"/>
  <c r="D46" i="43"/>
  <c r="C67" i="43"/>
  <c r="C49" i="43"/>
  <c r="C48" i="43"/>
  <c r="C47" i="43"/>
  <c r="C46" i="43"/>
  <c r="C45" i="43"/>
  <c r="AQ20" i="47" l="1"/>
  <c r="M20" i="47"/>
  <c r="AV20" i="47"/>
  <c r="AX20" i="47" s="1"/>
  <c r="AL20" i="47"/>
  <c r="B21" i="47"/>
  <c r="AS20" i="47"/>
  <c r="AN12" i="47"/>
  <c r="AI13" i="47"/>
  <c r="J12" i="47"/>
  <c r="C68" i="43"/>
  <c r="F47" i="47"/>
  <c r="D47" i="43"/>
  <c r="B3" i="43"/>
  <c r="C52" i="43" s="1"/>
  <c r="B9" i="43" s="1"/>
  <c r="AV21" i="47" l="1"/>
  <c r="AX21" i="47" s="1"/>
  <c r="M21" i="47"/>
  <c r="AQ21" i="47"/>
  <c r="C69" i="43"/>
  <c r="B22" i="47"/>
  <c r="AN13" i="47"/>
  <c r="AI14" i="47"/>
  <c r="J13" i="47"/>
  <c r="F48" i="47"/>
  <c r="C70" i="43" l="1"/>
  <c r="AQ22" i="47"/>
  <c r="M22" i="47"/>
  <c r="AV22" i="47"/>
  <c r="AX22" i="47" s="1"/>
  <c r="B23" i="47"/>
  <c r="AN14" i="47"/>
  <c r="AI15" i="47"/>
  <c r="J14" i="47"/>
  <c r="F49" i="47"/>
  <c r="C71" i="43"/>
  <c r="B14" i="43"/>
  <c r="AQ23" i="47" l="1"/>
  <c r="AV23" i="47"/>
  <c r="AX23" i="47" s="1"/>
  <c r="M23" i="47"/>
  <c r="B24" i="47"/>
  <c r="AN15" i="47"/>
  <c r="AI16" i="47"/>
  <c r="J15" i="47"/>
  <c r="F50" i="47"/>
  <c r="B15" i="43"/>
  <c r="C72" i="43"/>
  <c r="AQ24" i="47" l="1"/>
  <c r="AV24" i="47"/>
  <c r="AX24" i="47" s="1"/>
  <c r="B25" i="47"/>
  <c r="O18" i="47"/>
  <c r="AN16" i="47"/>
  <c r="AI17" i="47"/>
  <c r="J16" i="47"/>
  <c r="F51" i="47"/>
  <c r="C73" i="43"/>
  <c r="B16" i="43"/>
  <c r="B26" i="47" l="1"/>
  <c r="O19" i="47"/>
  <c r="AN17" i="47"/>
  <c r="J17" i="47"/>
  <c r="F52" i="47"/>
  <c r="B17" i="43"/>
  <c r="C74" i="43"/>
  <c r="B27" i="47" l="1"/>
  <c r="AN18" i="47"/>
  <c r="I44" i="47"/>
  <c r="F66" i="43"/>
  <c r="B18" i="43"/>
  <c r="B28" i="47" l="1"/>
  <c r="O20" i="47"/>
  <c r="AN19" i="47"/>
  <c r="M24" i="47"/>
  <c r="I45" i="47"/>
  <c r="F67" i="43"/>
  <c r="B19" i="43"/>
  <c r="M25" i="47" l="1"/>
  <c r="B29" i="47"/>
  <c r="AS21" i="47"/>
  <c r="O21" i="47"/>
  <c r="AN20" i="47"/>
  <c r="I46" i="47"/>
  <c r="F68" i="43"/>
  <c r="B20" i="43"/>
  <c r="AQ25" i="47" l="1"/>
  <c r="AV25" i="47"/>
  <c r="B30" i="47"/>
  <c r="AS22" i="47"/>
  <c r="O22" i="47"/>
  <c r="I47" i="47"/>
  <c r="B21" i="43"/>
  <c r="F69" i="43"/>
  <c r="AV26" i="47" l="1"/>
  <c r="M26" i="47"/>
  <c r="AQ26" i="47"/>
  <c r="AQ27" i="47" s="1"/>
  <c r="B31" i="47"/>
  <c r="AS23" i="47"/>
  <c r="O23" i="47"/>
  <c r="I48" i="47"/>
  <c r="F70" i="43"/>
  <c r="B22" i="43"/>
  <c r="AV27" i="47" l="1"/>
  <c r="M27" i="47"/>
  <c r="M28" i="47" s="1"/>
  <c r="B32" i="47"/>
  <c r="I49" i="47"/>
  <c r="B23" i="43"/>
  <c r="F71" i="43"/>
  <c r="AV28" i="47" l="1"/>
  <c r="AQ28" i="47"/>
  <c r="AS24" i="47"/>
  <c r="I50" i="47"/>
  <c r="B24" i="43"/>
  <c r="F72" i="43"/>
  <c r="AV29" i="47" l="1"/>
  <c r="AQ29" i="47"/>
  <c r="M29" i="47"/>
  <c r="I51" i="47"/>
  <c r="B25" i="43"/>
  <c r="F73" i="43"/>
  <c r="M30" i="47" l="1"/>
  <c r="AV30" i="47"/>
  <c r="AQ30" i="47"/>
  <c r="I52" i="47"/>
  <c r="F74" i="43"/>
  <c r="B26" i="43"/>
  <c r="H18" i="47" l="1"/>
  <c r="H19" i="47" s="1"/>
  <c r="H20" i="47" s="1"/>
  <c r="H21" i="47" s="1"/>
  <c r="H22" i="47" s="1"/>
  <c r="H23" i="47" s="1"/>
  <c r="H24" i="47" s="1"/>
  <c r="H25" i="47" s="1"/>
  <c r="H26" i="47" s="1"/>
  <c r="H27" i="47" s="1"/>
  <c r="H28" i="47" s="1"/>
  <c r="H29" i="47" s="1"/>
  <c r="H30" i="47" s="1"/>
  <c r="H31" i="47" s="1"/>
  <c r="AL21" i="47"/>
  <c r="AL22" i="47" s="1"/>
  <c r="AL23" i="47" s="1"/>
  <c r="AL24" i="47" s="1"/>
  <c r="AL25" i="47" s="1"/>
  <c r="AL26" i="47" s="1"/>
  <c r="AL27" i="47" s="1"/>
  <c r="AL28" i="47" s="1"/>
  <c r="AL29" i="47" s="1"/>
  <c r="AL30" i="47" s="1"/>
  <c r="AL31" i="47" s="1"/>
  <c r="AB11" i="47"/>
  <c r="AB12" i="47" s="1"/>
  <c r="AB13" i="47" s="1"/>
  <c r="AB14" i="47" s="1"/>
  <c r="AB15" i="47" s="1"/>
  <c r="AB16" i="47" s="1"/>
  <c r="AB17" i="47" s="1"/>
  <c r="AB18" i="47" s="1"/>
  <c r="AB19" i="47" s="1"/>
  <c r="AB20" i="47" s="1"/>
  <c r="AB21" i="47" s="1"/>
  <c r="AB22" i="47" s="1"/>
  <c r="AB23" i="47" s="1"/>
  <c r="AB24" i="47" s="1"/>
  <c r="AB25" i="47" s="1"/>
  <c r="AB26" i="47" s="1"/>
  <c r="AB27" i="47" s="1"/>
  <c r="AB28" i="47" s="1"/>
  <c r="AB29" i="47" s="1"/>
  <c r="AB30" i="47" s="1"/>
  <c r="AB31" i="47" s="1"/>
  <c r="AD31" i="47" s="1"/>
  <c r="R12" i="47"/>
  <c r="R13" i="47" s="1"/>
  <c r="R14" i="47" s="1"/>
  <c r="R15" i="47" s="1"/>
  <c r="R16" i="47" s="1"/>
  <c r="R17" i="47" s="1"/>
  <c r="R18" i="47" s="1"/>
  <c r="R19" i="47" s="1"/>
  <c r="R20" i="47" s="1"/>
  <c r="R21" i="47" s="1"/>
  <c r="R22" i="47" s="1"/>
  <c r="R23" i="47" s="1"/>
  <c r="R24" i="47" s="1"/>
  <c r="R25" i="47" s="1"/>
  <c r="R26" i="47" s="1"/>
  <c r="R27" i="47" s="1"/>
  <c r="R28" i="47" s="1"/>
  <c r="R29" i="47" s="1"/>
  <c r="R30" i="47" s="1"/>
  <c r="R31" i="47" s="1"/>
  <c r="AG18" i="47"/>
  <c r="AG19" i="47" s="1"/>
  <c r="AG20" i="47" s="1"/>
  <c r="AG21" i="47" s="1"/>
  <c r="AG22" i="47" s="1"/>
  <c r="AG23" i="47" s="1"/>
  <c r="AG24" i="47" s="1"/>
  <c r="AG25" i="47" s="1"/>
  <c r="AG26" i="47" s="1"/>
  <c r="AG27" i="47" s="1"/>
  <c r="AG28" i="47" s="1"/>
  <c r="AG29" i="47" s="1"/>
  <c r="AG30" i="47" s="1"/>
  <c r="AG31" i="47" s="1"/>
  <c r="BF12" i="47"/>
  <c r="BF13" i="47" s="1"/>
  <c r="BF14" i="47" s="1"/>
  <c r="BF15" i="47" s="1"/>
  <c r="BF16" i="47" s="1"/>
  <c r="BF17" i="47" s="1"/>
  <c r="BF18" i="47" s="1"/>
  <c r="BF19" i="47" s="1"/>
  <c r="BF20" i="47" s="1"/>
  <c r="BF21" i="47" s="1"/>
  <c r="BF22" i="47" s="1"/>
  <c r="BF23" i="47" s="1"/>
  <c r="BF24" i="47" s="1"/>
  <c r="BF25" i="47" s="1"/>
  <c r="BF26" i="47" s="1"/>
  <c r="BF27" i="47" s="1"/>
  <c r="BF28" i="47" s="1"/>
  <c r="BF29" i="47" s="1"/>
  <c r="BF30" i="47" s="1"/>
  <c r="BF31" i="47" s="1"/>
  <c r="BA17" i="47"/>
  <c r="BA18" i="47" s="1"/>
  <c r="BA19" i="47" s="1"/>
  <c r="BA20" i="47" s="1"/>
  <c r="BA21" i="47" s="1"/>
  <c r="BA22" i="47" s="1"/>
  <c r="BA23" i="47" s="1"/>
  <c r="BA24" i="47" s="1"/>
  <c r="BA25" i="47" s="1"/>
  <c r="BA26" i="47" s="1"/>
  <c r="BA27" i="47" s="1"/>
  <c r="BA28" i="47" s="1"/>
  <c r="BA29" i="47" s="1"/>
  <c r="BA30" i="47" s="1"/>
  <c r="BA31" i="47" s="1"/>
  <c r="C12" i="47"/>
  <c r="C13" i="47" s="1"/>
  <c r="C14" i="47" s="1"/>
  <c r="C15" i="47" s="1"/>
  <c r="C16" i="47" s="1"/>
  <c r="C17" i="47" s="1"/>
  <c r="C18" i="47" s="1"/>
  <c r="C19" i="47" s="1"/>
  <c r="C20" i="47" s="1"/>
  <c r="C21" i="47" s="1"/>
  <c r="C22" i="47" s="1"/>
  <c r="C23" i="47" s="1"/>
  <c r="C24" i="47" s="1"/>
  <c r="C25" i="47" s="1"/>
  <c r="C26" i="47" s="1"/>
  <c r="C27" i="47" s="1"/>
  <c r="C28" i="47" s="1"/>
  <c r="C29" i="47" s="1"/>
  <c r="C30" i="47" s="1"/>
  <c r="C31" i="47" s="1"/>
  <c r="W12" i="47"/>
  <c r="W13" i="47" s="1"/>
  <c r="W14" i="47" s="1"/>
  <c r="W15" i="47" s="1"/>
  <c r="W16" i="47" s="1"/>
  <c r="W17" i="47" s="1"/>
  <c r="W18" i="47" s="1"/>
  <c r="W19" i="47" s="1"/>
  <c r="W20" i="47" s="1"/>
  <c r="W21" i="47" s="1"/>
  <c r="W22" i="47" s="1"/>
  <c r="W23" i="47" s="1"/>
  <c r="W24" i="47" s="1"/>
  <c r="W25" i="47" s="1"/>
  <c r="W26" i="47" s="1"/>
  <c r="W27" i="47" s="1"/>
  <c r="W28" i="47" s="1"/>
  <c r="W29" i="47" s="1"/>
  <c r="W30" i="47" s="1"/>
  <c r="W31" i="47" s="1"/>
  <c r="M31" i="47"/>
  <c r="AN31" i="47"/>
  <c r="AQ31" i="47"/>
  <c r="AV31" i="47"/>
  <c r="O24" i="47"/>
  <c r="E11" i="47"/>
  <c r="I66" i="43"/>
  <c r="B27" i="43"/>
  <c r="AB32" i="47" l="1"/>
  <c r="AD32" i="47" s="1"/>
  <c r="C32" i="47"/>
  <c r="AI18" i="47"/>
  <c r="AL32" i="47"/>
  <c r="AN32" i="47" s="1"/>
  <c r="W32" i="47"/>
  <c r="AI31" i="47"/>
  <c r="AG32" i="47"/>
  <c r="AI32" i="47" s="1"/>
  <c r="BH31" i="47"/>
  <c r="BF32" i="47"/>
  <c r="BH32" i="47" s="1"/>
  <c r="H32" i="47"/>
  <c r="AX31" i="47"/>
  <c r="AV32" i="47"/>
  <c r="AX32" i="47" s="1"/>
  <c r="AS31" i="47"/>
  <c r="AQ32" i="47"/>
  <c r="AS32" i="47" s="1"/>
  <c r="R32" i="47"/>
  <c r="BC31" i="47"/>
  <c r="BA32" i="47"/>
  <c r="BC32" i="47" s="1"/>
  <c r="M32" i="47"/>
  <c r="O25" i="47"/>
  <c r="BC17" i="47"/>
  <c r="BH12" i="47"/>
  <c r="AN21" i="47"/>
  <c r="AS25" i="47"/>
  <c r="AX25" i="47"/>
  <c r="AI19" i="47"/>
  <c r="Y12" i="47"/>
  <c r="J18" i="47"/>
  <c r="T11" i="47"/>
  <c r="AD11" i="47"/>
  <c r="I67" i="43"/>
  <c r="B28" i="43"/>
  <c r="O26" i="47" l="1"/>
  <c r="BH13" i="47"/>
  <c r="BC18" i="47"/>
  <c r="AX26" i="47"/>
  <c r="AS26" i="47"/>
  <c r="AN22" i="47"/>
  <c r="AI20" i="47"/>
  <c r="Y13" i="47"/>
  <c r="J19" i="47"/>
  <c r="E12" i="47"/>
  <c r="T12" i="47"/>
  <c r="AD12" i="47"/>
  <c r="I68" i="43"/>
  <c r="E13" i="47"/>
  <c r="B29" i="43"/>
  <c r="I69" i="43" l="1"/>
  <c r="BC19" i="47"/>
  <c r="BH14" i="47"/>
  <c r="O27" i="47"/>
  <c r="AN23" i="47"/>
  <c r="AS27" i="47"/>
  <c r="AX27" i="47"/>
  <c r="AI21" i="47"/>
  <c r="J20" i="47"/>
  <c r="Y14" i="47"/>
  <c r="AD13" i="47"/>
  <c r="T13" i="47"/>
  <c r="E14" i="47"/>
  <c r="B30" i="43"/>
  <c r="I70" i="43" l="1"/>
  <c r="BH15" i="47"/>
  <c r="BC20" i="47"/>
  <c r="AX28" i="47"/>
  <c r="AN24" i="47"/>
  <c r="AS28" i="47"/>
  <c r="O28" i="47"/>
  <c r="AI22" i="47"/>
  <c r="Y15" i="47"/>
  <c r="J21" i="47"/>
  <c r="T14" i="47"/>
  <c r="AD14" i="47"/>
  <c r="E15" i="47"/>
  <c r="B31" i="43"/>
  <c r="B32" i="43" s="1"/>
  <c r="B33" i="43" s="1"/>
  <c r="B34" i="43" s="1"/>
  <c r="B35" i="43" s="1"/>
  <c r="B36" i="43" s="1"/>
  <c r="B37" i="43" s="1"/>
  <c r="I71" i="43" l="1"/>
  <c r="BC21" i="47"/>
  <c r="BH16" i="47"/>
  <c r="O29" i="47"/>
  <c r="AN25" i="47"/>
  <c r="AX29" i="47"/>
  <c r="AS29" i="47"/>
  <c r="AI23" i="47"/>
  <c r="Y16" i="47"/>
  <c r="J22" i="47"/>
  <c r="T15" i="47"/>
  <c r="AD15" i="47"/>
  <c r="E16" i="47"/>
  <c r="I72" i="43" l="1"/>
  <c r="BH17" i="47"/>
  <c r="BC22" i="47"/>
  <c r="AN26" i="47"/>
  <c r="AS30" i="47"/>
  <c r="AX30" i="47"/>
  <c r="O30" i="47"/>
  <c r="AI24" i="47"/>
  <c r="J23" i="47"/>
  <c r="Y17" i="47"/>
  <c r="AD16" i="47"/>
  <c r="T16" i="47"/>
  <c r="E33" i="43"/>
  <c r="E34" i="43" s="1"/>
  <c r="E17" i="47"/>
  <c r="I73" i="43" l="1"/>
  <c r="E35" i="43"/>
  <c r="BC23" i="47"/>
  <c r="BH18" i="47"/>
  <c r="O31" i="47"/>
  <c r="AN27" i="47"/>
  <c r="AI25" i="47"/>
  <c r="Y18" i="47"/>
  <c r="J24" i="47"/>
  <c r="T17" i="47"/>
  <c r="AD17" i="47"/>
  <c r="E18" i="47"/>
  <c r="I74" i="43" l="1"/>
  <c r="E36" i="43"/>
  <c r="BH19" i="47"/>
  <c r="BC24" i="47"/>
  <c r="O32" i="47"/>
  <c r="AN28" i="47"/>
  <c r="AI26" i="47"/>
  <c r="J25" i="47"/>
  <c r="Y19" i="47"/>
  <c r="AD18" i="47"/>
  <c r="T18" i="47"/>
  <c r="E19" i="47"/>
  <c r="F19" i="43" l="1"/>
  <c r="F20" i="43" s="1"/>
  <c r="F21" i="43" s="1"/>
  <c r="F22" i="43" s="1"/>
  <c r="F23" i="43" s="1"/>
  <c r="F24" i="43" s="1"/>
  <c r="F25" i="43" s="1"/>
  <c r="F26" i="43" s="1"/>
  <c r="F27" i="43" s="1"/>
  <c r="F28" i="43" s="1"/>
  <c r="F29" i="43" s="1"/>
  <c r="F30" i="43" s="1"/>
  <c r="F31" i="43" s="1"/>
  <c r="F32" i="43" s="1"/>
  <c r="F33" i="43" s="1"/>
  <c r="F34" i="43" s="1"/>
  <c r="F35" i="43" s="1"/>
  <c r="F36" i="43" s="1"/>
  <c r="F37" i="43" s="1"/>
  <c r="BC25" i="47"/>
  <c r="BH20" i="47"/>
  <c r="AN29" i="47"/>
  <c r="AI27" i="47"/>
  <c r="J26" i="47"/>
  <c r="Y20" i="47"/>
  <c r="T19" i="47"/>
  <c r="AD19" i="47"/>
  <c r="E20" i="47"/>
  <c r="E37" i="43" l="1"/>
  <c r="BH21" i="47"/>
  <c r="BC26" i="47"/>
  <c r="AN30" i="47"/>
  <c r="AI28" i="47"/>
  <c r="Y21" i="47"/>
  <c r="J27" i="47"/>
  <c r="T20" i="47"/>
  <c r="AD20" i="47"/>
  <c r="E21" i="47"/>
  <c r="BC27" i="47" l="1"/>
  <c r="BH22" i="47"/>
  <c r="AI29" i="47"/>
  <c r="J28" i="47"/>
  <c r="Y22" i="47"/>
  <c r="T21" i="47"/>
  <c r="AD21" i="47"/>
  <c r="E22" i="47"/>
  <c r="BH23" i="47" l="1"/>
  <c r="BC28" i="47"/>
  <c r="AI30" i="47"/>
  <c r="Y23" i="47"/>
  <c r="J29" i="47"/>
  <c r="T22" i="47"/>
  <c r="AD22" i="47"/>
  <c r="E23" i="47"/>
  <c r="BC29" i="47" l="1"/>
  <c r="BH24" i="47"/>
  <c r="J30" i="47"/>
  <c r="Y24" i="47"/>
  <c r="AD23" i="47"/>
  <c r="T23" i="47"/>
  <c r="E24" i="47"/>
  <c r="BH25" i="47" l="1"/>
  <c r="BC30" i="47"/>
  <c r="J31" i="47"/>
  <c r="Y25" i="47"/>
  <c r="AD24" i="47"/>
  <c r="T24" i="47"/>
  <c r="E25" i="47"/>
  <c r="BH26" i="47" l="1"/>
  <c r="Y26" i="47"/>
  <c r="J32" i="47"/>
  <c r="AD25" i="47"/>
  <c r="T25" i="47"/>
  <c r="E26" i="47"/>
  <c r="BH27" i="47" l="1"/>
  <c r="Y27" i="47"/>
  <c r="T26" i="47"/>
  <c r="AD26" i="47"/>
  <c r="E27" i="47"/>
  <c r="BH28" i="47" l="1"/>
  <c r="Y28" i="47"/>
  <c r="AD27" i="47"/>
  <c r="T27" i="47"/>
  <c r="E28" i="47"/>
  <c r="BH29" i="47" l="1"/>
  <c r="Y29" i="47"/>
  <c r="T28" i="47"/>
  <c r="AD28" i="47"/>
  <c r="E29" i="47"/>
  <c r="BH30" i="47" l="1"/>
  <c r="Y30" i="47"/>
  <c r="T29" i="47"/>
  <c r="AD29" i="47"/>
  <c r="E30" i="47"/>
  <c r="Y31" i="47" l="1"/>
  <c r="AD30" i="47"/>
  <c r="T30" i="47"/>
  <c r="E31" i="47"/>
  <c r="Y32" i="47" l="1"/>
  <c r="E32" i="47"/>
  <c r="T31" i="47"/>
  <c r="T32" i="47" l="1"/>
  <c r="E9" i="28" l="1"/>
  <c r="F9" i="28"/>
  <c r="M343" i="28" l="1"/>
  <c r="M341" i="28"/>
  <c r="D49" i="43"/>
  <c r="M342" i="28"/>
  <c r="C65" i="43" l="1"/>
  <c r="M340" i="28"/>
  <c r="M339" i="28"/>
  <c r="M338" i="28"/>
  <c r="M337" i="28"/>
  <c r="M336" i="28"/>
  <c r="M335" i="28"/>
  <c r="M334" i="28"/>
  <c r="M333" i="28"/>
  <c r="M332" i="28"/>
  <c r="M331" i="28"/>
  <c r="M330" i="28"/>
  <c r="M329" i="28"/>
  <c r="B44" i="28" l="1"/>
  <c r="M302" i="28" l="1"/>
  <c r="M301" i="28"/>
  <c r="M300" i="28"/>
  <c r="M298" i="28"/>
  <c r="M297" i="28"/>
  <c r="M296" i="28"/>
  <c r="M294" i="28"/>
  <c r="M293" i="28"/>
  <c r="M292" i="28"/>
  <c r="M290" i="28"/>
  <c r="M289" i="28"/>
  <c r="M288" i="28"/>
  <c r="M286" i="28"/>
  <c r="M285" i="28"/>
  <c r="M284" i="28"/>
  <c r="M282" i="28"/>
  <c r="M281" i="28"/>
  <c r="M304" i="28"/>
  <c r="M283" i="28" l="1"/>
  <c r="M287" i="28"/>
  <c r="M291" i="28"/>
  <c r="M295" i="28"/>
  <c r="M299" i="28"/>
  <c r="M303" i="28"/>
  <c r="M328" i="28" l="1"/>
  <c r="M327" i="28"/>
  <c r="M326" i="28"/>
  <c r="M324" i="28"/>
  <c r="M323" i="28"/>
  <c r="M322" i="28"/>
  <c r="M320" i="28"/>
  <c r="M319" i="28"/>
  <c r="M318" i="28"/>
  <c r="M316" i="28"/>
  <c r="M315" i="28"/>
  <c r="M314" i="28"/>
  <c r="M312" i="28"/>
  <c r="M311" i="28"/>
  <c r="M310" i="28"/>
  <c r="M308" i="28"/>
  <c r="M307" i="28"/>
  <c r="M306" i="28"/>
  <c r="M280" i="28"/>
  <c r="M279" i="28"/>
  <c r="M278" i="28"/>
  <c r="M276" i="28"/>
  <c r="M275" i="28"/>
  <c r="M274" i="28"/>
  <c r="M272" i="28"/>
  <c r="M271" i="28"/>
  <c r="M270" i="28"/>
  <c r="M268" i="28"/>
  <c r="M267" i="28"/>
  <c r="M266" i="28"/>
  <c r="M264" i="28"/>
  <c r="M263" i="28"/>
  <c r="M262" i="28"/>
  <c r="M260" i="28"/>
  <c r="M259" i="28"/>
  <c r="M258" i="28"/>
  <c r="M256" i="28"/>
  <c r="M255" i="28"/>
  <c r="M254" i="28"/>
  <c r="M251" i="28"/>
  <c r="M250" i="28"/>
  <c r="M249" i="28"/>
  <c r="M247" i="28"/>
  <c r="M246" i="28"/>
  <c r="M245" i="28"/>
  <c r="M243" i="28"/>
  <c r="M242" i="28"/>
  <c r="M241" i="28"/>
  <c r="M239" i="28"/>
  <c r="M238" i="28"/>
  <c r="M237" i="28"/>
  <c r="M235" i="28"/>
  <c r="M234" i="28"/>
  <c r="M233" i="28"/>
  <c r="M231" i="28"/>
  <c r="M230" i="28"/>
  <c r="M229" i="28"/>
  <c r="M227" i="28"/>
  <c r="M226" i="28"/>
  <c r="M225" i="28"/>
  <c r="M223" i="28"/>
  <c r="M222" i="28"/>
  <c r="M221" i="28"/>
  <c r="M219" i="28"/>
  <c r="M218" i="28"/>
  <c r="M217" i="28"/>
  <c r="M215" i="28"/>
  <c r="M214" i="28"/>
  <c r="M213" i="28"/>
  <c r="M211" i="28"/>
  <c r="M210" i="28"/>
  <c r="M209" i="28"/>
  <c r="M207" i="28"/>
  <c r="M206" i="28"/>
  <c r="M205" i="28"/>
  <c r="M203" i="28"/>
  <c r="M202" i="28"/>
  <c r="M201" i="28"/>
  <c r="M199" i="28"/>
  <c r="M197" i="28"/>
  <c r="M195" i="28"/>
  <c r="M193" i="28"/>
  <c r="M191" i="28"/>
  <c r="M190" i="28"/>
  <c r="M189" i="28"/>
  <c r="M187" i="28"/>
  <c r="M185" i="28"/>
  <c r="M183" i="28"/>
  <c r="M181" i="28"/>
  <c r="M179" i="28"/>
  <c r="M178" i="28"/>
  <c r="M177" i="28"/>
  <c r="M175" i="28"/>
  <c r="M174" i="28"/>
  <c r="M173" i="28"/>
  <c r="M171" i="28"/>
  <c r="M169" i="28"/>
  <c r="M167" i="28"/>
  <c r="M166" i="28"/>
  <c r="M165" i="28"/>
  <c r="M163" i="28"/>
  <c r="M161" i="28"/>
  <c r="M186" i="28" l="1"/>
  <c r="M162" i="28"/>
  <c r="M194" i="28"/>
  <c r="M170" i="28"/>
  <c r="M224" i="28"/>
  <c r="M253" i="28"/>
  <c r="M265" i="28"/>
  <c r="M273" i="28"/>
  <c r="M305" i="28"/>
  <c r="M325" i="28"/>
  <c r="M172" i="28"/>
  <c r="M196" i="28"/>
  <c r="M244" i="28"/>
  <c r="M182" i="28"/>
  <c r="M198" i="28"/>
  <c r="M200" i="28"/>
  <c r="M248" i="28"/>
  <c r="M208" i="28"/>
  <c r="M240" i="28"/>
  <c r="M257" i="28"/>
  <c r="M261" i="28"/>
  <c r="M269" i="28"/>
  <c r="M277" i="28"/>
  <c r="M309" i="28"/>
  <c r="M313" i="28"/>
  <c r="M317" i="28"/>
  <c r="M321" i="28"/>
  <c r="M164" i="28"/>
  <c r="M180" i="28"/>
  <c r="M188" i="28"/>
  <c r="M212" i="28"/>
  <c r="M228" i="28"/>
  <c r="M216" i="28"/>
  <c r="M232" i="28"/>
  <c r="M168" i="28"/>
  <c r="M176" i="28"/>
  <c r="M184" i="28"/>
  <c r="M192" i="28"/>
  <c r="M204" i="28"/>
  <c r="M220" i="28"/>
  <c r="M236" i="28"/>
  <c r="M252" i="28"/>
  <c r="B18" i="28" l="1"/>
  <c r="B19" i="28" l="1"/>
  <c r="B20" i="28" l="1"/>
  <c r="B21" i="28" l="1"/>
  <c r="B3" i="31"/>
  <c r="B22" i="28" l="1"/>
  <c r="B23" i="28" l="1"/>
  <c r="B24" i="28" l="1"/>
  <c r="B25" i="28" l="1"/>
  <c r="B26" i="28" l="1"/>
  <c r="B27" i="28" l="1"/>
  <c r="B28" i="28" l="1"/>
  <c r="B29" i="28" l="1"/>
  <c r="B30" i="28" l="1"/>
  <c r="B31" i="28" l="1"/>
  <c r="B32" i="28" l="1"/>
  <c r="B33" i="28" l="1"/>
  <c r="B34" i="28" l="1"/>
  <c r="B35" i="28" l="1"/>
  <c r="B36" i="28" l="1"/>
  <c r="B37" i="28" l="1"/>
  <c r="B38" i="28" s="1"/>
  <c r="M148" i="28" l="1"/>
  <c r="M147" i="28"/>
  <c r="M146" i="28"/>
  <c r="M145" i="28"/>
  <c r="M144" i="28"/>
  <c r="M143" i="28"/>
  <c r="M141" i="28"/>
  <c r="M140" i="28"/>
  <c r="M139" i="28"/>
  <c r="M138" i="28"/>
  <c r="M137" i="28"/>
  <c r="M142" i="28"/>
  <c r="M160" i="28" l="1"/>
  <c r="M159" i="28"/>
  <c r="M158" i="28"/>
  <c r="M157" i="28"/>
  <c r="M156" i="28"/>
  <c r="M155" i="28"/>
  <c r="M154" i="28"/>
  <c r="M153" i="28"/>
  <c r="M152" i="28"/>
  <c r="M151" i="28"/>
  <c r="M150" i="28"/>
  <c r="M149" i="28"/>
  <c r="M136" i="28"/>
  <c r="M135" i="28"/>
  <c r="M134" i="28"/>
  <c r="M132" i="28"/>
  <c r="M131" i="28"/>
  <c r="M130" i="28"/>
  <c r="M129" i="28"/>
  <c r="M128" i="28"/>
  <c r="M127" i="28"/>
  <c r="M126" i="28"/>
  <c r="M125" i="28"/>
  <c r="M124" i="28"/>
  <c r="M122" i="28"/>
  <c r="M121" i="28"/>
  <c r="M120" i="28"/>
  <c r="M118" i="28"/>
  <c r="M117" i="28"/>
  <c r="M116" i="28"/>
  <c r="M115" i="28"/>
  <c r="M114" i="28"/>
  <c r="M113" i="28" l="1"/>
  <c r="M119" i="28"/>
  <c r="M123" i="28"/>
  <c r="M133" i="28"/>
  <c r="M112" i="28" l="1"/>
  <c r="M111" i="28"/>
  <c r="M110" i="28"/>
  <c r="M109" i="28"/>
  <c r="M108" i="28"/>
  <c r="M107" i="28"/>
  <c r="M106" i="28"/>
  <c r="M105" i="28"/>
  <c r="M104" i="28"/>
  <c r="M103" i="28"/>
  <c r="M102" i="28"/>
  <c r="M101" i="28"/>
  <c r="M100" i="28"/>
  <c r="M99" i="28"/>
  <c r="M98" i="28"/>
  <c r="M97" i="28"/>
  <c r="M96" i="28"/>
  <c r="M95" i="28"/>
  <c r="M94" i="28"/>
  <c r="M93" i="28"/>
  <c r="M92" i="28"/>
  <c r="M91" i="28"/>
  <c r="M90" i="28"/>
  <c r="M89" i="28"/>
  <c r="M88" i="28"/>
  <c r="M87" i="28"/>
  <c r="M86" i="28"/>
  <c r="M85" i="28"/>
  <c r="M84" i="28"/>
  <c r="M83" i="28"/>
  <c r="M82" i="28"/>
  <c r="M81" i="28"/>
  <c r="M80" i="28"/>
  <c r="M79" i="28"/>
  <c r="M78" i="28"/>
  <c r="M77" i="28"/>
  <c r="M76" i="28"/>
  <c r="M75" i="28"/>
  <c r="M74" i="28"/>
  <c r="M73" i="28"/>
  <c r="M72" i="28"/>
  <c r="M71" i="28"/>
  <c r="M70" i="28"/>
  <c r="M69" i="28"/>
  <c r="M68" i="28"/>
  <c r="M67" i="28"/>
  <c r="M66" i="28"/>
  <c r="M65" i="28"/>
  <c r="M64" i="28"/>
  <c r="M63" i="28"/>
  <c r="M62" i="28"/>
  <c r="M61" i="28"/>
  <c r="M60" i="28"/>
  <c r="M59" i="28"/>
  <c r="M58" i="28"/>
  <c r="M57" i="28"/>
  <c r="M56" i="28"/>
  <c r="M55" i="28"/>
  <c r="M54" i="28"/>
  <c r="M53" i="28"/>
  <c r="M52" i="28"/>
  <c r="M51" i="28"/>
  <c r="M50" i="28"/>
  <c r="M49" i="28"/>
  <c r="M48" i="28"/>
  <c r="M47" i="28"/>
  <c r="M46" i="28"/>
  <c r="M45" i="28"/>
  <c r="M43" i="28"/>
  <c r="M41" i="28"/>
  <c r="M39" i="28"/>
  <c r="M37" i="28"/>
  <c r="M35" i="28"/>
  <c r="M33" i="28"/>
  <c r="M31" i="28"/>
  <c r="M29" i="28"/>
  <c r="M27" i="28"/>
  <c r="M25" i="28"/>
  <c r="M23" i="28"/>
  <c r="M21" i="28"/>
  <c r="M19" i="28"/>
  <c r="M17" i="28"/>
  <c r="M18" i="28" l="1"/>
  <c r="M20" i="28"/>
  <c r="M22" i="28"/>
  <c r="M24" i="28"/>
  <c r="M26" i="28"/>
  <c r="M28" i="28"/>
  <c r="M30" i="28"/>
  <c r="M32" i="28"/>
  <c r="M34" i="28"/>
  <c r="M36" i="28"/>
  <c r="M38" i="28"/>
  <c r="M40" i="28"/>
  <c r="M42" i="28"/>
  <c r="M44" i="28"/>
  <c r="F38" i="28" l="1"/>
  <c r="E38" i="28"/>
  <c r="D38" i="28"/>
  <c r="I38" i="68" s="1"/>
  <c r="J38" i="68" s="1"/>
  <c r="K38" i="68" s="1"/>
  <c r="D27" i="28"/>
  <c r="I27" i="68" s="1"/>
  <c r="J27" i="68" s="1"/>
  <c r="K27" i="68" s="1"/>
  <c r="D17" i="28"/>
  <c r="D35" i="28"/>
  <c r="I35" i="68" s="1"/>
  <c r="J35" i="68" s="1"/>
  <c r="K35" i="68" s="1"/>
  <c r="D36" i="28"/>
  <c r="I36" i="68" s="1"/>
  <c r="J36" i="68" s="1"/>
  <c r="K36" i="68" s="1"/>
  <c r="D32" i="28"/>
  <c r="I32" i="68" s="1"/>
  <c r="J32" i="68" s="1"/>
  <c r="K32" i="68" s="1"/>
  <c r="D28" i="28"/>
  <c r="I28" i="68" s="1"/>
  <c r="J28" i="68" s="1"/>
  <c r="K28" i="68" s="1"/>
  <c r="D24" i="28"/>
  <c r="I24" i="68" s="1"/>
  <c r="J24" i="68" s="1"/>
  <c r="K24" i="68" s="1"/>
  <c r="D20" i="28"/>
  <c r="D31" i="28"/>
  <c r="I31" i="68" s="1"/>
  <c r="J31" i="68" s="1"/>
  <c r="K31" i="68" s="1"/>
  <c r="D23" i="28"/>
  <c r="D19" i="28"/>
  <c r="D34" i="28"/>
  <c r="I34" i="68" s="1"/>
  <c r="J34" i="68" s="1"/>
  <c r="K34" i="68" s="1"/>
  <c r="D30" i="28"/>
  <c r="I30" i="68" s="1"/>
  <c r="J30" i="68" s="1"/>
  <c r="K30" i="68" s="1"/>
  <c r="D26" i="28"/>
  <c r="I26" i="68" s="1"/>
  <c r="J26" i="68" s="1"/>
  <c r="K26" i="68" s="1"/>
  <c r="D22" i="28"/>
  <c r="D18" i="28"/>
  <c r="D37" i="28"/>
  <c r="I37" i="68" s="1"/>
  <c r="J37" i="68" s="1"/>
  <c r="K37" i="68" s="1"/>
  <c r="D33" i="28"/>
  <c r="I33" i="68" s="1"/>
  <c r="J33" i="68" s="1"/>
  <c r="K33" i="68" s="1"/>
  <c r="D29" i="28"/>
  <c r="I29" i="68" s="1"/>
  <c r="J29" i="68" s="1"/>
  <c r="K29" i="68" s="1"/>
  <c r="D25" i="28"/>
  <c r="I25" i="68" s="1"/>
  <c r="J25" i="68" s="1"/>
  <c r="K25" i="68" s="1"/>
  <c r="D21" i="28"/>
  <c r="E37" i="28"/>
  <c r="F35" i="28"/>
  <c r="F33" i="28"/>
  <c r="F31" i="28"/>
  <c r="E29" i="28"/>
  <c r="F27" i="28"/>
  <c r="F25" i="28"/>
  <c r="F23" i="28"/>
  <c r="E21" i="28"/>
  <c r="F19" i="28"/>
  <c r="F17" i="28"/>
  <c r="F37" i="28"/>
  <c r="E35" i="28"/>
  <c r="E33" i="28"/>
  <c r="E31" i="28"/>
  <c r="F29" i="28"/>
  <c r="E27" i="28"/>
  <c r="E25" i="28"/>
  <c r="E23" i="28"/>
  <c r="F21" i="28"/>
  <c r="E19" i="28"/>
  <c r="E17" i="28"/>
  <c r="F36" i="28"/>
  <c r="F34" i="28"/>
  <c r="F32" i="28"/>
  <c r="F30" i="28"/>
  <c r="F28" i="28"/>
  <c r="F26" i="28"/>
  <c r="F24" i="28"/>
  <c r="F22" i="28"/>
  <c r="E20" i="28"/>
  <c r="F18" i="28"/>
  <c r="E36" i="28"/>
  <c r="E34" i="28"/>
  <c r="E32" i="28"/>
  <c r="E30" i="28"/>
  <c r="E28" i="28"/>
  <c r="E26" i="28"/>
  <c r="E24" i="28"/>
  <c r="E22" i="28"/>
  <c r="F20" i="28"/>
  <c r="E18" i="28"/>
  <c r="I39" i="68" l="1"/>
  <c r="I40" i="68" s="1"/>
  <c r="J40" i="68" s="1"/>
  <c r="K40" i="68" s="1"/>
  <c r="K16" i="77"/>
  <c r="K14" i="77"/>
  <c r="K23" i="77"/>
  <c r="K25" i="77"/>
  <c r="K26" i="77" s="1"/>
  <c r="K27" i="77" s="1"/>
  <c r="K28" i="77" s="1"/>
  <c r="K29" i="77" s="1"/>
  <c r="K30" i="77" s="1"/>
  <c r="K31" i="77" s="1"/>
  <c r="K32" i="77" s="1"/>
  <c r="K33" i="77" s="1"/>
  <c r="K34" i="77" s="1"/>
  <c r="K35" i="77" s="1"/>
  <c r="K36" i="77" s="1"/>
  <c r="K37" i="77" s="1"/>
  <c r="K38" i="77" s="1"/>
  <c r="K39" i="77" s="1"/>
  <c r="K40" i="77" s="1"/>
  <c r="K41" i="77" s="1"/>
  <c r="K42" i="77" s="1"/>
  <c r="K18" i="77"/>
  <c r="K13" i="77"/>
  <c r="K24" i="77"/>
  <c r="K22" i="77"/>
  <c r="K15" i="77"/>
  <c r="K17" i="77"/>
  <c r="K19" i="77"/>
  <c r="K20" i="77"/>
  <c r="K21" i="77"/>
  <c r="J9" i="31"/>
  <c r="B8" i="31" s="1"/>
  <c r="J39" i="68" l="1"/>
  <c r="K39" i="68" s="1"/>
  <c r="K50" i="77"/>
  <c r="J8" i="31"/>
  <c r="I133" i="31" l="1"/>
  <c r="I25" i="31"/>
  <c r="I14" i="31"/>
  <c r="K9" i="31"/>
  <c r="I134" i="31" l="1"/>
  <c r="I145" i="31"/>
  <c r="I26" i="31"/>
  <c r="I15" i="31"/>
  <c r="I37" i="31"/>
  <c r="I157" i="31" l="1"/>
  <c r="I49" i="31"/>
  <c r="I146" i="31"/>
  <c r="I38" i="31"/>
  <c r="I135" i="31"/>
  <c r="I27" i="31"/>
  <c r="I16" i="31"/>
  <c r="I147" i="31" l="1"/>
  <c r="I39" i="31"/>
  <c r="I169" i="31"/>
  <c r="I61" i="31"/>
  <c r="I136" i="31"/>
  <c r="I17" i="31"/>
  <c r="I28" i="31"/>
  <c r="I158" i="31"/>
  <c r="I50" i="31"/>
  <c r="I170" i="31" l="1"/>
  <c r="I62" i="31"/>
  <c r="I148" i="31"/>
  <c r="I40" i="31"/>
  <c r="I159" i="31"/>
  <c r="I51" i="31"/>
  <c r="I137" i="31"/>
  <c r="I29" i="31"/>
  <c r="I18" i="31"/>
  <c r="I181" i="31"/>
  <c r="I73" i="31"/>
  <c r="I193" i="31" l="1"/>
  <c r="I138" i="31"/>
  <c r="I19" i="31"/>
  <c r="I30" i="31"/>
  <c r="I182" i="31"/>
  <c r="I74" i="31"/>
  <c r="I85" i="31"/>
  <c r="I149" i="31"/>
  <c r="I41" i="31"/>
  <c r="I171" i="31"/>
  <c r="I63" i="31"/>
  <c r="I160" i="31"/>
  <c r="I52" i="31"/>
  <c r="I194" i="31" l="1"/>
  <c r="I205" i="31"/>
  <c r="I172" i="31"/>
  <c r="I64" i="31"/>
  <c r="I161" i="31"/>
  <c r="I53" i="31"/>
  <c r="I97" i="31"/>
  <c r="I150" i="31"/>
  <c r="I42" i="31"/>
  <c r="I183" i="31"/>
  <c r="I75" i="31"/>
  <c r="I86" i="31"/>
  <c r="I139" i="31"/>
  <c r="I31" i="31"/>
  <c r="I20" i="31"/>
  <c r="I206" i="31" l="1"/>
  <c r="I217" i="31"/>
  <c r="I195" i="31"/>
  <c r="I151" i="31"/>
  <c r="I43" i="31"/>
  <c r="I87" i="31"/>
  <c r="I162" i="31"/>
  <c r="I54" i="31"/>
  <c r="I109" i="31"/>
  <c r="I184" i="31"/>
  <c r="I76" i="31"/>
  <c r="I140" i="31"/>
  <c r="I21" i="31"/>
  <c r="I32" i="31"/>
  <c r="I98" i="31"/>
  <c r="I173" i="31"/>
  <c r="I65" i="31"/>
  <c r="I218" i="31" l="1"/>
  <c r="I196" i="31"/>
  <c r="I207" i="31"/>
  <c r="I152" i="31"/>
  <c r="I44" i="31"/>
  <c r="I174" i="31"/>
  <c r="I66" i="31"/>
  <c r="I185" i="31"/>
  <c r="I77" i="31"/>
  <c r="I110" i="31"/>
  <c r="I141" i="31"/>
  <c r="I33" i="31"/>
  <c r="I22" i="31"/>
  <c r="I88" i="31"/>
  <c r="I121" i="31"/>
  <c r="I99" i="31"/>
  <c r="I163" i="31"/>
  <c r="I55" i="31"/>
  <c r="I208" i="31" l="1"/>
  <c r="I197" i="31"/>
  <c r="I219" i="31"/>
  <c r="I175" i="31"/>
  <c r="I67" i="31"/>
  <c r="I100" i="31"/>
  <c r="I153" i="31"/>
  <c r="I45" i="31"/>
  <c r="I122" i="31"/>
  <c r="I164" i="31"/>
  <c r="I56" i="31"/>
  <c r="I111" i="31"/>
  <c r="I142" i="31"/>
  <c r="I23" i="31"/>
  <c r="I34" i="31"/>
  <c r="I89" i="31"/>
  <c r="I186" i="31"/>
  <c r="I78" i="31"/>
  <c r="I209" i="31" l="1"/>
  <c r="I220" i="31"/>
  <c r="I198" i="31"/>
  <c r="I90" i="31"/>
  <c r="I143" i="31"/>
  <c r="I35" i="31"/>
  <c r="I24" i="31"/>
  <c r="I123" i="31"/>
  <c r="I187" i="31"/>
  <c r="I79" i="31"/>
  <c r="I101" i="31"/>
  <c r="I154" i="31"/>
  <c r="I46" i="31"/>
  <c r="I176" i="31"/>
  <c r="I68" i="31"/>
  <c r="I165" i="31"/>
  <c r="I57" i="31"/>
  <c r="I112" i="31"/>
  <c r="I210" i="31" l="1"/>
  <c r="I221" i="31"/>
  <c r="I199" i="31"/>
  <c r="I177" i="31"/>
  <c r="I69" i="31"/>
  <c r="I188" i="31"/>
  <c r="I80" i="31"/>
  <c r="I113" i="31"/>
  <c r="I91" i="31"/>
  <c r="I155" i="31"/>
  <c r="I47" i="31"/>
  <c r="I124" i="31"/>
  <c r="I166" i="31"/>
  <c r="I58" i="31"/>
  <c r="I144" i="31"/>
  <c r="I36" i="31"/>
  <c r="I102" i="31"/>
  <c r="I200" i="31" l="1"/>
  <c r="I222" i="31"/>
  <c r="I211" i="31"/>
  <c r="I114" i="31"/>
  <c r="I103" i="31"/>
  <c r="I189" i="31"/>
  <c r="I81" i="31"/>
  <c r="I156" i="31"/>
  <c r="I48" i="31"/>
  <c r="I178" i="31"/>
  <c r="I70" i="31"/>
  <c r="I167" i="31"/>
  <c r="I59" i="31"/>
  <c r="I125" i="31"/>
  <c r="I92" i="31"/>
  <c r="I223" i="31" l="1"/>
  <c r="I201" i="31"/>
  <c r="I212" i="31"/>
  <c r="I104" i="31"/>
  <c r="I190" i="31"/>
  <c r="I82" i="31"/>
  <c r="I93" i="31"/>
  <c r="I179" i="31"/>
  <c r="I71" i="31"/>
  <c r="I168" i="31"/>
  <c r="I60" i="31"/>
  <c r="I115" i="31"/>
  <c r="I126" i="31"/>
  <c r="I202" i="31" l="1"/>
  <c r="I224" i="31"/>
  <c r="I213" i="31"/>
  <c r="I127" i="31"/>
  <c r="I191" i="31"/>
  <c r="I83" i="31"/>
  <c r="I105" i="31"/>
  <c r="I94" i="31"/>
  <c r="I180" i="31"/>
  <c r="I72" i="31"/>
  <c r="I116" i="31"/>
  <c r="I225" i="31" l="1"/>
  <c r="I203" i="31"/>
  <c r="I214" i="31"/>
  <c r="I117" i="31"/>
  <c r="I95" i="31"/>
  <c r="I128" i="31"/>
  <c r="I192" i="31"/>
  <c r="I84" i="31"/>
  <c r="I106" i="31"/>
  <c r="I204" i="31" l="1"/>
  <c r="I226" i="31"/>
  <c r="I215" i="31"/>
  <c r="I118" i="31"/>
  <c r="I107" i="31"/>
  <c r="I96" i="31"/>
  <c r="I129" i="31"/>
  <c r="I227" i="31" l="1"/>
  <c r="I216" i="31"/>
  <c r="I119" i="31"/>
  <c r="I108" i="31"/>
  <c r="I130" i="31"/>
  <c r="I228" i="31" l="1"/>
  <c r="I131" i="31"/>
  <c r="I120" i="31"/>
  <c r="I132" i="31" l="1"/>
  <c r="J13" i="31" l="1"/>
  <c r="B13" i="25" s="1"/>
  <c r="B14" i="31"/>
  <c r="L16" i="31"/>
  <c r="L17" i="31" l="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B15" i="31"/>
  <c r="J14" i="31"/>
  <c r="O13" i="25"/>
  <c r="B14" i="25"/>
  <c r="BI13" i="25" l="1"/>
  <c r="BW13" i="25"/>
  <c r="BV13" i="25"/>
  <c r="BT13" i="25"/>
  <c r="BS13" i="25"/>
  <c r="BR13" i="25"/>
  <c r="BP13" i="25"/>
  <c r="BN13" i="25"/>
  <c r="BM13" i="25"/>
  <c r="BK13" i="25"/>
  <c r="BH13" i="25"/>
  <c r="BY13" i="25"/>
  <c r="BG13" i="25"/>
  <c r="B15" i="25"/>
  <c r="O14" i="25"/>
  <c r="DA13" i="25"/>
  <c r="DB13" i="25" s="1"/>
  <c r="J15" i="31"/>
  <c r="B16" i="31"/>
  <c r="L28" i="31"/>
  <c r="BI14" i="25" l="1"/>
  <c r="BW14" i="25"/>
  <c r="BV14" i="25"/>
  <c r="BT14" i="25"/>
  <c r="BS14" i="25"/>
  <c r="BR14" i="25"/>
  <c r="BP14" i="25"/>
  <c r="BN14" i="25"/>
  <c r="BM14" i="25"/>
  <c r="BK14" i="25"/>
  <c r="BH14" i="25"/>
  <c r="BY14" i="25"/>
  <c r="BG14" i="25"/>
  <c r="B17" i="31"/>
  <c r="J16" i="31"/>
  <c r="DA14" i="25"/>
  <c r="DB14" i="25" s="1"/>
  <c r="L29" i="31"/>
  <c r="O15" i="25"/>
  <c r="B16" i="25"/>
  <c r="BI15" i="25" l="1"/>
  <c r="BW15" i="25"/>
  <c r="BV15" i="25"/>
  <c r="BT15" i="25"/>
  <c r="BS15" i="25"/>
  <c r="BR15" i="25"/>
  <c r="BP15" i="25"/>
  <c r="BN15" i="25"/>
  <c r="BM15" i="25"/>
  <c r="BK15" i="25"/>
  <c r="BH15" i="25"/>
  <c r="BY15" i="25"/>
  <c r="BG15" i="25"/>
  <c r="L30" i="31"/>
  <c r="J17" i="31"/>
  <c r="B18" i="31"/>
  <c r="DA15" i="25"/>
  <c r="DB15" i="25" s="1"/>
  <c r="O16" i="25"/>
  <c r="B17" i="25"/>
  <c r="BI16" i="25" l="1"/>
  <c r="BV16" i="25"/>
  <c r="BK16" i="25"/>
  <c r="BN16" i="25"/>
  <c r="BM16" i="25"/>
  <c r="BH16" i="25"/>
  <c r="BW16" i="25"/>
  <c r="BT16" i="25"/>
  <c r="BS16" i="25"/>
  <c r="BR16" i="25"/>
  <c r="BP16" i="25"/>
  <c r="BY16" i="25"/>
  <c r="BG16" i="25"/>
  <c r="B18" i="25"/>
  <c r="O17" i="25"/>
  <c r="DA16" i="25"/>
  <c r="DB16" i="25" s="1"/>
  <c r="J18" i="31"/>
  <c r="B19" i="31"/>
  <c r="L31" i="31"/>
  <c r="BI17" i="25" l="1"/>
  <c r="BW17" i="25"/>
  <c r="BV17" i="25"/>
  <c r="BT17" i="25"/>
  <c r="BS17" i="25"/>
  <c r="BR17" i="25"/>
  <c r="BP17" i="25"/>
  <c r="BN17" i="25"/>
  <c r="BM17" i="25"/>
  <c r="BK17" i="25"/>
  <c r="BH17" i="25"/>
  <c r="BY17" i="25"/>
  <c r="BG17" i="25"/>
  <c r="B20" i="31"/>
  <c r="J19" i="31"/>
  <c r="DA17" i="25"/>
  <c r="DB17" i="25" s="1"/>
  <c r="L32" i="31"/>
  <c r="B19" i="25"/>
  <c r="O18" i="25"/>
  <c r="BI18" i="25" l="1"/>
  <c r="BW18" i="25"/>
  <c r="BV18" i="25"/>
  <c r="BT18" i="25"/>
  <c r="BS18" i="25"/>
  <c r="BR18" i="25"/>
  <c r="BP18" i="25"/>
  <c r="BN18" i="25"/>
  <c r="BM18" i="25"/>
  <c r="BK18" i="25"/>
  <c r="BH18" i="25"/>
  <c r="BY18" i="25"/>
  <c r="BG18" i="25"/>
  <c r="O19" i="25"/>
  <c r="B20" i="25"/>
  <c r="DA18" i="25"/>
  <c r="DB18" i="25" s="1"/>
  <c r="L33" i="31"/>
  <c r="J20" i="31"/>
  <c r="B21" i="31"/>
  <c r="BI19" i="25" l="1"/>
  <c r="BW19" i="25"/>
  <c r="BV19" i="25"/>
  <c r="BT19" i="25"/>
  <c r="BS19" i="25"/>
  <c r="BR19" i="25"/>
  <c r="BP19" i="25"/>
  <c r="BN19" i="25"/>
  <c r="BM19" i="25"/>
  <c r="BK19" i="25"/>
  <c r="BH19" i="25"/>
  <c r="BY19" i="25"/>
  <c r="BG19" i="25"/>
  <c r="B22" i="31"/>
  <c r="J21" i="31"/>
  <c r="B21" i="25"/>
  <c r="O20" i="25"/>
  <c r="L34" i="31"/>
  <c r="DA19" i="25"/>
  <c r="DB19" i="25" s="1"/>
  <c r="BI20" i="25" l="1"/>
  <c r="BW20" i="25"/>
  <c r="BT20" i="25"/>
  <c r="BS20" i="25"/>
  <c r="BR20" i="25"/>
  <c r="BP20" i="25"/>
  <c r="BN20" i="25"/>
  <c r="BM20" i="25"/>
  <c r="BH20" i="25"/>
  <c r="BV20" i="25"/>
  <c r="BK20" i="25"/>
  <c r="BY20" i="25"/>
  <c r="BG20" i="25"/>
  <c r="DA20" i="25"/>
  <c r="DB20" i="25" s="1"/>
  <c r="J22" i="31"/>
  <c r="B23" i="31"/>
  <c r="B22" i="25"/>
  <c r="O21" i="25"/>
  <c r="L35" i="31"/>
  <c r="BI21" i="25" l="1"/>
  <c r="BW21" i="25"/>
  <c r="BV21" i="25"/>
  <c r="BT21" i="25"/>
  <c r="BS21" i="25"/>
  <c r="BR21" i="25"/>
  <c r="BP21" i="25"/>
  <c r="BN21" i="25"/>
  <c r="BM21" i="25"/>
  <c r="BK21" i="25"/>
  <c r="BH21" i="25"/>
  <c r="BY21" i="25"/>
  <c r="BG21" i="25"/>
  <c r="L36" i="31"/>
  <c r="L37" i="31" s="1"/>
  <c r="L38" i="31" s="1"/>
  <c r="L39" i="31" s="1"/>
  <c r="L40" i="31" s="1"/>
  <c r="L41" i="31" s="1"/>
  <c r="L42" i="31" s="1"/>
  <c r="O22" i="25"/>
  <c r="B23" i="25"/>
  <c r="J23" i="31"/>
  <c r="B24" i="31"/>
  <c r="DA21" i="25"/>
  <c r="DB21" i="25" s="1"/>
  <c r="BI22" i="25" l="1"/>
  <c r="BW22" i="25"/>
  <c r="BV22" i="25"/>
  <c r="BT22" i="25"/>
  <c r="BS22" i="25"/>
  <c r="BR22" i="25"/>
  <c r="BP22" i="25"/>
  <c r="BN22" i="25"/>
  <c r="BM22" i="25"/>
  <c r="BK22" i="25"/>
  <c r="BH22" i="25"/>
  <c r="BY22" i="25"/>
  <c r="BG22" i="25"/>
  <c r="B24" i="25"/>
  <c r="O23" i="25"/>
  <c r="DA22" i="25"/>
  <c r="DB22" i="25" s="1"/>
  <c r="B25" i="31"/>
  <c r="J24" i="31"/>
  <c r="BI23" i="25" l="1"/>
  <c r="BW23" i="25"/>
  <c r="BV23" i="25"/>
  <c r="BT23" i="25"/>
  <c r="BS23" i="25"/>
  <c r="BR23" i="25"/>
  <c r="BP23" i="25"/>
  <c r="BN23" i="25"/>
  <c r="BM23" i="25"/>
  <c r="BK23" i="25"/>
  <c r="BH23" i="25"/>
  <c r="BY23" i="25"/>
  <c r="BG23" i="25"/>
  <c r="DA23" i="25"/>
  <c r="DB23" i="25" s="1"/>
  <c r="O24" i="25"/>
  <c r="B25" i="25"/>
  <c r="J25" i="31"/>
  <c r="B26" i="31"/>
  <c r="BI24" i="25" l="1"/>
  <c r="BV24" i="25"/>
  <c r="BT24" i="25"/>
  <c r="BS24" i="25"/>
  <c r="BR24" i="25"/>
  <c r="BK24" i="25"/>
  <c r="BW24" i="25"/>
  <c r="BP24" i="25"/>
  <c r="BN24" i="25"/>
  <c r="BM24" i="25"/>
  <c r="BH24" i="25"/>
  <c r="BY24" i="25"/>
  <c r="BG24" i="25"/>
  <c r="O25" i="25"/>
  <c r="B26" i="25"/>
  <c r="B27" i="31"/>
  <c r="J26" i="31"/>
  <c r="DA24" i="25"/>
  <c r="DB24" i="25" s="1"/>
  <c r="BI25" i="25" l="1"/>
  <c r="BW25" i="25"/>
  <c r="BV25" i="25"/>
  <c r="BT25" i="25"/>
  <c r="BS25" i="25"/>
  <c r="BR25" i="25"/>
  <c r="BP25" i="25"/>
  <c r="BN25" i="25"/>
  <c r="BM25" i="25"/>
  <c r="BK25" i="25"/>
  <c r="BH25" i="25"/>
  <c r="BY25" i="25"/>
  <c r="BG25" i="25"/>
  <c r="B28" i="31"/>
  <c r="J27" i="31"/>
  <c r="B27" i="25"/>
  <c r="O26" i="25"/>
  <c r="DA25" i="25"/>
  <c r="DB25" i="25" s="1"/>
  <c r="BI26" i="25" l="1"/>
  <c r="BW26" i="25"/>
  <c r="BV26" i="25"/>
  <c r="BT26" i="25"/>
  <c r="BS26" i="25"/>
  <c r="BR26" i="25"/>
  <c r="BP26" i="25"/>
  <c r="BN26" i="25"/>
  <c r="BM26" i="25"/>
  <c r="BK26" i="25"/>
  <c r="BH26" i="25"/>
  <c r="BY26" i="25"/>
  <c r="BG26" i="25"/>
  <c r="DA26" i="25"/>
  <c r="DB26" i="25" s="1"/>
  <c r="J28" i="31"/>
  <c r="B29" i="31"/>
  <c r="O27" i="25"/>
  <c r="B28" i="25"/>
  <c r="BI27" i="25" l="1"/>
  <c r="BW27" i="25"/>
  <c r="BV27" i="25"/>
  <c r="BT27" i="25"/>
  <c r="BS27" i="25"/>
  <c r="BR27" i="25"/>
  <c r="BP27" i="25"/>
  <c r="BN27" i="25"/>
  <c r="BM27" i="25"/>
  <c r="BK27" i="25"/>
  <c r="BH27" i="25"/>
  <c r="BY27" i="25"/>
  <c r="BG27" i="25"/>
  <c r="DA27" i="25"/>
  <c r="DB27" i="25" s="1"/>
  <c r="B29" i="25"/>
  <c r="O28" i="25"/>
  <c r="B30" i="31"/>
  <c r="J29" i="31"/>
  <c r="BI28" i="25" l="1"/>
  <c r="BW28" i="25"/>
  <c r="BT28" i="25"/>
  <c r="BP28" i="25"/>
  <c r="BN28" i="25"/>
  <c r="BM28" i="25"/>
  <c r="BK28" i="25"/>
  <c r="BH28" i="25"/>
  <c r="BV28" i="25"/>
  <c r="BS28" i="25"/>
  <c r="BR28" i="25"/>
  <c r="BY28" i="25"/>
  <c r="BG28" i="25"/>
  <c r="B30" i="25"/>
  <c r="O29" i="25"/>
  <c r="DA28" i="25"/>
  <c r="DB28" i="25" s="1"/>
  <c r="B31" i="31"/>
  <c r="J30" i="31"/>
  <c r="BI29" i="25" l="1"/>
  <c r="BW29" i="25"/>
  <c r="BV29" i="25"/>
  <c r="BT29" i="25"/>
  <c r="BS29" i="25"/>
  <c r="BR29" i="25"/>
  <c r="BP29" i="25"/>
  <c r="BN29" i="25"/>
  <c r="BM29" i="25"/>
  <c r="BK29" i="25"/>
  <c r="BH29" i="25"/>
  <c r="BY29" i="25"/>
  <c r="BG29" i="25"/>
  <c r="B32" i="31"/>
  <c r="J31" i="31"/>
  <c r="DA29" i="25"/>
  <c r="DB29" i="25" s="1"/>
  <c r="O30" i="25"/>
  <c r="B31" i="25"/>
  <c r="BI30" i="25" l="1"/>
  <c r="BW30" i="25"/>
  <c r="BV30" i="25"/>
  <c r="BT30" i="25"/>
  <c r="BS30" i="25"/>
  <c r="BR30" i="25"/>
  <c r="BP30" i="25"/>
  <c r="BN30" i="25"/>
  <c r="BM30" i="25"/>
  <c r="BK30" i="25"/>
  <c r="BH30" i="25"/>
  <c r="BY30" i="25"/>
  <c r="BG30" i="25"/>
  <c r="O31" i="25"/>
  <c r="B32" i="25"/>
  <c r="DA30" i="25"/>
  <c r="DB30" i="25" s="1"/>
  <c r="J32" i="31"/>
  <c r="B33" i="31"/>
  <c r="AQ31" i="25" l="1"/>
  <c r="AN31" i="25"/>
  <c r="AM31" i="25"/>
  <c r="AL31" i="25"/>
  <c r="DA31" i="25"/>
  <c r="DB31" i="25" s="1"/>
  <c r="BI31" i="25"/>
  <c r="BG31" i="25"/>
  <c r="BW31" i="25"/>
  <c r="BT31" i="25"/>
  <c r="BM31" i="25"/>
  <c r="BS31" i="25"/>
  <c r="BN31" i="25"/>
  <c r="BP31" i="25"/>
  <c r="BK31" i="25"/>
  <c r="BH31" i="25"/>
  <c r="BY31" i="25"/>
  <c r="BR31" i="25"/>
  <c r="BV31" i="25"/>
  <c r="B33" i="25"/>
  <c r="O32" i="25"/>
  <c r="B34" i="31"/>
  <c r="J33" i="31"/>
  <c r="DA32" i="25" l="1"/>
  <c r="DB32" i="25" s="1"/>
  <c r="BI32" i="25"/>
  <c r="BG32" i="25"/>
  <c r="BW32" i="25"/>
  <c r="BT32" i="25"/>
  <c r="BM32" i="25"/>
  <c r="BN32" i="25"/>
  <c r="BS32" i="25"/>
  <c r="BP32" i="25"/>
  <c r="BK32" i="25"/>
  <c r="BH32" i="25"/>
  <c r="BY32" i="25"/>
  <c r="BR32" i="25"/>
  <c r="BV32" i="25"/>
  <c r="B34" i="25"/>
  <c r="O33" i="25"/>
  <c r="B35" i="31"/>
  <c r="J34" i="31"/>
  <c r="DA33" i="25" l="1"/>
  <c r="DB33" i="25" s="1"/>
  <c r="BI33" i="25"/>
  <c r="BG33" i="25"/>
  <c r="BW33" i="25"/>
  <c r="BT33" i="25"/>
  <c r="BM33" i="25"/>
  <c r="BN33" i="25"/>
  <c r="BS33" i="25"/>
  <c r="BP33" i="25"/>
  <c r="BK33" i="25"/>
  <c r="BH33" i="25"/>
  <c r="BY33" i="25"/>
  <c r="BR33" i="25"/>
  <c r="BV33" i="25"/>
  <c r="O34" i="25"/>
  <c r="B35" i="25"/>
  <c r="J35" i="31"/>
  <c r="B36" i="31"/>
  <c r="BG34" i="25" l="1"/>
  <c r="BI34" i="25"/>
  <c r="DA34" i="25"/>
  <c r="DB34" i="25" s="1"/>
  <c r="BY34" i="25"/>
  <c r="BW34" i="25"/>
  <c r="BT34" i="25"/>
  <c r="BM34" i="25"/>
  <c r="BS34" i="25"/>
  <c r="BN34" i="25"/>
  <c r="BP34" i="25"/>
  <c r="BK34" i="25"/>
  <c r="BH34" i="25"/>
  <c r="BR34" i="25"/>
  <c r="BV34" i="25"/>
  <c r="B36" i="25"/>
  <c r="O35" i="25"/>
  <c r="B37" i="31"/>
  <c r="J36" i="31"/>
  <c r="BT35" i="25" l="1"/>
  <c r="BM35" i="25"/>
  <c r="BH35" i="25"/>
  <c r="BV35" i="25"/>
  <c r="BI35" i="25"/>
  <c r="DA35" i="25"/>
  <c r="DB35" i="25" s="1"/>
  <c r="BY35" i="25"/>
  <c r="BS35" i="25"/>
  <c r="BK35" i="25"/>
  <c r="BG35" i="25"/>
  <c r="BN35" i="25"/>
  <c r="BW35" i="25"/>
  <c r="BP35" i="25"/>
  <c r="BR35" i="25"/>
  <c r="O36" i="25"/>
  <c r="B37" i="25"/>
  <c r="B38" i="31"/>
  <c r="J37" i="31"/>
  <c r="DA36" i="25" l="1"/>
  <c r="DB36" i="25" s="1"/>
  <c r="BY36" i="25"/>
  <c r="BS36" i="25"/>
  <c r="BK36" i="25"/>
  <c r="BG36" i="25"/>
  <c r="BM36" i="25"/>
  <c r="BW36" i="25"/>
  <c r="BP36" i="25"/>
  <c r="BT36" i="25"/>
  <c r="BH36" i="25"/>
  <c r="BV36" i="25"/>
  <c r="BN36" i="25"/>
  <c r="BI36" i="25"/>
  <c r="BR36" i="25"/>
  <c r="B38" i="25"/>
  <c r="O37" i="25"/>
  <c r="B39" i="31"/>
  <c r="J38" i="31"/>
  <c r="DA37" i="25" l="1"/>
  <c r="DB37" i="25" s="1"/>
  <c r="BW37" i="25"/>
  <c r="BP37" i="25"/>
  <c r="BJ37" i="25"/>
  <c r="BS37" i="25"/>
  <c r="BG37" i="25"/>
  <c r="BV37" i="25"/>
  <c r="BN37" i="25"/>
  <c r="BI37" i="25"/>
  <c r="BY37" i="25"/>
  <c r="BK37" i="25"/>
  <c r="BT37" i="25"/>
  <c r="BM37" i="25"/>
  <c r="BH37" i="25"/>
  <c r="BR37" i="25"/>
  <c r="O38" i="25"/>
  <c r="J39" i="31"/>
  <c r="B40" i="31"/>
  <c r="DA38" i="25" l="1"/>
  <c r="DB38" i="25" s="1"/>
  <c r="BV38" i="25"/>
  <c r="BN38" i="25"/>
  <c r="BI38" i="25"/>
  <c r="BW38" i="25"/>
  <c r="BJ38" i="25"/>
  <c r="BT38" i="25"/>
  <c r="BM38" i="25"/>
  <c r="BH38" i="25"/>
  <c r="BP38" i="25"/>
  <c r="BY38" i="25"/>
  <c r="BS38" i="25"/>
  <c r="BK38" i="25"/>
  <c r="BG38" i="25"/>
  <c r="BR38" i="25"/>
  <c r="B41" i="3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J48" i="31" l="1"/>
  <c r="B49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J72" i="31" l="1"/>
  <c r="B73" i="31"/>
  <c r="J73" i="31" l="1"/>
  <c r="B74" i="31"/>
  <c r="B75" i="31" l="1"/>
  <c r="J74" i="31"/>
  <c r="J75" i="31" l="1"/>
  <c r="B76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J85" i="31" l="1"/>
  <c r="B86" i="31"/>
  <c r="J86" i="31" l="1"/>
  <c r="B87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J105" i="31" l="1"/>
  <c r="B106" i="31"/>
  <c r="J106" i="31" l="1"/>
  <c r="B107" i="31"/>
  <c r="J107" i="31" l="1"/>
  <c r="B108" i="31"/>
  <c r="J108" i="31" l="1"/>
  <c r="B109" i="31"/>
  <c r="J109" i="31" l="1"/>
  <c r="B110" i="31"/>
  <c r="J110" i="31" l="1"/>
  <c r="B111" i="31"/>
  <c r="J111" i="31" l="1"/>
  <c r="B112" i="31"/>
  <c r="J112" i="31" l="1"/>
  <c r="B113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B135" i="31" l="1"/>
  <c r="J134" i="31"/>
  <c r="J135" i="31" l="1"/>
  <c r="B136" i="31"/>
  <c r="J136" i="31" l="1"/>
  <c r="B137" i="31"/>
  <c r="J137" i="31" l="1"/>
  <c r="B138" i="31"/>
  <c r="J138" i="31" l="1"/>
  <c r="B139" i="31"/>
  <c r="J139" i="31" l="1"/>
  <c r="B140" i="31"/>
  <c r="J140" i="31" l="1"/>
  <c r="B141" i="31"/>
  <c r="J141" i="31" l="1"/>
  <c r="B142" i="31"/>
  <c r="J142" i="31" l="1"/>
  <c r="B143" i="31"/>
  <c r="J143" i="31" l="1"/>
  <c r="B144" i="31"/>
  <c r="J144" i="31" l="1"/>
  <c r="B145" i="31"/>
  <c r="B146" i="31" l="1"/>
  <c r="J145" i="31"/>
  <c r="J146" i="31" l="1"/>
  <c r="B147" i="31"/>
  <c r="J147" i="31" l="1"/>
  <c r="B148" i="31"/>
  <c r="B149" i="31" l="1"/>
  <c r="J148" i="31"/>
  <c r="B150" i="31" l="1"/>
  <c r="J149" i="31"/>
  <c r="J150" i="31" l="1"/>
  <c r="B151" i="31"/>
  <c r="J151" i="31" l="1"/>
  <c r="B152" i="31"/>
  <c r="J152" i="31" l="1"/>
  <c r="B153" i="31"/>
  <c r="J153" i="31" l="1"/>
  <c r="B154" i="31"/>
  <c r="J154" i="31" l="1"/>
  <c r="B155" i="31"/>
  <c r="J155" i="31" l="1"/>
  <c r="B156" i="31"/>
  <c r="J156" i="31" l="1"/>
  <c r="B157" i="31"/>
  <c r="J157" i="31" l="1"/>
  <c r="B158" i="31"/>
  <c r="J158" i="31" l="1"/>
  <c r="B159" i="31"/>
  <c r="J159" i="31" l="1"/>
  <c r="B160" i="31"/>
  <c r="J160" i="31" l="1"/>
  <c r="B161" i="31"/>
  <c r="B162" i="31" l="1"/>
  <c r="J161" i="31"/>
  <c r="J162" i="31" l="1"/>
  <c r="B163" i="31"/>
  <c r="B164" i="31" l="1"/>
  <c r="J163" i="31"/>
  <c r="J164" i="31" l="1"/>
  <c r="B165" i="31"/>
  <c r="J165" i="31" l="1"/>
  <c r="B166" i="31"/>
  <c r="J166" i="31" l="1"/>
  <c r="B167" i="31"/>
  <c r="B168" i="31" l="1"/>
  <c r="J167" i="31"/>
  <c r="J168" i="31" l="1"/>
  <c r="B169" i="31"/>
  <c r="J169" i="31" l="1"/>
  <c r="B170" i="31"/>
  <c r="B171" i="31" l="1"/>
  <c r="J170" i="31"/>
  <c r="J171" i="31" l="1"/>
  <c r="B172" i="31"/>
  <c r="B173" i="31" l="1"/>
  <c r="J172" i="31"/>
  <c r="J173" i="31" l="1"/>
  <c r="B174" i="31"/>
  <c r="J174" i="31" l="1"/>
  <c r="B175" i="31"/>
  <c r="J175" i="31" l="1"/>
  <c r="B176" i="31"/>
  <c r="J176" i="31" l="1"/>
  <c r="B177" i="31"/>
  <c r="J177" i="31" l="1"/>
  <c r="B178" i="31"/>
  <c r="J178" i="31" l="1"/>
  <c r="B179" i="31"/>
  <c r="J179" i="31" l="1"/>
  <c r="B180" i="31"/>
  <c r="J180" i="31" l="1"/>
  <c r="B181" i="31"/>
  <c r="J181" i="31" l="1"/>
  <c r="B182" i="31"/>
  <c r="J182" i="31" l="1"/>
  <c r="B183" i="31"/>
  <c r="B184" i="31" l="1"/>
  <c r="J183" i="31"/>
  <c r="J184" i="31" l="1"/>
  <c r="B185" i="31"/>
  <c r="B186" i="31" l="1"/>
  <c r="J185" i="31"/>
  <c r="J186" i="31" l="1"/>
  <c r="B187" i="31"/>
  <c r="J187" i="31" l="1"/>
  <c r="B188" i="31"/>
  <c r="B189" i="31" l="1"/>
  <c r="J188" i="31"/>
  <c r="J189" i="31" l="1"/>
  <c r="B190" i="31"/>
  <c r="J190" i="31" l="1"/>
  <c r="B191" i="31"/>
  <c r="B192" i="31" l="1"/>
  <c r="B193" i="31" s="1"/>
  <c r="J191" i="31"/>
  <c r="B194" i="31" l="1"/>
  <c r="J193" i="31"/>
  <c r="J192" i="31"/>
  <c r="B195" i="31" l="1"/>
  <c r="J194" i="31"/>
  <c r="J195" i="31" l="1"/>
  <c r="B196" i="31"/>
  <c r="J196" i="31" l="1"/>
  <c r="B197" i="31"/>
  <c r="J197" i="31" l="1"/>
  <c r="B198" i="31"/>
  <c r="J198" i="31" l="1"/>
  <c r="B199" i="31"/>
  <c r="J199" i="31" l="1"/>
  <c r="B200" i="31"/>
  <c r="J200" i="31" l="1"/>
  <c r="B201" i="31"/>
  <c r="B202" i="31" l="1"/>
  <c r="J201" i="31"/>
  <c r="B203" i="31" l="1"/>
  <c r="J202" i="31"/>
  <c r="B204" i="31" l="1"/>
  <c r="J203" i="31"/>
  <c r="J204" i="31" l="1"/>
  <c r="B205" i="31"/>
  <c r="J205" i="31" l="1"/>
  <c r="B206" i="31"/>
  <c r="J206" i="31" l="1"/>
  <c r="B207" i="31"/>
  <c r="B208" i="31" l="1"/>
  <c r="J207" i="31"/>
  <c r="J208" i="31" l="1"/>
  <c r="B209" i="31"/>
  <c r="J209" i="31" l="1"/>
  <c r="B210" i="31"/>
  <c r="B211" i="31" l="1"/>
  <c r="J210" i="31"/>
  <c r="B212" i="31" l="1"/>
  <c r="J211" i="31"/>
  <c r="J212" i="31" l="1"/>
  <c r="B213" i="31"/>
  <c r="J213" i="31" l="1"/>
  <c r="B214" i="31"/>
  <c r="B215" i="31" l="1"/>
  <c r="J214" i="31"/>
  <c r="B216" i="31" l="1"/>
  <c r="B217" i="31" s="1"/>
  <c r="B218" i="31" s="1"/>
  <c r="B219" i="31" s="1"/>
  <c r="B220" i="31" s="1"/>
  <c r="B221" i="31" s="1"/>
  <c r="B222" i="31" s="1"/>
  <c r="B223" i="31" s="1"/>
  <c r="B224" i="31" s="1"/>
  <c r="B225" i="31" s="1"/>
  <c r="B226" i="31" s="1"/>
  <c r="B227" i="31" s="1"/>
  <c r="B228" i="31" s="1"/>
  <c r="J215" i="31"/>
  <c r="J217" i="31" l="1"/>
  <c r="J216" i="31"/>
  <c r="J218" i="31" l="1"/>
  <c r="J219" i="31" l="1"/>
  <c r="J220" i="31" l="1"/>
  <c r="J221" i="31" l="1"/>
  <c r="J222" i="31" l="1"/>
  <c r="J223" i="31" l="1"/>
  <c r="J224" i="31" l="1"/>
  <c r="J225" i="31" l="1"/>
  <c r="J226" i="31" l="1"/>
  <c r="J227" i="31" l="1"/>
  <c r="J228" i="31" l="1"/>
  <c r="CX13" i="25" l="1"/>
  <c r="CX14" i="25" l="1"/>
  <c r="CX15" i="25" l="1"/>
  <c r="CX16" i="25" l="1"/>
  <c r="CX17" i="25"/>
  <c r="CX19" i="25" l="1"/>
  <c r="CX18" i="25"/>
  <c r="CX20" i="25"/>
  <c r="CX21" i="25" l="1"/>
  <c r="CX22" i="25" l="1"/>
  <c r="CX23" i="25"/>
  <c r="CX27" i="25" l="1"/>
  <c r="CX25" i="25"/>
  <c r="CX24" i="25"/>
  <c r="CX26" i="25"/>
  <c r="CV28" i="25" l="1"/>
  <c r="CV16" i="25"/>
  <c r="CV20" i="25"/>
  <c r="CV24" i="25"/>
  <c r="CV13" i="25"/>
  <c r="CV21" i="25"/>
  <c r="CV25" i="25"/>
  <c r="CV26" i="25"/>
  <c r="CV17" i="25"/>
  <c r="CV18" i="25"/>
  <c r="CV15" i="25"/>
  <c r="CV19" i="25"/>
  <c r="CV23" i="25"/>
  <c r="CV27" i="25"/>
  <c r="CV14" i="25"/>
  <c r="CV22" i="25"/>
  <c r="CW15" i="25"/>
  <c r="CW19" i="25"/>
  <c r="CW23" i="25"/>
  <c r="CW27" i="25"/>
  <c r="CW21" i="25"/>
  <c r="CW16" i="25"/>
  <c r="CW20" i="25"/>
  <c r="CW24" i="25"/>
  <c r="CW13" i="25"/>
  <c r="CW17" i="25"/>
  <c r="CW25" i="25"/>
  <c r="CW14" i="25"/>
  <c r="CW18" i="25"/>
  <c r="CW22" i="25"/>
  <c r="CW26" i="25"/>
  <c r="CW28" i="25"/>
  <c r="CX29" i="25" l="1"/>
  <c r="CV29" i="25"/>
  <c r="CX28" i="25"/>
  <c r="CW29" i="25" l="1"/>
  <c r="CV30" i="25" l="1"/>
  <c r="CW30" i="25"/>
  <c r="CX30" i="25"/>
  <c r="D18" i="43" l="1"/>
  <c r="G18" i="43" l="1"/>
  <c r="L18" i="43"/>
  <c r="D19" i="43"/>
  <c r="L19" i="43" s="1"/>
  <c r="BJ14" i="25" l="1"/>
  <c r="BJ13" i="25"/>
  <c r="D20" i="43"/>
  <c r="L20" i="43" s="1"/>
  <c r="G19" i="43"/>
  <c r="BJ15" i="25" l="1"/>
  <c r="D21" i="43"/>
  <c r="L21" i="43" s="1"/>
  <c r="G20" i="43"/>
  <c r="BJ16" i="25" l="1"/>
  <c r="D22" i="43"/>
  <c r="L22" i="43" s="1"/>
  <c r="G21" i="43"/>
  <c r="BJ17" i="25" l="1"/>
  <c r="D23" i="43"/>
  <c r="L23" i="43" s="1"/>
  <c r="G22" i="43"/>
  <c r="BJ18" i="25" l="1"/>
  <c r="D24" i="43"/>
  <c r="L24" i="43" s="1"/>
  <c r="G23" i="43"/>
  <c r="BJ19" i="25" l="1"/>
  <c r="D25" i="43"/>
  <c r="L25" i="43" s="1"/>
  <c r="G24" i="43"/>
  <c r="BJ20" i="25" l="1"/>
  <c r="D26" i="43"/>
  <c r="L26" i="43" s="1"/>
  <c r="G25" i="43"/>
  <c r="BJ21" i="25" l="1"/>
  <c r="D27" i="43"/>
  <c r="L27" i="43" s="1"/>
  <c r="G26" i="43"/>
  <c r="BJ22" i="25" l="1"/>
  <c r="D28" i="43"/>
  <c r="L28" i="43" s="1"/>
  <c r="G27" i="43"/>
  <c r="BJ23" i="25" l="1"/>
  <c r="D29" i="43"/>
  <c r="L29" i="43" s="1"/>
  <c r="G28" i="43"/>
  <c r="J28" i="43" s="1"/>
  <c r="BJ24" i="25" l="1"/>
  <c r="D30" i="43"/>
  <c r="L30" i="43" s="1"/>
  <c r="G29" i="43"/>
  <c r="J29" i="43" s="1"/>
  <c r="B21" i="77"/>
  <c r="K28" i="43"/>
  <c r="BJ25" i="25" l="1"/>
  <c r="D31" i="43"/>
  <c r="L31" i="43" s="1"/>
  <c r="G30" i="43"/>
  <c r="J30" i="43" s="1"/>
  <c r="B22" i="77"/>
  <c r="K29" i="43"/>
  <c r="BJ26" i="25" l="1"/>
  <c r="D32" i="43"/>
  <c r="L32" i="43" s="1"/>
  <c r="BJ27" i="25" s="1"/>
  <c r="G31" i="43"/>
  <c r="J31" i="43" s="1"/>
  <c r="B23" i="77"/>
  <c r="K30" i="43"/>
  <c r="D33" i="43" l="1"/>
  <c r="L33" i="43" s="1"/>
  <c r="G32" i="43"/>
  <c r="J32" i="43" s="1"/>
  <c r="B24" i="77"/>
  <c r="K31" i="43"/>
  <c r="BJ28" i="25" l="1"/>
  <c r="G33" i="43"/>
  <c r="D34" i="43"/>
  <c r="L34" i="43" s="1"/>
  <c r="BJ29" i="25" s="1"/>
  <c r="B25" i="77"/>
  <c r="B26" i="77" s="1"/>
  <c r="B27" i="77" s="1"/>
  <c r="B28" i="77" s="1"/>
  <c r="B29" i="77" s="1"/>
  <c r="B30" i="77" s="1"/>
  <c r="B31" i="77" s="1"/>
  <c r="B32" i="77" s="1"/>
  <c r="B33" i="77" s="1"/>
  <c r="B34" i="77" s="1"/>
  <c r="B35" i="77" s="1"/>
  <c r="B36" i="77" s="1"/>
  <c r="B37" i="77" s="1"/>
  <c r="B38" i="77" s="1"/>
  <c r="B39" i="77" s="1"/>
  <c r="B40" i="77" s="1"/>
  <c r="K32" i="43"/>
  <c r="J33" i="43" l="1"/>
  <c r="K33" i="43" s="1"/>
  <c r="G34" i="43"/>
  <c r="D35" i="43"/>
  <c r="L35" i="43" s="1"/>
  <c r="BJ30" i="25" s="1"/>
  <c r="J34" i="43" l="1"/>
  <c r="K34" i="43" s="1"/>
  <c r="G35" i="43"/>
  <c r="D36" i="43"/>
  <c r="L36" i="43" s="1"/>
  <c r="BJ31" i="25" l="1"/>
  <c r="J35" i="43"/>
  <c r="K35" i="43" s="1"/>
  <c r="G36" i="43"/>
  <c r="D37" i="43"/>
  <c r="L37" i="43" s="1"/>
  <c r="BJ33" i="25" s="1"/>
  <c r="BJ35" i="25" l="1"/>
  <c r="BJ32" i="25"/>
  <c r="BJ34" i="25"/>
  <c r="BJ36" i="25"/>
  <c r="J36" i="43"/>
  <c r="K36" i="43" s="1"/>
  <c r="G37" i="43"/>
  <c r="J37" i="43" l="1"/>
  <c r="K37" i="43" s="1"/>
  <c r="I76" i="25" l="1"/>
  <c r="AL33" i="25" l="1"/>
  <c r="O39" i="31" l="1"/>
  <c r="O40" i="31" l="1"/>
  <c r="N39" i="31" l="1"/>
  <c r="O41" i="31"/>
  <c r="R39" i="31" l="1"/>
  <c r="N40" i="31"/>
  <c r="N41" i="31"/>
  <c r="R41" i="31" l="1"/>
  <c r="R40" i="31"/>
  <c r="M39" i="31" l="1"/>
  <c r="M40" i="31" l="1"/>
  <c r="Q39" i="31"/>
  <c r="P39" i="31"/>
  <c r="P40" i="31" l="1"/>
  <c r="Q40" i="31"/>
  <c r="M41" i="31"/>
  <c r="P41" i="31" l="1"/>
  <c r="Q41" i="31"/>
  <c r="AN13" i="25" l="1"/>
  <c r="AQ13" i="25"/>
  <c r="AL15" i="25"/>
  <c r="AL19" i="25"/>
  <c r="AL22" i="25"/>
  <c r="AL24" i="25"/>
  <c r="AL25" i="25"/>
  <c r="AQ14" i="25"/>
  <c r="AN17" i="25"/>
  <c r="AQ20" i="25"/>
  <c r="AL23" i="25"/>
  <c r="AQ19" i="25"/>
  <c r="AN20" i="25"/>
  <c r="AL27" i="25"/>
  <c r="AQ27" i="25"/>
  <c r="AQ28" i="25"/>
  <c r="AL29" i="25"/>
  <c r="AL30" i="25"/>
  <c r="AL26" i="25"/>
  <c r="CI13" i="25" l="1"/>
  <c r="CI14" i="25"/>
  <c r="CF13" i="25"/>
  <c r="AN24" i="25"/>
  <c r="AQ25" i="25"/>
  <c r="AN15" i="25"/>
  <c r="AN22" i="25"/>
  <c r="AQ15" i="25"/>
  <c r="AN27" i="25"/>
  <c r="AN23" i="25"/>
  <c r="AQ17" i="25"/>
  <c r="AN25" i="25"/>
  <c r="AN19" i="25"/>
  <c r="AN29" i="25"/>
  <c r="AQ24" i="25"/>
  <c r="AN30" i="25"/>
  <c r="AQ23" i="25"/>
  <c r="AQ26" i="25"/>
  <c r="AQ29" i="25"/>
  <c r="AN26" i="25"/>
  <c r="AQ18" i="25"/>
  <c r="AQ16" i="25"/>
  <c r="AL17" i="25"/>
  <c r="AL14" i="25"/>
  <c r="AL28" i="25"/>
  <c r="AN28" i="25"/>
  <c r="AQ30" i="25"/>
  <c r="AL21" i="25"/>
  <c r="AN21" i="25"/>
  <c r="AQ21" i="25"/>
  <c r="AL18" i="25"/>
  <c r="AN18" i="25"/>
  <c r="AN16" i="25"/>
  <c r="AL16" i="25"/>
  <c r="CI21" i="25" l="1"/>
  <c r="CI20" i="25"/>
  <c r="AO13" i="25"/>
  <c r="AO14" i="25"/>
  <c r="AO15" i="25"/>
  <c r="AO16" i="25"/>
  <c r="AO17" i="25"/>
  <c r="AO18" i="25"/>
  <c r="AO19" i="25"/>
  <c r="AO20" i="25"/>
  <c r="AO21" i="25"/>
  <c r="AO22" i="25"/>
  <c r="AO23" i="25"/>
  <c r="AO24" i="25"/>
  <c r="AO25" i="25"/>
  <c r="AO26" i="25"/>
  <c r="AO27" i="25"/>
  <c r="AO28" i="25"/>
  <c r="AO29" i="25"/>
  <c r="AO30" i="25"/>
  <c r="AO31" i="25"/>
  <c r="AP13" i="25"/>
  <c r="AP14" i="25"/>
  <c r="AP15" i="25"/>
  <c r="AP16" i="25"/>
  <c r="AP17" i="25"/>
  <c r="AP18" i="25"/>
  <c r="AP19" i="25"/>
  <c r="AP20" i="25"/>
  <c r="AP21" i="25"/>
  <c r="AP22" i="25"/>
  <c r="AP23" i="25"/>
  <c r="AP24" i="25"/>
  <c r="AP25" i="25"/>
  <c r="AP26" i="25"/>
  <c r="AP27" i="25"/>
  <c r="AP28" i="25"/>
  <c r="AP29" i="25"/>
  <c r="AP30" i="25"/>
  <c r="AP31" i="25"/>
  <c r="AQ22" i="25"/>
  <c r="CI22" i="25" s="1"/>
  <c r="CI17" i="25"/>
  <c r="CI16" i="25"/>
  <c r="CI19" i="25"/>
  <c r="AL13" i="25"/>
  <c r="AN14" i="25"/>
  <c r="AL20" i="25"/>
  <c r="CI26" i="25"/>
  <c r="CI18" i="25"/>
  <c r="CI15" i="25"/>
  <c r="CI29" i="25" l="1"/>
  <c r="CI33" i="25"/>
  <c r="CI35" i="25"/>
  <c r="CI28" i="25"/>
  <c r="CI23" i="25"/>
  <c r="CI30" i="25"/>
  <c r="CI27" i="25"/>
  <c r="CI25" i="25"/>
  <c r="CI38" i="25"/>
  <c r="CI34" i="25"/>
  <c r="CG23" i="25"/>
  <c r="CH37" i="25"/>
  <c r="CH36" i="25"/>
  <c r="CH26" i="25"/>
  <c r="CH21" i="25"/>
  <c r="CH27" i="25"/>
  <c r="CH29" i="25"/>
  <c r="CH14" i="25"/>
  <c r="CH15" i="25"/>
  <c r="CH33" i="25"/>
  <c r="CH23" i="25"/>
  <c r="CH30" i="25"/>
  <c r="CH38" i="25"/>
  <c r="CH25" i="25"/>
  <c r="CH16" i="25"/>
  <c r="CH35" i="25"/>
  <c r="CH34" i="25"/>
  <c r="CH28" i="25"/>
  <c r="CH19" i="25"/>
  <c r="CH20" i="25"/>
  <c r="CH22" i="25"/>
  <c r="CH32" i="25"/>
  <c r="CH13" i="25"/>
  <c r="CH18" i="25"/>
  <c r="CH31" i="25"/>
  <c r="CH24" i="25"/>
  <c r="CH17" i="25"/>
  <c r="CF14" i="25"/>
  <c r="CF15" i="25"/>
  <c r="CF20" i="25"/>
  <c r="CF24" i="25"/>
  <c r="CF35" i="25"/>
  <c r="CF37" i="25"/>
  <c r="CF30" i="25"/>
  <c r="CF16" i="25"/>
  <c r="CF17" i="25"/>
  <c r="CF23" i="25"/>
  <c r="CF31" i="25"/>
  <c r="CF29" i="25"/>
  <c r="CF32" i="25"/>
  <c r="CF19" i="25"/>
  <c r="CF22" i="25"/>
  <c r="CF25" i="25"/>
  <c r="CF27" i="25"/>
  <c r="CF38" i="25"/>
  <c r="CF28" i="25"/>
  <c r="CF18" i="25"/>
  <c r="CF21" i="25"/>
  <c r="CF26" i="25"/>
  <c r="CF36" i="25"/>
  <c r="CF33" i="25"/>
  <c r="CF34" i="25"/>
  <c r="CI31" i="25"/>
  <c r="CI24" i="25"/>
  <c r="CI32" i="25"/>
  <c r="CD13" i="25"/>
  <c r="CD14" i="25"/>
  <c r="CD16" i="25"/>
  <c r="CD15" i="25"/>
  <c r="CD17" i="25"/>
  <c r="CD18" i="25"/>
  <c r="CD19" i="25"/>
  <c r="CD21" i="25"/>
  <c r="CD20" i="25"/>
  <c r="CD27" i="25"/>
  <c r="CD31" i="25"/>
  <c r="CD32" i="25"/>
  <c r="CD30" i="25"/>
  <c r="CD36" i="25"/>
  <c r="CD38" i="25"/>
  <c r="CD34" i="25"/>
  <c r="CD35" i="25"/>
  <c r="CD37" i="25"/>
  <c r="CD33" i="25"/>
  <c r="CD26" i="25"/>
  <c r="CD29" i="25"/>
  <c r="CD22" i="25"/>
  <c r="CD25" i="25"/>
  <c r="CD23" i="25"/>
  <c r="CD24" i="25"/>
  <c r="CI36" i="25"/>
  <c r="CD28" i="25"/>
  <c r="CI37" i="25"/>
  <c r="CG13" i="25"/>
  <c r="CG15" i="25"/>
  <c r="CG14" i="25"/>
  <c r="CG16" i="25"/>
  <c r="CG19" i="25"/>
  <c r="CG17" i="25"/>
  <c r="CG18" i="25"/>
  <c r="CG20" i="25"/>
  <c r="CG21" i="25"/>
  <c r="CG22" i="25"/>
  <c r="CG24" i="25"/>
  <c r="CG26" i="25"/>
  <c r="CG25" i="25"/>
  <c r="CG35" i="25"/>
  <c r="CG32" i="25"/>
  <c r="CG28" i="25"/>
  <c r="CG30" i="25"/>
  <c r="CG37" i="25"/>
  <c r="CG34" i="25"/>
  <c r="CG31" i="25"/>
  <c r="CG33" i="25"/>
  <c r="CG38" i="25"/>
  <c r="CG29" i="25"/>
  <c r="CG27" i="25"/>
  <c r="CG36" i="25"/>
  <c r="DB5" i="25" l="1"/>
  <c r="DC31" i="25" l="1"/>
  <c r="DC35" i="25"/>
  <c r="DC18" i="25"/>
  <c r="DC26" i="25"/>
  <c r="DC20" i="25"/>
  <c r="DC25" i="25"/>
  <c r="DC32" i="25"/>
  <c r="DC36" i="25"/>
  <c r="DC27" i="25"/>
  <c r="DC24" i="25"/>
  <c r="DC22" i="25"/>
  <c r="DC23" i="25"/>
  <c r="DC28" i="25"/>
  <c r="DC33" i="25"/>
  <c r="DC37" i="25"/>
  <c r="DC13" i="25"/>
  <c r="DC21" i="25"/>
  <c r="DC17" i="25"/>
  <c r="DC16" i="25"/>
  <c r="DC14" i="25"/>
  <c r="DC34" i="25"/>
  <c r="DC38" i="25"/>
  <c r="DC29" i="25"/>
  <c r="DC19" i="25"/>
  <c r="DC15" i="25"/>
  <c r="DC30" i="25"/>
  <c r="AM13" i="25" l="1"/>
  <c r="CE13" i="25" l="1"/>
  <c r="AM27" i="25" l="1"/>
  <c r="AM28" i="25" l="1"/>
  <c r="AM29" i="25" l="1"/>
  <c r="AM30" i="25" l="1"/>
  <c r="AM15" i="25" l="1"/>
  <c r="AM14" i="25"/>
  <c r="CE14" i="25" l="1"/>
  <c r="CE15" i="25"/>
  <c r="AM16" i="25" l="1"/>
  <c r="CE16" i="25" l="1"/>
  <c r="AM18" i="25"/>
  <c r="AM17" i="25"/>
  <c r="CE17" i="25" s="1"/>
  <c r="CE18" i="25" l="1"/>
  <c r="AM19" i="25" l="1"/>
  <c r="CE19" i="25" l="1"/>
  <c r="AM20" i="25"/>
  <c r="CE20" i="25" l="1"/>
  <c r="AM21" i="25"/>
  <c r="CE21" i="25" s="1"/>
  <c r="AM22" i="25" l="1"/>
  <c r="CE22" i="25" s="1"/>
  <c r="AM25" i="25" l="1"/>
  <c r="AM23" i="25"/>
  <c r="CE23" i="25" s="1"/>
  <c r="AM24" i="25"/>
  <c r="CE24" i="25" l="1"/>
  <c r="CE25" i="25"/>
  <c r="AM26" i="25" l="1"/>
  <c r="CE35" i="25" l="1"/>
  <c r="CE36" i="25"/>
  <c r="CE32" i="25"/>
  <c r="CE33" i="25"/>
  <c r="CE37" i="25"/>
  <c r="CE34" i="25"/>
  <c r="CE38" i="25"/>
  <c r="CE28" i="25"/>
  <c r="CE27" i="25"/>
  <c r="CE31" i="25"/>
  <c r="CE26" i="25"/>
  <c r="CE29" i="25"/>
  <c r="CE30" i="25"/>
  <c r="AV13" i="25" l="1"/>
  <c r="AV14" i="25"/>
  <c r="AV29" i="25"/>
  <c r="AV30" i="25"/>
  <c r="AV31" i="25"/>
  <c r="AW13" i="25" l="1"/>
  <c r="AW14" i="25"/>
  <c r="AW29" i="25"/>
  <c r="AW30" i="25"/>
  <c r="AW31" i="25"/>
  <c r="AZ13" i="25"/>
  <c r="AZ14" i="25"/>
  <c r="AZ29" i="25"/>
  <c r="AZ30" i="25"/>
  <c r="AZ31" i="25"/>
  <c r="CN14" i="25"/>
  <c r="CN13" i="25"/>
  <c r="CR14" i="25" l="1"/>
  <c r="CR13" i="25"/>
  <c r="CO14" i="25"/>
  <c r="CO13" i="25"/>
  <c r="AT13" i="25" l="1"/>
  <c r="AT14" i="25"/>
  <c r="AT29" i="25"/>
  <c r="AT30" i="25"/>
  <c r="AT31" i="25"/>
  <c r="AR14" i="25"/>
  <c r="AR29" i="25"/>
  <c r="AR30" i="25"/>
  <c r="AR31" i="25"/>
  <c r="AR13" i="25" l="1"/>
  <c r="CL14" i="25"/>
  <c r="CL13" i="25"/>
  <c r="AR15" i="25"/>
  <c r="CJ13" i="25" l="1"/>
  <c r="CJ15" i="25"/>
  <c r="CJ14" i="25"/>
  <c r="AV15" i="25"/>
  <c r="AR16" i="25"/>
  <c r="CJ16" i="25" s="1"/>
  <c r="AT15" i="25"/>
  <c r="CN15" i="25" l="1"/>
  <c r="CL15" i="25"/>
  <c r="AV16" i="25"/>
  <c r="AV17" i="25"/>
  <c r="AZ15" i="25"/>
  <c r="AR18" i="25"/>
  <c r="AR17" i="25"/>
  <c r="AT16" i="25"/>
  <c r="AW15" i="25"/>
  <c r="CO15" i="25" l="1"/>
  <c r="CR15" i="25"/>
  <c r="CJ17" i="25"/>
  <c r="CN16" i="25"/>
  <c r="CL16" i="25"/>
  <c r="CJ18" i="25"/>
  <c r="CN17" i="25"/>
  <c r="AV18" i="25"/>
  <c r="AT18" i="25"/>
  <c r="AW18" i="25"/>
  <c r="AR19" i="25"/>
  <c r="AT17" i="25"/>
  <c r="CL17" i="25" s="1"/>
  <c r="CL18" i="25" l="1"/>
  <c r="CN18" i="25"/>
  <c r="CJ19" i="25"/>
  <c r="AW16" i="25"/>
  <c r="AW17" i="25"/>
  <c r="AZ17" i="25"/>
  <c r="AR21" i="25"/>
  <c r="AT19" i="25"/>
  <c r="AR20" i="25"/>
  <c r="CO17" i="25" l="1"/>
  <c r="CO18" i="25"/>
  <c r="CO16" i="25"/>
  <c r="CJ21" i="25"/>
  <c r="CJ20" i="25"/>
  <c r="CL19" i="25"/>
  <c r="AZ16" i="25"/>
  <c r="CR17" i="25" s="1"/>
  <c r="AR22" i="25"/>
  <c r="CJ22" i="25" s="1"/>
  <c r="AT20" i="25"/>
  <c r="CL20" i="25" s="1"/>
  <c r="AV19" i="25"/>
  <c r="AZ18" i="25"/>
  <c r="CN19" i="25" l="1"/>
  <c r="CR18" i="25"/>
  <c r="CR16" i="25"/>
  <c r="AW20" i="25"/>
  <c r="AT21" i="25"/>
  <c r="CL21" i="25" s="1"/>
  <c r="AV20" i="25"/>
  <c r="CN20" i="25" s="1"/>
  <c r="AW19" i="25" l="1"/>
  <c r="AT23" i="25"/>
  <c r="AZ20" i="25"/>
  <c r="AT22" i="25"/>
  <c r="CL22" i="25" s="1"/>
  <c r="AV23" i="25"/>
  <c r="AR23" i="25"/>
  <c r="CJ23" i="25" s="1"/>
  <c r="AV21" i="25"/>
  <c r="CN21" i="25" s="1"/>
  <c r="AZ19" i="25"/>
  <c r="AV22" i="25"/>
  <c r="CN22" i="25" l="1"/>
  <c r="CL23" i="25"/>
  <c r="AU13" i="25"/>
  <c r="AU14" i="25"/>
  <c r="AU15" i="25"/>
  <c r="AU16" i="25"/>
  <c r="AU17" i="25"/>
  <c r="AU18" i="25"/>
  <c r="AU19" i="25"/>
  <c r="AU20" i="25"/>
  <c r="AU21" i="25"/>
  <c r="AU22" i="25"/>
  <c r="AU23" i="25"/>
  <c r="AU29" i="25"/>
  <c r="AU30" i="25"/>
  <c r="AU31" i="25"/>
  <c r="CO19" i="25"/>
  <c r="CO20" i="25"/>
  <c r="CR20" i="25"/>
  <c r="CR19" i="25"/>
  <c r="CN23" i="25"/>
  <c r="BA13" i="25"/>
  <c r="BA14" i="25"/>
  <c r="BA15" i="25"/>
  <c r="BA16" i="25"/>
  <c r="BA17" i="25"/>
  <c r="BA18" i="25"/>
  <c r="BA19" i="25"/>
  <c r="BA20" i="25"/>
  <c r="BA29" i="25"/>
  <c r="BA30" i="25"/>
  <c r="BA31" i="25"/>
  <c r="AX13" i="25"/>
  <c r="AX14" i="25"/>
  <c r="AX15" i="25"/>
  <c r="AX16" i="25"/>
  <c r="AX17" i="25"/>
  <c r="AX18" i="25"/>
  <c r="AX19" i="25"/>
  <c r="AX20" i="25"/>
  <c r="AX29" i="25"/>
  <c r="AX30" i="25"/>
  <c r="AX31" i="25"/>
  <c r="AW23" i="25"/>
  <c r="AW21" i="25"/>
  <c r="AW22" i="25"/>
  <c r="CO23" i="25" l="1"/>
  <c r="AX23" i="25"/>
  <c r="CO21" i="25"/>
  <c r="CM14" i="25"/>
  <c r="CM15" i="25"/>
  <c r="CM17" i="25"/>
  <c r="CM23" i="25"/>
  <c r="CM18" i="25"/>
  <c r="CM21" i="25"/>
  <c r="CM13" i="25"/>
  <c r="CM22" i="25"/>
  <c r="CM16" i="25"/>
  <c r="CM20" i="25"/>
  <c r="CM19" i="25"/>
  <c r="AX22" i="25"/>
  <c r="CS15" i="25"/>
  <c r="CS16" i="25"/>
  <c r="CS14" i="25"/>
  <c r="CS20" i="25"/>
  <c r="CS18" i="25"/>
  <c r="CS13" i="25"/>
  <c r="CS19" i="25"/>
  <c r="CS17" i="25"/>
  <c r="AX21" i="25"/>
  <c r="CP20" i="25"/>
  <c r="CP15" i="25"/>
  <c r="CP16" i="25"/>
  <c r="CP13" i="25"/>
  <c r="CP19" i="25"/>
  <c r="CP17" i="25"/>
  <c r="CP18" i="25"/>
  <c r="CP14" i="25"/>
  <c r="CO22" i="25"/>
  <c r="AR24" i="25"/>
  <c r="CJ24" i="25" s="1"/>
  <c r="AR25" i="25"/>
  <c r="CJ25" i="25" l="1"/>
  <c r="CP23" i="25"/>
  <c r="CP22" i="25"/>
  <c r="AZ23" i="25"/>
  <c r="BA23" i="25"/>
  <c r="AZ22" i="25"/>
  <c r="BA22" i="25"/>
  <c r="CP21" i="25"/>
  <c r="AZ21" i="25"/>
  <c r="BA21" i="25"/>
  <c r="AV24" i="25"/>
  <c r="CN24" i="25" s="1"/>
  <c r="AV25" i="25"/>
  <c r="CN25" i="25" l="1"/>
  <c r="AR26" i="25"/>
  <c r="CJ26" i="25" s="1"/>
  <c r="AT27" i="25"/>
  <c r="AU27" i="25"/>
  <c r="AT25" i="25"/>
  <c r="AU25" i="25"/>
  <c r="AT24" i="25"/>
  <c r="CL24" i="25" s="1"/>
  <c r="AU24" i="25"/>
  <c r="CS21" i="25"/>
  <c r="CS22" i="25"/>
  <c r="CS23" i="25"/>
  <c r="CR21" i="25"/>
  <c r="CR22" i="25"/>
  <c r="CR23" i="25"/>
  <c r="AR27" i="25"/>
  <c r="CJ27" i="25" s="1"/>
  <c r="CM25" i="25" l="1"/>
  <c r="CM24" i="25"/>
  <c r="AT26" i="25"/>
  <c r="CL26" i="25" s="1"/>
  <c r="AU26" i="25"/>
  <c r="CM26" i="25" s="1"/>
  <c r="AW24" i="25"/>
  <c r="CO24" i="25" s="1"/>
  <c r="AX24" i="25"/>
  <c r="AW25" i="25"/>
  <c r="AX25" i="25"/>
  <c r="CL25" i="25"/>
  <c r="AS14" i="25"/>
  <c r="AS15" i="25"/>
  <c r="AS16" i="25"/>
  <c r="AS17" i="25"/>
  <c r="AS18" i="25"/>
  <c r="AS19" i="25"/>
  <c r="AS20" i="25"/>
  <c r="AS21" i="25"/>
  <c r="AS22" i="25"/>
  <c r="AS23" i="25"/>
  <c r="AS24" i="25"/>
  <c r="AS25" i="25"/>
  <c r="AS26" i="25"/>
  <c r="AS27" i="25"/>
  <c r="AS29" i="25"/>
  <c r="AS30" i="25"/>
  <c r="AS31" i="25"/>
  <c r="AV26" i="25"/>
  <c r="CN26" i="25" s="1"/>
  <c r="AS28" i="25"/>
  <c r="AV27" i="25"/>
  <c r="CN27" i="25" l="1"/>
  <c r="AS13" i="25"/>
  <c r="CK30" i="25" s="1"/>
  <c r="CP24" i="25"/>
  <c r="CP25" i="25"/>
  <c r="AZ24" i="25"/>
  <c r="CR24" i="25" s="1"/>
  <c r="BA24" i="25"/>
  <c r="AZ25" i="25"/>
  <c r="BA25" i="25"/>
  <c r="AW26" i="25"/>
  <c r="CO26" i="25" s="1"/>
  <c r="AX26" i="25"/>
  <c r="CP26" i="25" s="1"/>
  <c r="CL27" i="25"/>
  <c r="CM27" i="25"/>
  <c r="CO25" i="25"/>
  <c r="AV28" i="25" l="1"/>
  <c r="AR28" i="25"/>
  <c r="CS24" i="25"/>
  <c r="CS25" i="25"/>
  <c r="AW27" i="25"/>
  <c r="CO27" i="25" s="1"/>
  <c r="AX27" i="25"/>
  <c r="CK21" i="25"/>
  <c r="CK15" i="25"/>
  <c r="CK22" i="25"/>
  <c r="CK19" i="25"/>
  <c r="CK18" i="25"/>
  <c r="CK14" i="25"/>
  <c r="CK16" i="25"/>
  <c r="CK24" i="25"/>
  <c r="CK27" i="25"/>
  <c r="CK25" i="25"/>
  <c r="CK29" i="25"/>
  <c r="CK26" i="25"/>
  <c r="CK23" i="25"/>
  <c r="CK13" i="25"/>
  <c r="CK20" i="25"/>
  <c r="CK17" i="25"/>
  <c r="CK28" i="25"/>
  <c r="CK32" i="25"/>
  <c r="CK35" i="25"/>
  <c r="CK36" i="25"/>
  <c r="CK31" i="25"/>
  <c r="CK33" i="25"/>
  <c r="CK37" i="25"/>
  <c r="CK38" i="25"/>
  <c r="CK34" i="25"/>
  <c r="AT28" i="25"/>
  <c r="AU28" i="25"/>
  <c r="AZ27" i="25"/>
  <c r="BA27" i="25"/>
  <c r="CR25" i="25"/>
  <c r="AW28" i="25" l="1"/>
  <c r="AX28" i="25"/>
  <c r="CP30" i="25" s="1"/>
  <c r="AZ26" i="25"/>
  <c r="CR26" i="25" s="1"/>
  <c r="BA26" i="25"/>
  <c r="BB13" i="25"/>
  <c r="BB14" i="25"/>
  <c r="BB15" i="25"/>
  <c r="BB16" i="25"/>
  <c r="BB17" i="25"/>
  <c r="BB18" i="25"/>
  <c r="BB19" i="25"/>
  <c r="BB20" i="25"/>
  <c r="BB21" i="25"/>
  <c r="BB22" i="25"/>
  <c r="BB23" i="25"/>
  <c r="BB24" i="25"/>
  <c r="BB25" i="25"/>
  <c r="BB26" i="25"/>
  <c r="BB27" i="25"/>
  <c r="BB29" i="25"/>
  <c r="BB30" i="25"/>
  <c r="BB31" i="25"/>
  <c r="CJ33" i="25"/>
  <c r="CJ37" i="25"/>
  <c r="CJ34" i="25"/>
  <c r="CJ31" i="25"/>
  <c r="CJ32" i="25"/>
  <c r="CJ29" i="25"/>
  <c r="CJ30" i="25"/>
  <c r="CJ36" i="25"/>
  <c r="CJ28" i="25"/>
  <c r="CJ38" i="25"/>
  <c r="CJ35" i="25"/>
  <c r="CM33" i="25"/>
  <c r="CM28" i="25"/>
  <c r="CM30" i="25"/>
  <c r="CM38" i="25"/>
  <c r="CM35" i="25"/>
  <c r="CM37" i="25"/>
  <c r="CM29" i="25"/>
  <c r="CM36" i="25"/>
  <c r="CM31" i="25"/>
  <c r="CM32" i="25"/>
  <c r="CM34" i="25"/>
  <c r="CN30" i="25"/>
  <c r="CN34" i="25"/>
  <c r="CN31" i="25"/>
  <c r="CN32" i="25"/>
  <c r="CN33" i="25"/>
  <c r="CN28" i="25"/>
  <c r="CN38" i="25"/>
  <c r="CN37" i="25"/>
  <c r="CN29" i="25"/>
  <c r="CN36" i="25"/>
  <c r="CN35" i="25"/>
  <c r="CL32" i="25"/>
  <c r="CL33" i="25"/>
  <c r="CL31" i="25"/>
  <c r="CL37" i="25"/>
  <c r="CL29" i="25"/>
  <c r="CL36" i="25"/>
  <c r="CL30" i="25"/>
  <c r="CL28" i="25"/>
  <c r="CL34" i="25"/>
  <c r="CL35" i="25"/>
  <c r="CL38" i="25"/>
  <c r="CP27" i="25"/>
  <c r="BB28" i="25"/>
  <c r="CP35" i="25" l="1"/>
  <c r="CP36" i="25"/>
  <c r="CP28" i="25"/>
  <c r="CP32" i="25"/>
  <c r="CS26" i="25"/>
  <c r="CS27" i="25"/>
  <c r="AY14" i="25"/>
  <c r="AY15" i="25"/>
  <c r="AY16" i="25"/>
  <c r="AY17" i="25"/>
  <c r="AY18" i="25"/>
  <c r="AY19" i="25"/>
  <c r="AY20" i="25"/>
  <c r="AY21" i="25"/>
  <c r="AY22" i="25"/>
  <c r="AY23" i="25"/>
  <c r="AY24" i="25"/>
  <c r="AY25" i="25"/>
  <c r="AY26" i="25"/>
  <c r="AY27" i="25"/>
  <c r="AY28" i="25"/>
  <c r="AY29" i="25"/>
  <c r="AY30" i="25"/>
  <c r="AY31" i="25"/>
  <c r="CP31" i="25"/>
  <c r="AZ28" i="25"/>
  <c r="BA28" i="25"/>
  <c r="CS33" i="25" s="1"/>
  <c r="CP33" i="25"/>
  <c r="CP34" i="25"/>
  <c r="CP37" i="25"/>
  <c r="A73" i="25"/>
  <c r="CR27" i="25"/>
  <c r="CT38" i="25"/>
  <c r="CT35" i="25"/>
  <c r="CT18" i="25"/>
  <c r="CT30" i="25"/>
  <c r="CT21" i="25"/>
  <c r="CT14" i="25"/>
  <c r="CT22" i="25"/>
  <c r="CT29" i="25"/>
  <c r="CT33" i="25"/>
  <c r="CT25" i="25"/>
  <c r="CT28" i="25"/>
  <c r="CT31" i="25"/>
  <c r="CT19" i="25"/>
  <c r="CT36" i="25"/>
  <c r="CT34" i="25"/>
  <c r="CT24" i="25"/>
  <c r="CT16" i="25"/>
  <c r="CT20" i="25"/>
  <c r="CT13" i="25"/>
  <c r="CT32" i="25"/>
  <c r="CT17" i="25"/>
  <c r="CT23" i="25"/>
  <c r="CT26" i="25"/>
  <c r="CT27" i="25"/>
  <c r="CT15" i="25"/>
  <c r="CT37" i="25"/>
  <c r="CO38" i="25"/>
  <c r="CO28" i="25"/>
  <c r="CO31" i="25"/>
  <c r="CO37" i="25"/>
  <c r="CO34" i="25"/>
  <c r="CO36" i="25"/>
  <c r="CO30" i="25"/>
  <c r="CO35" i="25"/>
  <c r="CO33" i="25"/>
  <c r="CO32" i="25"/>
  <c r="CO29" i="25"/>
  <c r="CP29" i="25"/>
  <c r="CP38" i="25"/>
  <c r="CS34" i="25" l="1"/>
  <c r="CS28" i="25"/>
  <c r="CS37" i="25"/>
  <c r="CR38" i="25"/>
  <c r="CR28" i="25"/>
  <c r="CR33" i="25"/>
  <c r="CR34" i="25"/>
  <c r="CR36" i="25"/>
  <c r="CR31" i="25"/>
  <c r="CR32" i="25"/>
  <c r="CR35" i="25"/>
  <c r="CR29" i="25"/>
  <c r="CR37" i="25"/>
  <c r="CR30" i="25"/>
  <c r="CS30" i="25"/>
  <c r="CS35" i="25"/>
  <c r="AY13" i="25"/>
  <c r="CS36" i="25"/>
  <c r="CS38" i="25"/>
  <c r="CS32" i="25"/>
  <c r="CS31" i="25"/>
  <c r="CS29" i="25"/>
  <c r="CQ33" i="25" l="1"/>
  <c r="CQ32" i="25"/>
  <c r="CQ20" i="25"/>
  <c r="CQ23" i="25"/>
  <c r="CQ14" i="25"/>
  <c r="CQ16" i="25"/>
  <c r="CQ28" i="25"/>
  <c r="CQ13" i="25"/>
  <c r="CQ22" i="25"/>
  <c r="CQ17" i="25"/>
  <c r="CQ24" i="25"/>
  <c r="CQ27" i="25"/>
  <c r="CQ30" i="25"/>
  <c r="CQ37" i="25"/>
  <c r="CQ31" i="25"/>
  <c r="CQ25" i="25"/>
  <c r="CQ29" i="25"/>
  <c r="CQ34" i="25"/>
  <c r="CQ19" i="25"/>
  <c r="CQ21" i="25"/>
  <c r="CQ35" i="25"/>
  <c r="CQ15" i="25"/>
  <c r="CQ18" i="25"/>
  <c r="CQ36" i="25"/>
  <c r="CQ38" i="25"/>
  <c r="CQ26" i="25"/>
  <c r="BC13" i="25" l="1"/>
  <c r="BC14" i="25"/>
  <c r="BC15" i="25"/>
  <c r="BC16" i="25"/>
  <c r="BC17" i="25"/>
  <c r="BC18" i="25"/>
  <c r="BC19" i="25"/>
  <c r="BC20" i="25"/>
  <c r="BC21" i="25"/>
  <c r="BC22" i="25"/>
  <c r="BC23" i="25"/>
  <c r="BC24" i="25"/>
  <c r="BC25" i="25"/>
  <c r="BC26" i="25"/>
  <c r="BC27" i="25"/>
  <c r="BC29" i="25"/>
  <c r="BC30" i="25"/>
  <c r="BC31" i="25"/>
  <c r="BC28" i="25" l="1"/>
  <c r="CU29" i="25" s="1"/>
  <c r="CY29" i="25" s="1"/>
  <c r="C29" i="25" s="1"/>
  <c r="A72" i="25"/>
  <c r="A74" i="25"/>
  <c r="CU13" i="25"/>
  <c r="CY13" i="25" s="1"/>
  <c r="C13" i="25" s="1"/>
  <c r="CU19" i="25"/>
  <c r="CY19" i="25" s="1"/>
  <c r="C19" i="25" s="1"/>
  <c r="CU22" i="25"/>
  <c r="CY22" i="25" s="1"/>
  <c r="C22" i="25" s="1"/>
  <c r="CU25" i="25"/>
  <c r="CY25" i="25" s="1"/>
  <c r="C25" i="25" s="1"/>
  <c r="CU21" i="25"/>
  <c r="CY21" i="25" s="1"/>
  <c r="C21" i="25" s="1"/>
  <c r="CU24" i="25"/>
  <c r="CY24" i="25" s="1"/>
  <c r="C24" i="25" s="1"/>
  <c r="CU16" i="25"/>
  <c r="CY16" i="25" s="1"/>
  <c r="C16" i="25" s="1"/>
  <c r="CU26" i="25"/>
  <c r="CY26" i="25" s="1"/>
  <c r="C26" i="25" s="1"/>
  <c r="CU23" i="25"/>
  <c r="CY23" i="25" s="1"/>
  <c r="C23" i="25" s="1"/>
  <c r="CU27" i="25"/>
  <c r="CY27" i="25" s="1"/>
  <c r="C27" i="25" s="1"/>
  <c r="CU14" i="25"/>
  <c r="CY14" i="25" s="1"/>
  <c r="C14" i="25" s="1"/>
  <c r="CU15" i="25"/>
  <c r="CY15" i="25" s="1"/>
  <c r="C15" i="25" s="1"/>
  <c r="CU20" i="25"/>
  <c r="CY20" i="25" s="1"/>
  <c r="C20" i="25" s="1"/>
  <c r="CU17" i="25"/>
  <c r="CY17" i="25" s="1"/>
  <c r="C17" i="25" s="1"/>
  <c r="CU18" i="25"/>
  <c r="CY18" i="25" s="1"/>
  <c r="C18" i="25" s="1"/>
  <c r="CU30" i="25"/>
  <c r="CY30" i="25" s="1"/>
  <c r="C30" i="25" s="1"/>
  <c r="CU37" i="25"/>
  <c r="CY37" i="25" s="1"/>
  <c r="C37" i="25" s="1"/>
  <c r="CU35" i="25"/>
  <c r="CY35" i="25" s="1"/>
  <c r="C35" i="25" s="1"/>
  <c r="CU31" i="25"/>
  <c r="CY31" i="25" s="1"/>
  <c r="C31" i="25" s="1"/>
  <c r="CU33" i="25"/>
  <c r="CY33" i="25" s="1"/>
  <c r="C33" i="25" s="1"/>
  <c r="CU32" i="25"/>
  <c r="CY32" i="25" s="1"/>
  <c r="C32" i="25" s="1"/>
  <c r="CU28" i="25"/>
  <c r="CY28" i="25" s="1"/>
  <c r="C28" i="25" s="1"/>
  <c r="CU36" i="25"/>
  <c r="CY36" i="25" s="1"/>
  <c r="C36" i="25" s="1"/>
  <c r="CU38" i="25"/>
  <c r="CY38" i="25" s="1"/>
  <c r="C38" i="25" s="1"/>
  <c r="CU34" i="25"/>
  <c r="CY34" i="25" s="1"/>
  <c r="C34" i="25" s="1"/>
  <c r="O16" i="28" l="1"/>
  <c r="C9" i="28" l="1"/>
  <c r="C17" i="28" l="1"/>
  <c r="C26" i="28"/>
  <c r="C27" i="28"/>
  <c r="C25" i="28"/>
  <c r="C30" i="28"/>
  <c r="C21" i="28"/>
  <c r="C38" i="28"/>
  <c r="C37" i="28"/>
  <c r="C19" i="28"/>
  <c r="C22" i="28"/>
  <c r="C32" i="28"/>
  <c r="C31" i="28"/>
  <c r="C18" i="28"/>
  <c r="C29" i="28"/>
  <c r="C23" i="28"/>
  <c r="C36" i="28"/>
  <c r="C33" i="28"/>
  <c r="C35" i="28"/>
  <c r="C24" i="28"/>
  <c r="C34" i="28"/>
  <c r="C20" i="28"/>
  <c r="C28" i="28"/>
  <c r="K166" i="31" l="1"/>
  <c r="D166" i="31"/>
  <c r="D182" i="31"/>
  <c r="K182" i="31"/>
  <c r="D141" i="31"/>
  <c r="K141" i="31"/>
  <c r="K151" i="31"/>
  <c r="D151" i="31"/>
  <c r="D138" i="31"/>
  <c r="K138" i="31"/>
  <c r="K227" i="31"/>
  <c r="D227" i="31"/>
  <c r="D144" i="31"/>
  <c r="K144" i="31"/>
  <c r="K139" i="31"/>
  <c r="D139" i="31"/>
  <c r="D134" i="31"/>
  <c r="K134" i="31"/>
  <c r="D147" i="31"/>
  <c r="K147" i="31"/>
  <c r="D167" i="31"/>
  <c r="K167" i="31"/>
  <c r="D178" i="31"/>
  <c r="K178" i="31"/>
  <c r="D170" i="31"/>
  <c r="K170" i="31"/>
  <c r="K209" i="31"/>
  <c r="D209" i="31"/>
  <c r="K199" i="31"/>
  <c r="D199" i="31"/>
  <c r="K195" i="31"/>
  <c r="D195" i="31"/>
  <c r="O32" i="31"/>
  <c r="K205" i="31"/>
  <c r="D205" i="31"/>
  <c r="K162" i="31"/>
  <c r="D162" i="31"/>
  <c r="K219" i="31"/>
  <c r="D219" i="31"/>
  <c r="D135" i="31"/>
  <c r="K135" i="31"/>
  <c r="D188" i="31"/>
  <c r="K188" i="31"/>
  <c r="D212" i="31"/>
  <c r="K212" i="31"/>
  <c r="K220" i="31"/>
  <c r="D220" i="31"/>
  <c r="K196" i="31"/>
  <c r="D196" i="31"/>
  <c r="D137" i="31"/>
  <c r="K137" i="31"/>
  <c r="K204" i="31"/>
  <c r="D204" i="31"/>
  <c r="K175" i="31"/>
  <c r="D175" i="31"/>
  <c r="K159" i="31"/>
  <c r="D159" i="31"/>
  <c r="D152" i="31"/>
  <c r="K152" i="31"/>
  <c r="D142" i="31"/>
  <c r="K142" i="31"/>
  <c r="D200" i="31"/>
  <c r="K200" i="31"/>
  <c r="K210" i="31"/>
  <c r="D210" i="31"/>
  <c r="K153" i="31"/>
  <c r="D153" i="31"/>
  <c r="K213" i="31"/>
  <c r="D213" i="31"/>
  <c r="K224" i="31"/>
  <c r="D224" i="31"/>
  <c r="K140" i="31"/>
  <c r="D140" i="31"/>
  <c r="K173" i="31"/>
  <c r="D173" i="31"/>
  <c r="O29" i="31"/>
  <c r="K169" i="31"/>
  <c r="D169" i="31"/>
  <c r="O34" i="31"/>
  <c r="D225" i="31"/>
  <c r="K225" i="31"/>
  <c r="D218" i="31"/>
  <c r="K218" i="31"/>
  <c r="D206" i="31"/>
  <c r="K206" i="31"/>
  <c r="D146" i="31"/>
  <c r="K146" i="31"/>
  <c r="K211" i="31"/>
  <c r="D211" i="31"/>
  <c r="D154" i="31"/>
  <c r="K154" i="31"/>
  <c r="D183" i="31"/>
  <c r="K183" i="31"/>
  <c r="O31" i="31"/>
  <c r="K193" i="31"/>
  <c r="D193" i="31"/>
  <c r="D187" i="31"/>
  <c r="K187" i="31"/>
  <c r="D228" i="31"/>
  <c r="K228" i="31"/>
  <c r="K201" i="31"/>
  <c r="D201" i="31"/>
  <c r="D203" i="31"/>
  <c r="K203" i="31"/>
  <c r="D221" i="31"/>
  <c r="K221" i="31"/>
  <c r="K184" i="31"/>
  <c r="D184" i="31"/>
  <c r="D163" i="31"/>
  <c r="K163" i="31"/>
  <c r="D143" i="31"/>
  <c r="K143" i="31"/>
  <c r="K197" i="31"/>
  <c r="D197" i="31"/>
  <c r="K149" i="31"/>
  <c r="D149" i="31"/>
  <c r="D222" i="31"/>
  <c r="K222" i="31"/>
  <c r="D172" i="31"/>
  <c r="K172" i="31"/>
  <c r="D214" i="31"/>
  <c r="K214" i="31"/>
  <c r="D202" i="31"/>
  <c r="K202" i="31"/>
  <c r="D215" i="31"/>
  <c r="K215" i="31"/>
  <c r="D177" i="31"/>
  <c r="K177" i="31"/>
  <c r="K192" i="31"/>
  <c r="D192" i="31"/>
  <c r="K145" i="31"/>
  <c r="O27" i="31"/>
  <c r="D145" i="31"/>
  <c r="K148" i="31"/>
  <c r="D148" i="31"/>
  <c r="K207" i="31"/>
  <c r="D207" i="31"/>
  <c r="D150" i="31"/>
  <c r="K150" i="31"/>
  <c r="K185" i="31"/>
  <c r="D185" i="31"/>
  <c r="D179" i="31"/>
  <c r="K179" i="31"/>
  <c r="O33" i="31"/>
  <c r="K217" i="31"/>
  <c r="D217" i="31"/>
  <c r="K136" i="31"/>
  <c r="D136" i="31"/>
  <c r="D216" i="31"/>
  <c r="K216" i="31"/>
  <c r="D208" i="31"/>
  <c r="K208" i="31"/>
  <c r="K176" i="31"/>
  <c r="D176" i="31"/>
  <c r="K164" i="31"/>
  <c r="D164" i="31"/>
  <c r="K226" i="31"/>
  <c r="D226" i="31"/>
  <c r="D190" i="31"/>
  <c r="K190" i="31"/>
  <c r="D161" i="31"/>
  <c r="K161" i="31"/>
  <c r="K223" i="31"/>
  <c r="D223" i="31"/>
  <c r="D191" i="31"/>
  <c r="K191" i="31"/>
  <c r="K174" i="31"/>
  <c r="D174" i="31"/>
  <c r="D158" i="31"/>
  <c r="K158" i="31"/>
  <c r="K168" i="31"/>
  <c r="D168" i="31"/>
  <c r="K165" i="31"/>
  <c r="D165" i="31"/>
  <c r="D133" i="31"/>
  <c r="O26" i="31"/>
  <c r="K133" i="31"/>
  <c r="D155" i="31"/>
  <c r="K155" i="31"/>
  <c r="O30" i="31"/>
  <c r="K181" i="31"/>
  <c r="D181" i="31"/>
  <c r="K194" i="31"/>
  <c r="D194" i="31"/>
  <c r="K157" i="31"/>
  <c r="O28" i="31"/>
  <c r="D157" i="31"/>
  <c r="K156" i="31"/>
  <c r="D156" i="31"/>
  <c r="K198" i="31"/>
  <c r="D198" i="31"/>
  <c r="K160" i="31"/>
  <c r="D160" i="31"/>
  <c r="D189" i="31"/>
  <c r="K189" i="31"/>
  <c r="K180" i="31"/>
  <c r="D180" i="31"/>
  <c r="D171" i="31"/>
  <c r="K171" i="31"/>
  <c r="D186" i="31"/>
  <c r="K186" i="31"/>
  <c r="N28" i="31" l="1"/>
  <c r="R28" i="31" s="1"/>
  <c r="N26" i="31"/>
  <c r="N30" i="31"/>
  <c r="R30" i="31" s="1"/>
  <c r="N33" i="31"/>
  <c r="R33" i="31" s="1"/>
  <c r="N27" i="31"/>
  <c r="R27" i="31" s="1"/>
  <c r="M34" i="31"/>
  <c r="N29" i="31"/>
  <c r="R29" i="31" s="1"/>
  <c r="N32" i="31"/>
  <c r="R32" i="31" s="1"/>
  <c r="R26" i="31"/>
  <c r="N34" i="31"/>
  <c r="R34" i="31" s="1"/>
  <c r="N31" i="31"/>
  <c r="R31" i="31" s="1"/>
  <c r="O35" i="31"/>
  <c r="O36" i="31" l="1"/>
  <c r="Q34" i="31"/>
  <c r="P34" i="31"/>
  <c r="N35" i="31"/>
  <c r="R35" i="31" s="1"/>
  <c r="M35" i="31"/>
  <c r="M36" i="31" l="1"/>
  <c r="O37" i="31"/>
  <c r="Q35" i="31"/>
  <c r="P35" i="31"/>
  <c r="N36" i="31" l="1"/>
  <c r="R36" i="31" s="1"/>
  <c r="M37" i="31"/>
  <c r="O38" i="31"/>
  <c r="Q36" i="31"/>
  <c r="P36" i="31" l="1"/>
  <c r="N37" i="31"/>
  <c r="R37" i="31" s="1"/>
  <c r="N38" i="31"/>
  <c r="R38" i="31" s="1"/>
  <c r="Q37" i="31"/>
  <c r="M38" i="31"/>
  <c r="P37" i="31" l="1"/>
  <c r="P38" i="31"/>
  <c r="Q38" i="31"/>
  <c r="E161" i="31" l="1"/>
  <c r="G161" i="31" s="1"/>
  <c r="E152" i="31"/>
  <c r="G152" i="31" s="1"/>
  <c r="E206" i="31"/>
  <c r="G206" i="31" s="1"/>
  <c r="E219" i="31"/>
  <c r="G219" i="31" s="1"/>
  <c r="E213" i="31"/>
  <c r="G213" i="31" s="1"/>
  <c r="E221" i="31"/>
  <c r="G221" i="31" s="1"/>
  <c r="E218" i="31"/>
  <c r="G218" i="31" s="1"/>
  <c r="E171" i="31"/>
  <c r="G171" i="31" s="1"/>
  <c r="E147" i="31"/>
  <c r="G147" i="31" s="1"/>
  <c r="E197" i="31"/>
  <c r="G197" i="31" s="1"/>
  <c r="E183" i="31"/>
  <c r="G183" i="31" s="1"/>
  <c r="E194" i="31"/>
  <c r="G194" i="31" s="1"/>
  <c r="E170" i="31"/>
  <c r="G170" i="31" s="1"/>
  <c r="E227" i="31"/>
  <c r="G227" i="31" s="1"/>
  <c r="E223" i="31"/>
  <c r="G223" i="31" s="1"/>
  <c r="E187" i="31"/>
  <c r="G187" i="31" s="1"/>
  <c r="E224" i="31"/>
  <c r="G224" i="31" s="1"/>
  <c r="E188" i="31"/>
  <c r="G188" i="31" s="1"/>
  <c r="E202" i="31"/>
  <c r="G202" i="31" s="1"/>
  <c r="E195" i="31"/>
  <c r="G195" i="31" s="1"/>
  <c r="E150" i="31"/>
  <c r="G150" i="31" s="1"/>
  <c r="E178" i="31"/>
  <c r="G178" i="31" s="1"/>
  <c r="E211" i="31"/>
  <c r="G211" i="31" s="1"/>
  <c r="E228" i="31"/>
  <c r="G228" i="31" s="1"/>
  <c r="E172" i="31"/>
  <c r="G172" i="31" s="1"/>
  <c r="E222" i="31"/>
  <c r="G222" i="31" s="1"/>
  <c r="E191" i="31"/>
  <c r="G191" i="31" s="1"/>
  <c r="E158" i="31"/>
  <c r="G158" i="31" s="1"/>
  <c r="E144" i="31"/>
  <c r="G144" i="31" s="1"/>
  <c r="E207" i="31"/>
  <c r="G207" i="31" s="1"/>
  <c r="E186" i="31"/>
  <c r="G186" i="31" s="1"/>
  <c r="E162" i="31"/>
  <c r="G162" i="31" s="1"/>
  <c r="E198" i="31"/>
  <c r="G198" i="31" s="1"/>
  <c r="E184" i="31"/>
  <c r="G184" i="31" s="1"/>
  <c r="E156" i="31"/>
  <c r="G156" i="31" s="1"/>
  <c r="E199" i="31"/>
  <c r="G199" i="31" s="1"/>
  <c r="E177" i="31"/>
  <c r="G177" i="31" s="1"/>
  <c r="E149" i="31"/>
  <c r="G149" i="31" s="1"/>
  <c r="E225" i="31"/>
  <c r="G225" i="31" s="1"/>
  <c r="E173" i="31"/>
  <c r="G173" i="31" s="1"/>
  <c r="E135" i="31"/>
  <c r="G135" i="31" s="1"/>
  <c r="E163" i="31"/>
  <c r="G163" i="31" s="1"/>
  <c r="E164" i="31"/>
  <c r="G164" i="31" s="1"/>
  <c r="E166" i="31"/>
  <c r="G166" i="31" s="1"/>
  <c r="E146" i="31"/>
  <c r="G146" i="31" s="1"/>
  <c r="E139" i="31"/>
  <c r="G139" i="31" s="1"/>
  <c r="E137" i="31"/>
  <c r="G137" i="31" s="1"/>
  <c r="E201" i="31"/>
  <c r="G201" i="31" s="1"/>
  <c r="E140" i="31"/>
  <c r="G140" i="31" s="1"/>
  <c r="E167" i="31"/>
  <c r="G167" i="31" s="1"/>
  <c r="E214" i="31"/>
  <c r="G214" i="31" s="1"/>
  <c r="E159" i="31"/>
  <c r="G159" i="31" s="1"/>
  <c r="E151" i="31"/>
  <c r="G151" i="31" s="1"/>
  <c r="E165" i="31"/>
  <c r="G165" i="31" s="1"/>
  <c r="E209" i="31"/>
  <c r="G209" i="31" s="1"/>
  <c r="E200" i="31"/>
  <c r="G200" i="31" s="1"/>
  <c r="E176" i="31"/>
  <c r="G176" i="31" s="1"/>
  <c r="E160" i="31"/>
  <c r="G160" i="31" s="1"/>
  <c r="E226" i="31"/>
  <c r="G226" i="31" s="1"/>
  <c r="E215" i="31"/>
  <c r="G215" i="31" s="1"/>
  <c r="E189" i="31"/>
  <c r="G189" i="31" s="1"/>
  <c r="E182" i="31"/>
  <c r="G182" i="31" s="1"/>
  <c r="E196" i="31"/>
  <c r="G196" i="31" s="1"/>
  <c r="E148" i="31"/>
  <c r="G148" i="31" s="1"/>
  <c r="E190" i="31"/>
  <c r="G190" i="31" s="1"/>
  <c r="E179" i="31"/>
  <c r="G179" i="31" s="1"/>
  <c r="E208" i="31"/>
  <c r="G208" i="31" s="1"/>
  <c r="E175" i="31"/>
  <c r="G175" i="31" s="1"/>
  <c r="E153" i="31"/>
  <c r="G153" i="31" s="1"/>
  <c r="E136" i="31"/>
  <c r="G136" i="31" s="1"/>
  <c r="E220" i="31"/>
  <c r="G220" i="31" s="1"/>
  <c r="E174" i="31"/>
  <c r="G174" i="31" s="1"/>
  <c r="E154" i="31"/>
  <c r="G154" i="31" s="1"/>
  <c r="E212" i="31"/>
  <c r="G212" i="31" s="1"/>
  <c r="E134" i="31"/>
  <c r="G134" i="31" s="1"/>
  <c r="E155" i="31"/>
  <c r="G155" i="31" s="1"/>
  <c r="E203" i="31"/>
  <c r="G203" i="31" s="1"/>
  <c r="E210" i="31"/>
  <c r="G210" i="31" s="1"/>
  <c r="E185" i="31"/>
  <c r="G185" i="31" s="1"/>
  <c r="E180" i="31" l="1"/>
  <c r="G180" i="31" s="1"/>
  <c r="E168" i="31"/>
  <c r="G168" i="31" s="1"/>
  <c r="E216" i="31"/>
  <c r="G216" i="31" s="1"/>
  <c r="E204" i="31"/>
  <c r="G204" i="31" s="1"/>
  <c r="E192" i="31"/>
  <c r="G192" i="31" s="1"/>
  <c r="E141" i="31"/>
  <c r="G141" i="31" s="1"/>
  <c r="E143" i="31"/>
  <c r="G143" i="31" s="1"/>
  <c r="E142" i="31"/>
  <c r="G142" i="31" s="1"/>
  <c r="E138" i="31"/>
  <c r="G138" i="31" s="1"/>
  <c r="E205" i="31" l="1"/>
  <c r="G205" i="31" s="1"/>
  <c r="M32" i="31"/>
  <c r="E133" i="31"/>
  <c r="G133" i="31" s="1"/>
  <c r="M26" i="31"/>
  <c r="E181" i="31"/>
  <c r="G181" i="31" s="1"/>
  <c r="M30" i="31"/>
  <c r="E169" i="31" l="1"/>
  <c r="G169" i="31" s="1"/>
  <c r="M29" i="31"/>
  <c r="Q26" i="31"/>
  <c r="P26" i="31"/>
  <c r="M27" i="31"/>
  <c r="E145" i="31"/>
  <c r="G145" i="31" s="1"/>
  <c r="E193" i="31"/>
  <c r="G193" i="31" s="1"/>
  <c r="M31" i="31"/>
  <c r="M33" i="31"/>
  <c r="E217" i="31"/>
  <c r="G217" i="31" s="1"/>
  <c r="M28" i="31"/>
  <c r="E157" i="31"/>
  <c r="G157" i="31" s="1"/>
  <c r="Q30" i="31"/>
  <c r="P30" i="31"/>
  <c r="Q32" i="31"/>
  <c r="P32" i="31"/>
  <c r="Q31" i="31" l="1"/>
  <c r="P31" i="31"/>
  <c r="P28" i="31"/>
  <c r="Q28" i="31"/>
  <c r="Q29" i="31"/>
  <c r="P29" i="31"/>
  <c r="P33" i="31"/>
  <c r="Q33" i="31"/>
  <c r="P27" i="31"/>
  <c r="Q27" i="31"/>
  <c r="J18" i="43" l="1"/>
  <c r="I19" i="43"/>
  <c r="I20" i="43" l="1"/>
  <c r="J19" i="43"/>
  <c r="B11" i="77"/>
  <c r="K18" i="43"/>
  <c r="K19" i="43" l="1"/>
  <c r="B12" i="77"/>
  <c r="I21" i="43"/>
  <c r="J20" i="43"/>
  <c r="K20" i="43" l="1"/>
  <c r="B13" i="77"/>
  <c r="I22" i="43"/>
  <c r="J21" i="43"/>
  <c r="B14" i="77" l="1"/>
  <c r="K21" i="43"/>
  <c r="I23" i="43"/>
  <c r="J22" i="43"/>
  <c r="B15" i="77" l="1"/>
  <c r="K22" i="43"/>
  <c r="J23" i="43"/>
  <c r="I24" i="43"/>
  <c r="I25" i="43" l="1"/>
  <c r="J24" i="43"/>
  <c r="K23" i="43"/>
  <c r="B16" i="77"/>
  <c r="B17" i="77" l="1"/>
  <c r="K24" i="43"/>
  <c r="J25" i="43"/>
  <c r="I26" i="43"/>
  <c r="I27" i="43" l="1"/>
  <c r="J27" i="43" s="1"/>
  <c r="J26" i="43"/>
  <c r="K25" i="43"/>
  <c r="B18" i="77"/>
  <c r="B19" i="77" l="1"/>
  <c r="K26" i="43"/>
  <c r="K27" i="43"/>
  <c r="B20" i="77"/>
  <c r="B50" i="77" l="1"/>
  <c r="F9" i="31"/>
  <c r="K76" i="31" l="1"/>
  <c r="D76" i="31"/>
  <c r="K17" i="31"/>
  <c r="D17" i="31"/>
  <c r="K84" i="31"/>
  <c r="D84" i="31"/>
  <c r="D18" i="31"/>
  <c r="K18" i="31"/>
  <c r="D107" i="31"/>
  <c r="K107" i="31"/>
  <c r="K24" i="31"/>
  <c r="D24" i="31"/>
  <c r="K19" i="31"/>
  <c r="D19" i="31"/>
  <c r="K14" i="31"/>
  <c r="D14" i="31"/>
  <c r="D27" i="31"/>
  <c r="K27" i="31"/>
  <c r="K47" i="31"/>
  <c r="D47" i="31"/>
  <c r="K126" i="31"/>
  <c r="D126" i="31"/>
  <c r="K118" i="31"/>
  <c r="D118" i="31"/>
  <c r="O25" i="31"/>
  <c r="K121" i="31"/>
  <c r="D121" i="31"/>
  <c r="K130" i="31"/>
  <c r="D130" i="31"/>
  <c r="K58" i="31"/>
  <c r="D58" i="31"/>
  <c r="D50" i="31"/>
  <c r="K50" i="31"/>
  <c r="D89" i="31"/>
  <c r="K89" i="31"/>
  <c r="K79" i="31"/>
  <c r="D79" i="31"/>
  <c r="D75" i="31"/>
  <c r="K75" i="31"/>
  <c r="K85" i="31"/>
  <c r="O22" i="31"/>
  <c r="D85" i="31"/>
  <c r="K42" i="31"/>
  <c r="D42" i="31"/>
  <c r="D99" i="31"/>
  <c r="K99" i="31"/>
  <c r="K15" i="31"/>
  <c r="D15" i="31"/>
  <c r="D68" i="31"/>
  <c r="K68" i="31"/>
  <c r="K92" i="31"/>
  <c r="D92" i="31"/>
  <c r="K62" i="31"/>
  <c r="D62" i="31"/>
  <c r="K31" i="31"/>
  <c r="D31" i="31"/>
  <c r="K55" i="31"/>
  <c r="D55" i="31"/>
  <c r="K127" i="31"/>
  <c r="D127" i="31"/>
  <c r="K39" i="31"/>
  <c r="D39" i="31"/>
  <c r="K32" i="31"/>
  <c r="D32" i="31"/>
  <c r="K22" i="31"/>
  <c r="D22" i="31"/>
  <c r="K80" i="31"/>
  <c r="D80" i="31"/>
  <c r="D90" i="31"/>
  <c r="K90" i="31"/>
  <c r="K33" i="31"/>
  <c r="D33" i="31"/>
  <c r="K93" i="31"/>
  <c r="D93" i="31"/>
  <c r="D104" i="31"/>
  <c r="K104" i="31"/>
  <c r="D112" i="31"/>
  <c r="K112" i="31"/>
  <c r="D20" i="31"/>
  <c r="K20" i="31"/>
  <c r="D53" i="31"/>
  <c r="K53" i="31"/>
  <c r="D49" i="31"/>
  <c r="K49" i="31"/>
  <c r="O19" i="31"/>
  <c r="D109" i="31"/>
  <c r="O24" i="31"/>
  <c r="K109" i="31"/>
  <c r="D105" i="31"/>
  <c r="K105" i="31"/>
  <c r="K98" i="31"/>
  <c r="D98" i="31"/>
  <c r="D86" i="31"/>
  <c r="K86" i="31"/>
  <c r="D26" i="31"/>
  <c r="K26" i="31"/>
  <c r="K91" i="31"/>
  <c r="D91" i="31"/>
  <c r="K34" i="31"/>
  <c r="D34" i="31"/>
  <c r="K63" i="31"/>
  <c r="D63" i="31"/>
  <c r="O21" i="31"/>
  <c r="K73" i="31"/>
  <c r="D73" i="31"/>
  <c r="K67" i="31"/>
  <c r="D67" i="31"/>
  <c r="D108" i="31"/>
  <c r="K108" i="31"/>
  <c r="D81" i="31"/>
  <c r="K81" i="31"/>
  <c r="D115" i="31"/>
  <c r="K115" i="31"/>
  <c r="D83" i="31"/>
  <c r="K83" i="31"/>
  <c r="K113" i="31"/>
  <c r="D113" i="31"/>
  <c r="D101" i="31"/>
  <c r="K101" i="31"/>
  <c r="D117" i="31"/>
  <c r="K117" i="31"/>
  <c r="K64" i="31"/>
  <c r="D64" i="31"/>
  <c r="D114" i="31"/>
  <c r="K114" i="31"/>
  <c r="D43" i="31"/>
  <c r="K43" i="31"/>
  <c r="K23" i="31"/>
  <c r="D23" i="31"/>
  <c r="K21" i="31"/>
  <c r="D21" i="31"/>
  <c r="D46" i="31"/>
  <c r="K46" i="31"/>
  <c r="D77" i="31"/>
  <c r="K77" i="31"/>
  <c r="K29" i="31"/>
  <c r="D29" i="31"/>
  <c r="D102" i="31"/>
  <c r="K102" i="31"/>
  <c r="K52" i="31"/>
  <c r="D52" i="31"/>
  <c r="K128" i="31"/>
  <c r="D128" i="31"/>
  <c r="D129" i="31"/>
  <c r="K129" i="31"/>
  <c r="K94" i="31"/>
  <c r="D94" i="31"/>
  <c r="D82" i="31"/>
  <c r="K82" i="31"/>
  <c r="K95" i="31"/>
  <c r="D95" i="31"/>
  <c r="D57" i="31"/>
  <c r="K57" i="31"/>
  <c r="D72" i="31"/>
  <c r="K72" i="31"/>
  <c r="D25" i="31"/>
  <c r="D12" i="31"/>
  <c r="G12" i="31" s="1"/>
  <c r="K25" i="31"/>
  <c r="O17" i="31"/>
  <c r="K28" i="31"/>
  <c r="D28" i="31"/>
  <c r="K87" i="31"/>
  <c r="D87" i="31"/>
  <c r="D132" i="31"/>
  <c r="K132" i="31"/>
  <c r="D30" i="31"/>
  <c r="K30" i="31"/>
  <c r="D65" i="31"/>
  <c r="K65" i="31"/>
  <c r="D119" i="31"/>
  <c r="K119" i="31"/>
  <c r="D59" i="31"/>
  <c r="K59" i="31"/>
  <c r="D125" i="31"/>
  <c r="K125" i="31"/>
  <c r="D116" i="31"/>
  <c r="K116" i="31"/>
  <c r="D100" i="31"/>
  <c r="K100" i="31"/>
  <c r="D97" i="31"/>
  <c r="K97" i="31"/>
  <c r="O23" i="31"/>
  <c r="K120" i="31"/>
  <c r="D120" i="31"/>
  <c r="K16" i="31"/>
  <c r="D16" i="31"/>
  <c r="D96" i="31"/>
  <c r="K96" i="31"/>
  <c r="K88" i="31"/>
  <c r="D88" i="31"/>
  <c r="K56" i="31"/>
  <c r="D56" i="31"/>
  <c r="K44" i="31"/>
  <c r="D44" i="31"/>
  <c r="K106" i="31"/>
  <c r="D106" i="31"/>
  <c r="D70" i="31"/>
  <c r="K70" i="31"/>
  <c r="K41" i="31"/>
  <c r="D41" i="31"/>
  <c r="K103" i="31"/>
  <c r="D103" i="31"/>
  <c r="D122" i="31"/>
  <c r="K122" i="31"/>
  <c r="D71" i="31"/>
  <c r="K71" i="31"/>
  <c r="D111" i="31"/>
  <c r="K111" i="31"/>
  <c r="K54" i="31"/>
  <c r="D54" i="31"/>
  <c r="K38" i="31"/>
  <c r="D38" i="31"/>
  <c r="K48" i="31"/>
  <c r="D48" i="31"/>
  <c r="K124" i="31"/>
  <c r="D124" i="31"/>
  <c r="D45" i="31"/>
  <c r="K45" i="31"/>
  <c r="K13" i="31"/>
  <c r="D13" i="31"/>
  <c r="O16" i="31"/>
  <c r="K35" i="31"/>
  <c r="D35" i="31"/>
  <c r="D110" i="31"/>
  <c r="K110" i="31"/>
  <c r="K131" i="31"/>
  <c r="D131" i="31"/>
  <c r="K61" i="31"/>
  <c r="O20" i="31"/>
  <c r="D61" i="31"/>
  <c r="D74" i="31"/>
  <c r="K74" i="31"/>
  <c r="D37" i="31"/>
  <c r="O18" i="31"/>
  <c r="K37" i="31"/>
  <c r="D36" i="31"/>
  <c r="K36" i="31"/>
  <c r="D78" i="31"/>
  <c r="K78" i="31"/>
  <c r="D40" i="31"/>
  <c r="K40" i="31"/>
  <c r="K69" i="31"/>
  <c r="D69" i="31"/>
  <c r="K60" i="31"/>
  <c r="D60" i="31"/>
  <c r="K51" i="31"/>
  <c r="D51" i="31"/>
  <c r="K66" i="31"/>
  <c r="D66" i="31"/>
  <c r="D123" i="31"/>
  <c r="K123" i="31"/>
  <c r="D9" i="31"/>
  <c r="N18" i="31" l="1"/>
  <c r="R18" i="31" s="1"/>
  <c r="N20" i="31"/>
  <c r="R20" i="31" s="1"/>
  <c r="K5" i="31"/>
  <c r="K4" i="31"/>
  <c r="N16" i="31"/>
  <c r="R16" i="31" s="1"/>
  <c r="N17" i="31"/>
  <c r="R17" i="31" s="1"/>
  <c r="N21" i="31"/>
  <c r="R21" i="31" s="1"/>
  <c r="N24" i="31"/>
  <c r="R24" i="31" s="1"/>
  <c r="N19" i="31"/>
  <c r="R19" i="31" s="1"/>
  <c r="N25" i="31"/>
  <c r="R25" i="31" s="1"/>
  <c r="N23" i="31"/>
  <c r="R23" i="31" s="1"/>
  <c r="N22" i="31"/>
  <c r="R22" i="31" s="1"/>
  <c r="K3" i="25" l="1"/>
  <c r="K6" i="31"/>
  <c r="B5" i="31" s="1"/>
  <c r="M7" i="31"/>
  <c r="B5" i="25" l="1"/>
  <c r="G9" i="25"/>
  <c r="C49" i="25"/>
  <c r="G34" i="25"/>
  <c r="E23" i="25"/>
  <c r="E28" i="25"/>
  <c r="G25" i="25"/>
  <c r="E34" i="25"/>
  <c r="E33" i="25"/>
  <c r="G35" i="25"/>
  <c r="G27" i="25"/>
  <c r="E30" i="25"/>
  <c r="G36" i="25"/>
  <c r="G31" i="25"/>
  <c r="E24" i="25"/>
  <c r="G30" i="25"/>
  <c r="G28" i="25"/>
  <c r="E31" i="25"/>
  <c r="E38" i="25"/>
  <c r="E36" i="25"/>
  <c r="E37" i="25"/>
  <c r="E26" i="25"/>
  <c r="E29" i="25"/>
  <c r="G24" i="25"/>
  <c r="G26" i="25"/>
  <c r="G38" i="25"/>
  <c r="G37" i="25"/>
  <c r="E25" i="25"/>
  <c r="E32" i="25"/>
  <c r="G32" i="25"/>
  <c r="E27" i="25"/>
  <c r="G29" i="25"/>
  <c r="E35" i="25"/>
  <c r="G33" i="25"/>
  <c r="G23" i="25"/>
  <c r="D22" i="82" l="1"/>
  <c r="J22" i="82" s="1"/>
  <c r="D23" i="82"/>
  <c r="J23" i="82" s="1"/>
  <c r="D21" i="82"/>
  <c r="J21" i="82" s="1"/>
  <c r="D19" i="82"/>
  <c r="J19" i="82" s="1"/>
  <c r="D20" i="82"/>
  <c r="J20" i="82" s="1"/>
  <c r="B5" i="66"/>
  <c r="B4" i="31"/>
  <c r="B5" i="28"/>
  <c r="E41" i="31" l="1"/>
  <c r="G41" i="31" s="1"/>
  <c r="E32" i="31"/>
  <c r="G32" i="31" s="1"/>
  <c r="E112" i="31"/>
  <c r="G112" i="31" s="1"/>
  <c r="E86" i="31"/>
  <c r="G86" i="31" s="1"/>
  <c r="E99" i="31"/>
  <c r="G99" i="31" s="1"/>
  <c r="E93" i="31"/>
  <c r="G93" i="31" s="1"/>
  <c r="E101" i="31"/>
  <c r="G101" i="31" s="1"/>
  <c r="E98" i="31"/>
  <c r="G98" i="31" s="1"/>
  <c r="E51" i="31"/>
  <c r="G51" i="31" s="1"/>
  <c r="E27" i="31"/>
  <c r="G27" i="31" s="1"/>
  <c r="E77" i="31"/>
  <c r="G77" i="31" s="1"/>
  <c r="E63" i="31"/>
  <c r="G63" i="31" s="1"/>
  <c r="E74" i="31"/>
  <c r="G74" i="31" s="1"/>
  <c r="E50" i="31"/>
  <c r="G50" i="31" s="1"/>
  <c r="E107" i="31"/>
  <c r="G107" i="31" s="1"/>
  <c r="E103" i="31"/>
  <c r="G103" i="31" s="1"/>
  <c r="E67" i="31"/>
  <c r="G67" i="31" s="1"/>
  <c r="E104" i="31"/>
  <c r="G104" i="31" s="1"/>
  <c r="E68" i="31"/>
  <c r="G68" i="31" s="1"/>
  <c r="E82" i="31"/>
  <c r="G82" i="31" s="1"/>
  <c r="E75" i="31"/>
  <c r="G75" i="31" s="1"/>
  <c r="E30" i="31"/>
  <c r="G30" i="31" s="1"/>
  <c r="E111" i="31"/>
  <c r="G111" i="31" s="1"/>
  <c r="E58" i="31"/>
  <c r="G58" i="31" s="1"/>
  <c r="E118" i="31"/>
  <c r="G118" i="31" s="1"/>
  <c r="E91" i="31"/>
  <c r="G91" i="31" s="1"/>
  <c r="E108" i="31"/>
  <c r="G108" i="31" s="1"/>
  <c r="E52" i="31"/>
  <c r="G52" i="31" s="1"/>
  <c r="E102" i="31"/>
  <c r="G102" i="31" s="1"/>
  <c r="E71" i="31"/>
  <c r="G71" i="31" s="1"/>
  <c r="E38" i="31"/>
  <c r="G38" i="31" s="1"/>
  <c r="E24" i="31"/>
  <c r="G24" i="31" s="1"/>
  <c r="E87" i="31"/>
  <c r="G87" i="31" s="1"/>
  <c r="E66" i="31"/>
  <c r="G66" i="31" s="1"/>
  <c r="E42" i="31"/>
  <c r="G42" i="31" s="1"/>
  <c r="E78" i="31"/>
  <c r="G78" i="31" s="1"/>
  <c r="E115" i="31"/>
  <c r="G115" i="31" s="1"/>
  <c r="E64" i="31"/>
  <c r="G64" i="31" s="1"/>
  <c r="E36" i="31"/>
  <c r="G36" i="31" s="1"/>
  <c r="E79" i="31"/>
  <c r="G79" i="31" s="1"/>
  <c r="E57" i="31"/>
  <c r="G57" i="31" s="1"/>
  <c r="E114" i="31"/>
  <c r="G114" i="31" s="1"/>
  <c r="E117" i="31"/>
  <c r="G117" i="31" s="1"/>
  <c r="E29" i="31"/>
  <c r="G29" i="31" s="1"/>
  <c r="E105" i="31"/>
  <c r="G105" i="31" s="1"/>
  <c r="E53" i="31"/>
  <c r="G53" i="31" s="1"/>
  <c r="E15" i="31"/>
  <c r="G15" i="31" s="1"/>
  <c r="E43" i="31"/>
  <c r="G43" i="31" s="1"/>
  <c r="E44" i="31"/>
  <c r="G44" i="31" s="1"/>
  <c r="E46" i="31"/>
  <c r="G46" i="31" s="1"/>
  <c r="E26" i="31"/>
  <c r="G26" i="31" s="1"/>
  <c r="E19" i="31"/>
  <c r="G19" i="31" s="1"/>
  <c r="E17" i="31"/>
  <c r="G17" i="31" s="1"/>
  <c r="E81" i="31"/>
  <c r="G81" i="31" s="1"/>
  <c r="E20" i="31"/>
  <c r="G20" i="31" s="1"/>
  <c r="E47" i="31"/>
  <c r="G47" i="31" s="1"/>
  <c r="E94" i="31"/>
  <c r="G94" i="31" s="1"/>
  <c r="E39" i="31"/>
  <c r="G39" i="31" s="1"/>
  <c r="E116" i="31"/>
  <c r="G116" i="31" s="1"/>
  <c r="E31" i="31"/>
  <c r="G31" i="31" s="1"/>
  <c r="E45" i="31"/>
  <c r="G45" i="31" s="1"/>
  <c r="E89" i="31"/>
  <c r="G89" i="31" s="1"/>
  <c r="E80" i="31"/>
  <c r="G80" i="31" s="1"/>
  <c r="E56" i="31"/>
  <c r="G56" i="31" s="1"/>
  <c r="E40" i="31"/>
  <c r="G40" i="31" s="1"/>
  <c r="E106" i="31"/>
  <c r="G106" i="31" s="1"/>
  <c r="E95" i="31"/>
  <c r="G95" i="31" s="1"/>
  <c r="E69" i="31"/>
  <c r="G69" i="31" s="1"/>
  <c r="E62" i="31"/>
  <c r="G62" i="31" s="1"/>
  <c r="E76" i="31"/>
  <c r="G76" i="31" s="1"/>
  <c r="E119" i="31"/>
  <c r="G119" i="31" s="1"/>
  <c r="E28" i="31"/>
  <c r="G28" i="31" s="1"/>
  <c r="E70" i="31"/>
  <c r="G70" i="31" s="1"/>
  <c r="E59" i="31"/>
  <c r="G59" i="31" s="1"/>
  <c r="E88" i="31"/>
  <c r="G88" i="31" s="1"/>
  <c r="E113" i="31"/>
  <c r="G113" i="31" s="1"/>
  <c r="E55" i="31"/>
  <c r="G55" i="31" s="1"/>
  <c r="E33" i="31"/>
  <c r="G33" i="31" s="1"/>
  <c r="E16" i="31"/>
  <c r="G16" i="31" s="1"/>
  <c r="E100" i="31"/>
  <c r="G100" i="31" s="1"/>
  <c r="E120" i="31"/>
  <c r="G120" i="31" s="1"/>
  <c r="E54" i="31"/>
  <c r="G54" i="31" s="1"/>
  <c r="E110" i="31"/>
  <c r="G110" i="31" s="1"/>
  <c r="E34" i="31"/>
  <c r="G34" i="31" s="1"/>
  <c r="E92" i="31"/>
  <c r="G92" i="31" s="1"/>
  <c r="E14" i="31"/>
  <c r="G14" i="31" s="1"/>
  <c r="E35" i="31"/>
  <c r="G35" i="31" s="1"/>
  <c r="E83" i="31"/>
  <c r="G83" i="31" s="1"/>
  <c r="E90" i="31"/>
  <c r="G90" i="31" s="1"/>
  <c r="E65" i="31"/>
  <c r="G65" i="31" s="1"/>
  <c r="E60" i="31" l="1"/>
  <c r="G60" i="31" s="1"/>
  <c r="E48" i="31"/>
  <c r="G48" i="31" s="1"/>
  <c r="E96" i="31"/>
  <c r="G96" i="31" s="1"/>
  <c r="E84" i="31"/>
  <c r="G84" i="31" s="1"/>
  <c r="E72" i="31"/>
  <c r="G72" i="31" s="1"/>
  <c r="E21" i="31"/>
  <c r="G21" i="31" s="1"/>
  <c r="E23" i="31"/>
  <c r="G23" i="31" s="1"/>
  <c r="E22" i="31"/>
  <c r="G22" i="31" s="1"/>
  <c r="E18" i="31"/>
  <c r="G18" i="31" s="1"/>
  <c r="E132" i="31"/>
  <c r="G132" i="31" s="1"/>
  <c r="E123" i="31"/>
  <c r="G123" i="31" s="1"/>
  <c r="E129" i="31"/>
  <c r="G129" i="31" s="1"/>
  <c r="E128" i="31"/>
  <c r="G128" i="31" s="1"/>
  <c r="E122" i="31"/>
  <c r="G122" i="31" s="1"/>
  <c r="E131" i="31"/>
  <c r="G131" i="31" s="1"/>
  <c r="E125" i="31"/>
  <c r="G125" i="31" s="1"/>
  <c r="E130" i="31"/>
  <c r="G130" i="31" s="1"/>
  <c r="E126" i="31"/>
  <c r="G126" i="31" s="1"/>
  <c r="E127" i="31"/>
  <c r="G127" i="31" s="1"/>
  <c r="E124" i="31"/>
  <c r="G124" i="31" s="1"/>
  <c r="E19" i="25"/>
  <c r="E17" i="25"/>
  <c r="E13" i="25"/>
  <c r="E13" i="31" l="1"/>
  <c r="M16" i="31"/>
  <c r="M20" i="31"/>
  <c r="E61" i="31"/>
  <c r="E85" i="31"/>
  <c r="M22" i="31"/>
  <c r="E14" i="25"/>
  <c r="E15" i="25"/>
  <c r="E21" i="25"/>
  <c r="E22" i="25"/>
  <c r="E16" i="25"/>
  <c r="E20" i="25"/>
  <c r="G19" i="25"/>
  <c r="C9" i="31"/>
  <c r="G17" i="25"/>
  <c r="E18" i="25"/>
  <c r="G13" i="25"/>
  <c r="D9" i="82" l="1"/>
  <c r="J9" i="82" s="1"/>
  <c r="D13" i="82"/>
  <c r="J13" i="82" s="1"/>
  <c r="D15" i="82"/>
  <c r="J15" i="82" s="1"/>
  <c r="G9" i="31"/>
  <c r="G50" i="25" s="1"/>
  <c r="E50" i="25"/>
  <c r="M17" i="31"/>
  <c r="E25" i="31"/>
  <c r="M18" i="31"/>
  <c r="E37" i="31"/>
  <c r="G61" i="31"/>
  <c r="E109" i="31"/>
  <c r="M24" i="31"/>
  <c r="P20" i="31"/>
  <c r="Q20" i="31"/>
  <c r="M25" i="31"/>
  <c r="E121" i="31"/>
  <c r="P22" i="31"/>
  <c r="Q22" i="31"/>
  <c r="P16" i="31"/>
  <c r="Q16" i="31"/>
  <c r="E49" i="31"/>
  <c r="M19" i="31"/>
  <c r="M21" i="31"/>
  <c r="E73" i="31"/>
  <c r="E97" i="31"/>
  <c r="M23" i="31"/>
  <c r="G85" i="31"/>
  <c r="G13" i="31"/>
  <c r="G18" i="25"/>
  <c r="G20" i="25"/>
  <c r="G21" i="25"/>
  <c r="G14" i="25"/>
  <c r="G16" i="25"/>
  <c r="E9" i="31"/>
  <c r="G15" i="25"/>
  <c r="G22" i="25"/>
  <c r="D26" i="82" l="1"/>
  <c r="J26" i="82" s="1"/>
  <c r="J27" i="82" s="1"/>
  <c r="D17" i="82"/>
  <c r="J17" i="82" s="1"/>
  <c r="D11" i="82"/>
  <c r="J11" i="82" s="1"/>
  <c r="D10" i="82"/>
  <c r="J10" i="82" s="1"/>
  <c r="D14" i="82"/>
  <c r="J14" i="82" s="1"/>
  <c r="D12" i="82"/>
  <c r="J12" i="82" s="1"/>
  <c r="D16" i="82"/>
  <c r="J16" i="82" s="1"/>
  <c r="D18" i="82"/>
  <c r="J18" i="82" s="1"/>
  <c r="I75" i="25"/>
  <c r="Q23" i="31"/>
  <c r="P23" i="31"/>
  <c r="P19" i="31"/>
  <c r="Q19" i="31"/>
  <c r="Q17" i="31"/>
  <c r="P17" i="31"/>
  <c r="G97" i="31"/>
  <c r="G49" i="31"/>
  <c r="G37" i="31"/>
  <c r="G73" i="31"/>
  <c r="G121" i="31"/>
  <c r="Q24" i="31"/>
  <c r="P24" i="31"/>
  <c r="Q18" i="31"/>
  <c r="P18" i="31"/>
  <c r="P21" i="31"/>
  <c r="Q21" i="31"/>
  <c r="P25" i="31"/>
  <c r="Q25" i="31"/>
  <c r="G109" i="31"/>
  <c r="G25" i="31"/>
  <c r="C9" i="82" l="1"/>
  <c r="I9" i="82" s="1"/>
  <c r="C15" i="82"/>
  <c r="I15" i="82" s="1"/>
  <c r="C13" i="82"/>
  <c r="I13" i="82" s="1"/>
  <c r="C12" i="82" l="1"/>
  <c r="I12" i="82" s="1"/>
  <c r="C10" i="82"/>
  <c r="I10" i="82" s="1"/>
  <c r="C16" i="82"/>
  <c r="I16" i="82" s="1"/>
  <c r="C18" i="82"/>
  <c r="I18" i="82" s="1"/>
  <c r="C11" i="82"/>
  <c r="I11" i="82" s="1"/>
  <c r="C14" i="82"/>
  <c r="I14" i="82" s="1"/>
  <c r="C17" i="82"/>
  <c r="I17" i="82" s="1"/>
  <c r="C23" i="82" l="1"/>
  <c r="I23" i="82" s="1"/>
  <c r="C19" i="82"/>
  <c r="I19" i="82" s="1"/>
  <c r="C26" i="82" l="1"/>
  <c r="I26" i="82" s="1"/>
  <c r="I27" i="82" s="1"/>
  <c r="C20" i="82"/>
  <c r="I20" i="82" s="1"/>
  <c r="C21" i="82"/>
  <c r="I21" i="82" s="1"/>
  <c r="C22" i="82"/>
  <c r="I22" i="82" s="1"/>
</calcChain>
</file>

<file path=xl/comments1.xml><?xml version="1.0" encoding="utf-8"?>
<comments xmlns="http://schemas.openxmlformats.org/spreadsheetml/2006/main">
  <authors>
    <author>PacifiCorp</author>
  </authors>
  <commentList>
    <comment ref="H5" authorId="0" shapeId="0">
      <text>
        <r>
          <rPr>
            <b/>
            <sz val="8"/>
            <color indexed="81"/>
            <rFont val="Tahoma"/>
            <family val="2"/>
          </rPr>
          <t>PacifiCorp: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comments2.xml><?xml version="1.0" encoding="utf-8"?>
<comments xmlns="http://schemas.openxmlformats.org/spreadsheetml/2006/main">
  <authors>
    <author>Alpay, Ebru</author>
  </authors>
  <commentList>
    <comment ref="C75" authorId="0" shapeId="0">
      <text>
        <r>
          <rPr>
            <sz val="9"/>
            <color indexed="81"/>
            <rFont val="Tahoma"/>
            <family val="2"/>
          </rPr>
          <t xml:space="preserve">Should this be zero if this inly holding reserves?
</t>
        </r>
      </text>
    </comment>
  </commentList>
</comments>
</file>

<file path=xl/sharedStrings.xml><?xml version="1.0" encoding="utf-8"?>
<sst xmlns="http://schemas.openxmlformats.org/spreadsheetml/2006/main" count="1212" uniqueCount="267">
  <si>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</si>
  <si>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</si>
  <si>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</si>
  <si>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</si>
  <si>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</si>
  <si>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</si>
  <si>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</si>
  <si>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</si>
  <si>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</si>
  <si>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</si>
  <si>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</si>
  <si>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</si>
  <si>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</si>
  <si>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</si>
  <si>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</si>
  <si>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</si>
  <si>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 xml:space="preserve"> $/kW-yr</t>
  </si>
  <si>
    <t>Avoided Cost Prices</t>
  </si>
  <si>
    <t>Energy</t>
  </si>
  <si>
    <t>Only Price</t>
  </si>
  <si>
    <t>Table 1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</si>
  <si>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</si>
  <si>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</si>
  <si>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</si>
  <si>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</si>
  <si>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</si>
  <si>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</si>
  <si>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</si>
  <si>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</si>
  <si>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</si>
  <si>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</si>
  <si>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</si>
  <si>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</si>
  <si>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</si>
  <si>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</si>
  <si>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</si>
  <si>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</si>
  <si>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</si>
  <si>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</si>
  <si>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</si>
  <si>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</si>
  <si>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</si>
  <si>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</si>
  <si>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</si>
  <si>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</si>
  <si>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</si>
  <si>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</si>
  <si>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</si>
  <si>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</si>
  <si>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</si>
  <si>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</si>
  <si>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</si>
  <si>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</si>
  <si>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</si>
  <si>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</si>
  <si>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</si>
  <si>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</si>
  <si>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&lt;---- Calculated Monthly</t>
  </si>
  <si>
    <t>Capacity Contribution</t>
  </si>
  <si>
    <t>IRP - Utah Greenfield</t>
  </si>
  <si>
    <t>IRP West Side</t>
  </si>
  <si>
    <t>IRP - Wyo NE</t>
  </si>
  <si>
    <t>Fixed Costs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</si>
  <si>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</si>
  <si>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</si>
  <si>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</si>
  <si>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</si>
  <si>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</si>
  <si>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</si>
  <si>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</si>
  <si>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 xml:space="preserve">  Tax Credit $/MWh</t>
  </si>
  <si>
    <t>energy</t>
  </si>
  <si>
    <t>capacity</t>
  </si>
  <si>
    <t>Total Resource Cost</t>
  </si>
  <si>
    <t>Deferral (Nameplate MW)</t>
  </si>
  <si>
    <t>Resource Cost ($/kw-year)</t>
  </si>
  <si>
    <t>Deferred Cost (Millions $/year)</t>
  </si>
  <si>
    <t>Total Capacity Deferral</t>
  </si>
  <si>
    <t>$/kw-year</t>
  </si>
  <si>
    <t>Millions $/year</t>
  </si>
  <si>
    <t xml:space="preserve">start </t>
  </si>
  <si>
    <t>end</t>
  </si>
  <si>
    <t>Months In Service</t>
  </si>
  <si>
    <t>#</t>
  </si>
  <si>
    <t>Transfer Capacity (MW)</t>
  </si>
  <si>
    <t>Transmission Deferral (MW)</t>
  </si>
  <si>
    <t>IRP17 Aeolus Trans</t>
  </si>
  <si>
    <t>Retail Revenue Requirement</t>
  </si>
  <si>
    <t>Transmission Deferral %</t>
  </si>
  <si>
    <t>Transmission Upgrade Capacity</t>
  </si>
  <si>
    <t>West Side</t>
  </si>
  <si>
    <t>First Year real levelized</t>
  </si>
  <si>
    <t>Network Upgrade</t>
  </si>
  <si>
    <t>Year of deferral</t>
  </si>
  <si>
    <t>Table 2</t>
  </si>
  <si>
    <t>Avoided Energy Costs - Scheduled Hours ($/MWh)</t>
  </si>
  <si>
    <t>Winter Season</t>
  </si>
  <si>
    <t>Summer Season</t>
  </si>
  <si>
    <t>Energy Only</t>
  </si>
  <si>
    <t>2019 IRP Wyoming Wind Resource</t>
  </si>
  <si>
    <t>H4.AE1_WD</t>
  </si>
  <si>
    <t>2018 $</t>
  </si>
  <si>
    <t>Plant Costs  - 2019 IRP Update - Table 6.1 &amp; 6.2</t>
  </si>
  <si>
    <t>COD</t>
  </si>
  <si>
    <t>40% PTC</t>
  </si>
  <si>
    <t>Wheeling ($ MWh)</t>
  </si>
  <si>
    <t>2019 IRP Utah South Solar with Storage</t>
  </si>
  <si>
    <t>L1.US1_PVS</t>
  </si>
  <si>
    <t>L1.US1_PV</t>
  </si>
  <si>
    <t>includes 30% ITC</t>
  </si>
  <si>
    <t>Levelized</t>
  </si>
  <si>
    <t>Inflation/Escalation</t>
  </si>
  <si>
    <t>IRP 2019</t>
  </si>
  <si>
    <t>Total O&amp;M at Expected CF</t>
  </si>
  <si>
    <t>Total Resource Fixed Costs</t>
  </si>
  <si>
    <t>Total Resource Energy Cost</t>
  </si>
  <si>
    <t>$/MMBtu</t>
  </si>
  <si>
    <t>Source: (a)(c)(d)</t>
  </si>
  <si>
    <t>CCCT Statistics</t>
  </si>
  <si>
    <t>Percent</t>
  </si>
  <si>
    <t>Cap Cost</t>
  </si>
  <si>
    <t>SCCT Dry "F" - Turbine</t>
  </si>
  <si>
    <t>Capacity Weighted</t>
  </si>
  <si>
    <t>aMW</t>
  </si>
  <si>
    <t>Variable</t>
  </si>
  <si>
    <t>Heat Rate</t>
  </si>
  <si>
    <t>Energy Weighted</t>
  </si>
  <si>
    <t>Rounded</t>
  </si>
  <si>
    <t>SCCT</t>
  </si>
  <si>
    <t>Duct Firing</t>
  </si>
  <si>
    <t xml:space="preserve">  MW Plant Capacity</t>
  </si>
  <si>
    <t xml:space="preserve">  Plant Capacity Cost</t>
  </si>
  <si>
    <t xml:space="preserve">  Fixed O&amp;M &amp; Capitalized O&amp;M</t>
  </si>
  <si>
    <t xml:space="preserve">  Fixed Pipeline</t>
  </si>
  <si>
    <t xml:space="preserve">  Fixed O&amp;M Including Fixed Pipeline &amp; Capitalized O&amp;M ($/kW-Yr)</t>
  </si>
  <si>
    <t xml:space="preserve">  Variable O&amp;M Costs &amp; Capitalized Variable O&amp;M ($/MWh)</t>
  </si>
  <si>
    <t xml:space="preserve">  Heat Rate in btu/kWh</t>
  </si>
  <si>
    <t xml:space="preserve">  Energy Weighted Capacity Factor</t>
  </si>
  <si>
    <t xml:space="preserve">2019 IRP SCCT Resource Costs </t>
  </si>
  <si>
    <t xml:space="preserve">Plant Costs  - 2019 IRP - Table 6.1 &amp; 6.2 </t>
  </si>
  <si>
    <t>Naughton</t>
  </si>
  <si>
    <t>Burner tip</t>
  </si>
  <si>
    <t>L1.UN1_PVS</t>
  </si>
  <si>
    <t>Naughton - 185 MW - SCCT Frame "F" x1 - East Side Resource (6,050')</t>
  </si>
  <si>
    <t>L1.JBB_PVS</t>
  </si>
  <si>
    <t>H1.SO1_PVS</t>
  </si>
  <si>
    <t>L1.SO1_PVS</t>
  </si>
  <si>
    <t>2019 IRP Jim Bridger Solar with Storage</t>
  </si>
  <si>
    <t>2019 IRP Utah North Solar with Storage</t>
  </si>
  <si>
    <t>2019 IRP Southen Oregon Solar with Storage</t>
  </si>
  <si>
    <t>L1.YK1_PVS</t>
  </si>
  <si>
    <t>I_NTN_SC_FRM</t>
  </si>
  <si>
    <t>WY wind Tax</t>
  </si>
  <si>
    <t>H_.GO2_WD</t>
  </si>
  <si>
    <t>L_.GO2_WD</t>
  </si>
  <si>
    <t>2019 IRP Idaho Wind Resource</t>
  </si>
  <si>
    <t>2019 IRP Yakima Wind with Storage Resource</t>
  </si>
  <si>
    <t>H_.YK1_WDS</t>
  </si>
  <si>
    <t>IRP19Wind_WYAE</t>
  </si>
  <si>
    <t>Total Resource Cost ($/MWh)</t>
  </si>
  <si>
    <t>Discount Rate - 2019 IRP Update</t>
  </si>
  <si>
    <t>30 year levelized</t>
  </si>
  <si>
    <t>IRP19Solar_wS_UT_UTS</t>
  </si>
  <si>
    <t>IRP19Solar_wS_UT_UTN</t>
  </si>
  <si>
    <t>IRP19Solar_wS_WY_JB</t>
  </si>
  <si>
    <t>IRP19Solar_wS_OR</t>
  </si>
  <si>
    <t>IRP19Solar_wS_YK</t>
  </si>
  <si>
    <t>IRP19Wind_ID</t>
  </si>
  <si>
    <t>IRP19_SCCT_NTN_2026_185MW</t>
  </si>
  <si>
    <t>IRP19 Avg Inflation rate</t>
  </si>
  <si>
    <t>L_.JBB_PVS</t>
  </si>
  <si>
    <t>H_.GO2_WDS</t>
  </si>
  <si>
    <t>IRP19Wind_wS_ID</t>
  </si>
  <si>
    <t>IRP19Wind_wS_YK</t>
  </si>
  <si>
    <t>L_.US4_PVS</t>
  </si>
  <si>
    <t>H_.US4_PVS</t>
  </si>
  <si>
    <t>Retail Revenue Requirement
($/kW-year, 2024$)</t>
  </si>
  <si>
    <t>Capital Cost (Mil $)</t>
  </si>
  <si>
    <t>CRF 1st Year Real</t>
  </si>
  <si>
    <t>Aeolus_Wyoming - to - Utah S, Expansion</t>
  </si>
  <si>
    <t>2019 IRP Transmission Costs</t>
  </si>
  <si>
    <t>Retail Revenue Requirement
($/kW-year, 2023$)</t>
  </si>
  <si>
    <t>Utah N, Transmission Integration</t>
  </si>
  <si>
    <t>Yakima, Transmission Integration</t>
  </si>
  <si>
    <t>Goshen - to - Utah N, Expansion</t>
  </si>
  <si>
    <t>Utah S, Transmission Integration-2023</t>
  </si>
  <si>
    <t>Utah S, Transmission Integration-2030</t>
  </si>
  <si>
    <t>Southern Oregon/California, Transmission Integration</t>
  </si>
  <si>
    <t>Retail Revenue Requirement
($/kW-year, 2029$)</t>
  </si>
  <si>
    <t>Retail Revenue Requirement
($/kW-year, 2033$)</t>
  </si>
  <si>
    <t>Retail Revenue Requirement
($/kW-year, 2030$)</t>
  </si>
  <si>
    <t>Yakima- to - Southern Oregon/California, Expansion</t>
  </si>
  <si>
    <t>Retail Revenue Requirement
($/kW-year, 2036$)</t>
  </si>
  <si>
    <t>Willamette Valley, Transmission Integration</t>
  </si>
  <si>
    <t>Retail Revenue Requirement
($/kW-year, 2037$)</t>
  </si>
  <si>
    <t>Wyoming SW, Transmission Integration</t>
  </si>
  <si>
    <t>IRP19Wind_ID_T</t>
  </si>
  <si>
    <t>IRP19Wind_WYAE_T</t>
  </si>
  <si>
    <t>IRP19Wind_wS_YK_T</t>
  </si>
  <si>
    <t>IRP19Wind_wS_ID_T</t>
  </si>
  <si>
    <t>IRP19Solar_wS_YK_T</t>
  </si>
  <si>
    <t>IRP19Wind_wS_YK_T 2029</t>
  </si>
  <si>
    <t>IRP19Wind_wS_YK_T 2037</t>
  </si>
  <si>
    <t>IRP19Solar_wS_YK_T 2024</t>
  </si>
  <si>
    <t>IRP19Solar_wS_YK_T 2036</t>
  </si>
  <si>
    <t>IRP19Solar_wS_OR_T</t>
  </si>
  <si>
    <t>IRP19Solar_wS_OR_T 2024</t>
  </si>
  <si>
    <t>IRP19Solar_wS_OR_T 2033</t>
  </si>
  <si>
    <t>IRP19Solar_wS_UT_UTN_T</t>
  </si>
  <si>
    <t>IRP19Solar_wS_UT_UTN_T 2024</t>
  </si>
  <si>
    <t>IRP19Solar_wS_WY_JB_T</t>
  </si>
  <si>
    <t>IRP19Solar_wS_WY_JB_T 2024</t>
  </si>
  <si>
    <t>IRP19Solar_wS_WY_JB_T 2029</t>
  </si>
  <si>
    <t>IRP19Solar_wS_WY_JB_T 2038</t>
  </si>
  <si>
    <t>IRP19Solar_wS_UT_UTS_T</t>
  </si>
  <si>
    <t>IRP19Solar_wS_UT_UTS_T 2024</t>
  </si>
  <si>
    <t>IRP19Solar_wS_UT_UTS_T 2030</t>
  </si>
  <si>
    <t>IRP19Solar_wS_UT_UTS_T 2037</t>
  </si>
  <si>
    <t>Network Upgrade ($/kw-yr)</t>
  </si>
  <si>
    <t>Bridger - to - Bridger West, Recovered Transmission 2029</t>
  </si>
  <si>
    <t>Bridger - to - Bridger West, Recovered Transmission 2024</t>
  </si>
  <si>
    <t>Utah S, Transmission Integration 2023</t>
  </si>
  <si>
    <t>Utah S, Transmission Integration 2030</t>
  </si>
  <si>
    <t>n/a</t>
  </si>
  <si>
    <t>Total Fixed Cost</t>
  </si>
  <si>
    <t xml:space="preserve">No resource cost tab </t>
  </si>
  <si>
    <t>if Deferred 1</t>
  </si>
  <si>
    <t>2019 IRP Utah Wind Resource</t>
  </si>
  <si>
    <t>PTC &amp; Variable O&amp;M</t>
  </si>
  <si>
    <t>H3.US1_WD_CP</t>
  </si>
  <si>
    <t>IRP19Wind_UT_CP_T</t>
  </si>
  <si>
    <t>15 Year</t>
  </si>
  <si>
    <t>15 Year Starting 2025</t>
  </si>
  <si>
    <t>Avoided Cost Prices $/MWh</t>
  </si>
  <si>
    <t>Utah 2020.Q4 Sch 38</t>
  </si>
  <si>
    <t>Thermal</t>
  </si>
  <si>
    <t>Solar Tracking</t>
  </si>
  <si>
    <t>Wind (Defers UT W)</t>
  </si>
  <si>
    <t>UT 2020.Q4</t>
  </si>
  <si>
    <t>UT 2020.Q3</t>
  </si>
  <si>
    <t>100% CF (2)</t>
  </si>
  <si>
    <t>31.1% CF (2)</t>
  </si>
  <si>
    <t>31.0% CF (2)</t>
  </si>
  <si>
    <t>Difference</t>
  </si>
  <si>
    <t>15-Year Levelized Prices (Nominal) @ 6.920% Discount Rate (1) (3)</t>
  </si>
  <si>
    <t>2021-2035</t>
  </si>
  <si>
    <t>Footnotes:</t>
  </si>
  <si>
    <t>(1)   Discount Rate - 2019 IRP</t>
  </si>
  <si>
    <t>Appendix B.2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</si>
  <si>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</si>
  <si>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</si>
  <si>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</si>
  <si>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</si>
  <si>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</si>
  <si>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</si>
  <si>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</si>
  <si>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</si>
  <si>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</si>
  <si>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</si>
  <si>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</si>
  <si>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</si>
  <si>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</si>
  <si>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QF - Sch38 - UT - Solar T</t>
  </si>
  <si>
    <t>Photovoltaic (Utility) 30% ITC</t>
  </si>
  <si>
    <t>Utah 2020.Q4_Solar</t>
  </si>
  <si>
    <t>2023$</t>
  </si>
  <si>
    <t>Company Official Inflation Forecast Dated September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</si>
</sst>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#,##0\ ;\(#,##0\)"/>
    <numFmt numFmtId="179" formatCode="&quot;$&quot;#,##0.00_)"/>
    <numFmt numFmtId="180" formatCode="#,##0.0000_);\(#,##0.0000\)"/>
    <numFmt numFmtId="181" formatCode="_(* #,##0.000_);_(* \(#,##0.000\);_(* &quot;-&quot;_);_(@_)"/>
    <numFmt numFmtId="182" formatCode="_(* #,##0.0_);_(* \(#,##0.0\);_(* &quot;-&quot;??_);_(@_)"/>
    <numFmt numFmtId="183" formatCode="0.0000%"/>
  </numFmts>
  <fonts count="40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9"/>
      <name val="CS Times"/>
    </font>
    <font>
      <sz val="10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u/>
      <sz val="10"/>
      <name val="Times New Roman"/>
      <family val="1"/>
    </font>
    <font>
      <sz val="9"/>
      <color indexed="81"/>
      <name val="Tahoma"/>
      <family val="2"/>
    </font>
    <font>
      <b/>
      <u/>
      <sz val="10"/>
      <name val="Times New Roman"/>
      <family val="1"/>
    </font>
    <font>
      <sz val="10"/>
      <color rgb="FFCCECFF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1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4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5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21" fillId="9" borderId="21" applyProtection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3" fillId="0" borderId="0"/>
  </cellStyleXfs>
  <cellXfs count="420">
    <xf numFmtId="171" fontId="0" fillId="0" borderId="0" xfId="0"/>
    <xf numFmtId="171" fontId="6" fillId="0" borderId="0" xfId="0" applyFont="1" applyFill="1" applyAlignment="1">
      <alignment horizontal="centerContinuous"/>
    </xf>
    <xf numFmtId="171" fontId="9" fillId="0" borderId="0" xfId="0" applyFont="1" applyFill="1" applyAlignment="1">
      <alignment horizontal="centerContinuous"/>
    </xf>
    <xf numFmtId="171" fontId="5" fillId="0" borderId="0" xfId="0" applyFont="1" applyFill="1"/>
    <xf numFmtId="171" fontId="7" fillId="0" borderId="0" xfId="0" applyFont="1" applyFill="1" applyAlignment="1">
      <alignment horizontal="centerContinuous"/>
    </xf>
    <xf numFmtId="171" fontId="5" fillId="0" borderId="0" xfId="0" applyFont="1" applyFill="1" applyBorder="1"/>
    <xf numFmtId="171" fontId="5" fillId="0" borderId="0" xfId="0" applyFont="1" applyFill="1" applyAlignment="1">
      <alignment horizontal="center"/>
    </xf>
    <xf numFmtId="8" fontId="5" fillId="0" borderId="0" xfId="0" applyNumberFormat="1" applyFont="1" applyFill="1"/>
    <xf numFmtId="8" fontId="5" fillId="0" borderId="2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171" fontId="5" fillId="0" borderId="0" xfId="0" quotePrefix="1" applyFont="1" applyFill="1"/>
    <xf numFmtId="171" fontId="5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center"/>
    </xf>
    <xf numFmtId="8" fontId="5" fillId="0" borderId="8" xfId="0" applyNumberFormat="1" applyFont="1" applyFill="1" applyBorder="1" applyAlignment="1">
      <alignment horizontal="center"/>
    </xf>
    <xf numFmtId="8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 wrapText="1"/>
    </xf>
    <xf numFmtId="171" fontId="12" fillId="0" borderId="6" xfId="0" quotePrefix="1" applyFont="1" applyFill="1" applyBorder="1" applyAlignment="1">
      <alignment horizontal="center" wrapText="1"/>
    </xf>
    <xf numFmtId="171" fontId="12" fillId="0" borderId="6" xfId="0" applyFont="1" applyFill="1" applyBorder="1" applyAlignment="1">
      <alignment horizontal="center" wrapText="1"/>
    </xf>
    <xf numFmtId="171" fontId="4" fillId="0" borderId="0" xfId="0" applyFont="1" applyFill="1" applyAlignment="1">
      <alignment horizontal="centerContinuous"/>
    </xf>
    <xf numFmtId="171" fontId="4" fillId="0" borderId="5" xfId="0" applyFont="1" applyFill="1" applyBorder="1"/>
    <xf numFmtId="171" fontId="4" fillId="0" borderId="13" xfId="0" applyFont="1" applyFill="1" applyBorder="1" applyAlignment="1">
      <alignment horizontal="center"/>
    </xf>
    <xf numFmtId="171" fontId="4" fillId="0" borderId="6" xfId="0" applyFont="1" applyFill="1" applyBorder="1"/>
    <xf numFmtId="171" fontId="4" fillId="0" borderId="6" xfId="0" applyFont="1" applyFill="1" applyBorder="1" applyAlignment="1">
      <alignment horizontal="center"/>
    </xf>
    <xf numFmtId="8" fontId="1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71" fontId="7" fillId="0" borderId="7" xfId="0" applyFont="1" applyFill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Border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 applyFill="1" applyBorder="1"/>
    <xf numFmtId="171" fontId="16" fillId="0" borderId="0" xfId="0" applyFont="1" applyFill="1" applyBorder="1" applyAlignment="1">
      <alignment wrapText="1"/>
    </xf>
    <xf numFmtId="171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171" fontId="4" fillId="0" borderId="0" xfId="0" applyFont="1" applyFill="1" applyBorder="1" applyAlignment="1">
      <alignment horizontal="center"/>
    </xf>
    <xf numFmtId="171" fontId="4" fillId="0" borderId="16" xfId="0" applyFont="1" applyFill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Fill="1" applyBorder="1" applyAlignment="1">
      <alignment horizontal="centerContinuous"/>
    </xf>
    <xf numFmtId="171" fontId="20" fillId="0" borderId="0" xfId="5" applyFont="1" applyFill="1" applyBorder="1"/>
    <xf numFmtId="2" fontId="5" fillId="0" borderId="2" xfId="0" applyNumberFormat="1" applyFont="1" applyFill="1" applyBorder="1" applyAlignment="1">
      <alignment horizontal="center"/>
    </xf>
    <xf numFmtId="8" fontId="5" fillId="0" borderId="0" xfId="0" quotePrefix="1" applyNumberFormat="1" applyFont="1" applyFill="1" applyBorder="1" applyAlignment="1">
      <alignment horizontal="center"/>
    </xf>
    <xf numFmtId="171" fontId="14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left" indent="1"/>
    </xf>
    <xf numFmtId="171" fontId="5" fillId="0" borderId="0" xfId="0" applyFont="1" applyFill="1" applyAlignment="1">
      <alignment horizontal="left" indent="1"/>
    </xf>
    <xf numFmtId="171" fontId="0" fillId="0" borderId="0" xfId="0" applyFill="1"/>
    <xf numFmtId="43" fontId="0" fillId="0" borderId="0" xfId="1" applyFont="1" applyFill="1"/>
    <xf numFmtId="171" fontId="0" fillId="0" borderId="0" xfId="0" quotePrefix="1" applyFont="1" applyFill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41" fontId="5" fillId="0" borderId="0" xfId="11" applyFont="1" applyFill="1"/>
    <xf numFmtId="0" fontId="0" fillId="0" borderId="0" xfId="11" applyNumberFormat="1" applyFont="1" applyFill="1" applyAlignment="1">
      <alignment horizontal="left"/>
    </xf>
    <xf numFmtId="171" fontId="3" fillId="0" borderId="0" xfId="10" applyNumberFormat="1" applyFont="1"/>
    <xf numFmtId="173" fontId="3" fillId="5" borderId="0" xfId="10" applyNumberFormat="1" applyFon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Font="1" applyBorder="1"/>
    <xf numFmtId="171" fontId="3" fillId="0" borderId="7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Continuous"/>
    </xf>
    <xf numFmtId="171" fontId="3" fillId="0" borderId="4" xfId="10" applyNumberFormat="1" applyFont="1" applyBorder="1" applyAlignment="1">
      <alignment horizontal="centerContinuous"/>
    </xf>
    <xf numFmtId="171" fontId="3" fillId="0" borderId="6" xfId="10" applyNumberFormat="1" applyFont="1" applyBorder="1"/>
    <xf numFmtId="171" fontId="3" fillId="0" borderId="4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"/>
    </xf>
    <xf numFmtId="171" fontId="3" fillId="0" borderId="6" xfId="10" applyNumberFormat="1" applyFont="1" applyBorder="1" applyAlignment="1">
      <alignment horizontal="center"/>
    </xf>
    <xf numFmtId="171" fontId="3" fillId="0" borderId="9" xfId="10" applyNumberFormat="1" applyFont="1" applyBorder="1" applyAlignment="1">
      <alignment horizontal="centerContinuous"/>
    </xf>
    <xf numFmtId="171" fontId="3" fillId="0" borderId="2" xfId="10" applyNumberFormat="1" applyFont="1" applyBorder="1"/>
    <xf numFmtId="41" fontId="3" fillId="0" borderId="8" xfId="10" applyNumberFormat="1" applyFont="1" applyBorder="1"/>
    <xf numFmtId="41" fontId="3" fillId="0" borderId="11" xfId="10" applyNumberFormat="1" applyFont="1" applyBorder="1"/>
    <xf numFmtId="168" fontId="3" fillId="0" borderId="8" xfId="10" applyNumberFormat="1" applyFont="1" applyBorder="1"/>
    <xf numFmtId="0" fontId="3" fillId="0" borderId="0" xfId="10" applyNumberFormat="1" applyFont="1"/>
    <xf numFmtId="17" fontId="3" fillId="0" borderId="5" xfId="10" applyNumberFormat="1" applyFont="1" applyBorder="1" applyAlignment="1">
      <alignment horizontal="center"/>
    </xf>
    <xf numFmtId="171" fontId="3" fillId="0" borderId="0" xfId="10" applyNumberFormat="1" applyFont="1" applyBorder="1"/>
    <xf numFmtId="168" fontId="3" fillId="0" borderId="11" xfId="10" applyNumberFormat="1" applyFont="1" applyBorder="1"/>
    <xf numFmtId="171" fontId="3" fillId="0" borderId="13" xfId="10" applyNumberFormat="1" applyFont="1" applyBorder="1"/>
    <xf numFmtId="17" fontId="3" fillId="0" borderId="13" xfId="10" applyNumberFormat="1" applyFont="1" applyBorder="1" applyAlignment="1">
      <alignment horizontal="center"/>
    </xf>
    <xf numFmtId="171" fontId="3" fillId="0" borderId="1" xfId="10" applyNumberFormat="1" applyFont="1" applyBorder="1"/>
    <xf numFmtId="41" fontId="3" fillId="0" borderId="12" xfId="10" applyNumberFormat="1" applyFont="1" applyBorder="1"/>
    <xf numFmtId="168" fontId="3" fillId="0" borderId="12" xfId="10" applyNumberFormat="1" applyFont="1" applyBorder="1"/>
    <xf numFmtId="17" fontId="3" fillId="0" borderId="6" xfId="10" applyNumberFormat="1" applyFont="1" applyBorder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1" fontId="0" fillId="0" borderId="0" xfId="0" applyFont="1" applyFill="1"/>
    <xf numFmtId="171" fontId="0" fillId="0" borderId="0" xfId="0" applyFont="1" applyFill="1" applyBorder="1"/>
    <xf numFmtId="1" fontId="0" fillId="0" borderId="0" xfId="6" applyNumberFormat="1" applyFont="1" applyFill="1" applyAlignment="1" applyProtection="1">
      <alignment horizontal="center"/>
      <protection locked="0"/>
    </xf>
    <xf numFmtId="171" fontId="5" fillId="0" borderId="0" xfId="10" applyNumberFormat="1" applyFont="1"/>
    <xf numFmtId="172" fontId="0" fillId="0" borderId="0" xfId="0" applyNumberFormat="1"/>
    <xf numFmtId="171" fontId="19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Font="1" applyBorder="1" applyAlignment="1">
      <alignment horizontal="center"/>
    </xf>
    <xf numFmtId="174" fontId="3" fillId="0" borderId="0" xfId="8" applyNumberFormat="1" applyFont="1"/>
    <xf numFmtId="171" fontId="8" fillId="0" borderId="0" xfId="0" applyFont="1" applyFill="1"/>
    <xf numFmtId="171" fontId="16" fillId="2" borderId="0" xfId="0" applyFont="1" applyFill="1" applyBorder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71" fontId="16" fillId="2" borderId="0" xfId="0" applyFont="1" applyFill="1" applyAlignment="1">
      <alignment horizontal="centerContinuous"/>
    </xf>
    <xf numFmtId="171" fontId="8" fillId="0" borderId="0" xfId="0" applyFont="1" applyFill="1" applyBorder="1"/>
    <xf numFmtId="14" fontId="22" fillId="2" borderId="0" xfId="0" applyNumberFormat="1" applyFont="1" applyFill="1" applyBorder="1" applyAlignment="1">
      <alignment horizontal="centerContinuous" vertical="center"/>
    </xf>
    <xf numFmtId="171" fontId="8" fillId="0" borderId="0" xfId="0" applyFont="1" applyFill="1" applyBorder="1" applyAlignment="1">
      <alignment horizontal="center"/>
    </xf>
    <xf numFmtId="171" fontId="14" fillId="2" borderId="0" xfId="0" applyFont="1" applyFill="1" applyBorder="1" applyAlignment="1">
      <alignment horizontal="centerContinuous" wrapText="1"/>
    </xf>
    <xf numFmtId="171" fontId="8" fillId="0" borderId="0" xfId="0" applyFont="1" applyFill="1" applyAlignment="1">
      <alignment horizontal="center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 applyFill="1" applyAlignment="1"/>
    <xf numFmtId="171" fontId="15" fillId="0" borderId="0" xfId="10" applyNumberFormat="1" applyFont="1"/>
    <xf numFmtId="177" fontId="5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 applyFont="1"/>
    <xf numFmtId="171" fontId="26" fillId="0" borderId="0" xfId="0" applyFont="1"/>
    <xf numFmtId="9" fontId="26" fillId="0" borderId="0" xfId="8" applyFont="1"/>
    <xf numFmtId="43" fontId="3" fillId="0" borderId="0" xfId="10" applyNumberFormat="1" applyFont="1"/>
    <xf numFmtId="171" fontId="27" fillId="0" borderId="0" xfId="10" applyNumberFormat="1" applyFont="1"/>
    <xf numFmtId="171" fontId="6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Continuous"/>
    </xf>
    <xf numFmtId="171" fontId="5" fillId="0" borderId="0" xfId="24" applyFont="1" applyFill="1"/>
    <xf numFmtId="171" fontId="5" fillId="0" borderId="0" xfId="24" applyFont="1" applyFill="1" applyBorder="1" applyAlignment="1">
      <alignment horizontal="centerContinuous"/>
    </xf>
    <xf numFmtId="171" fontId="5" fillId="0" borderId="0" xfId="24" applyFont="1" applyFill="1" applyBorder="1"/>
    <xf numFmtId="171" fontId="4" fillId="0" borderId="5" xfId="24" applyFont="1" applyFill="1" applyBorder="1" applyAlignment="1">
      <alignment horizontal="center"/>
    </xf>
    <xf numFmtId="171" fontId="4" fillId="0" borderId="5" xfId="24" applyFont="1" applyFill="1" applyBorder="1" applyAlignment="1">
      <alignment horizontal="center" wrapText="1"/>
    </xf>
    <xf numFmtId="171" fontId="9" fillId="0" borderId="6" xfId="24" applyFont="1" applyFill="1" applyBorder="1" applyAlignment="1">
      <alignment horizontal="centerContinuous"/>
    </xf>
    <xf numFmtId="171" fontId="12" fillId="0" borderId="6" xfId="24" quotePrefix="1" applyFont="1" applyFill="1" applyBorder="1" applyAlignment="1">
      <alignment horizontal="center" wrapText="1"/>
    </xf>
    <xf numFmtId="171" fontId="12" fillId="0" borderId="6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/>
    </xf>
    <xf numFmtId="0" fontId="5" fillId="0" borderId="0" xfId="24" applyNumberFormat="1" applyFont="1" applyFill="1"/>
    <xf numFmtId="6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/>
    <xf numFmtId="8" fontId="5" fillId="0" borderId="0" xfId="24" applyNumberFormat="1" applyFont="1" applyFill="1" applyBorder="1"/>
    <xf numFmtId="165" fontId="5" fillId="0" borderId="0" xfId="24" applyNumberFormat="1" applyFont="1" applyFill="1" applyAlignment="1">
      <alignment horizontal="center"/>
    </xf>
    <xf numFmtId="171" fontId="5" fillId="0" borderId="0" xfId="24" quotePrefix="1" applyFont="1" applyFill="1"/>
    <xf numFmtId="0" fontId="5" fillId="0" borderId="0" xfId="25" applyFont="1"/>
    <xf numFmtId="14" fontId="5" fillId="0" borderId="0" xfId="26" applyNumberFormat="1" applyFont="1"/>
    <xf numFmtId="0" fontId="5" fillId="0" borderId="0" xfId="24" applyNumberFormat="1" applyFont="1" applyFill="1" applyBorder="1"/>
    <xf numFmtId="165" fontId="5" fillId="0" borderId="0" xfId="24" applyNumberFormat="1" applyFont="1" applyFill="1" applyBorder="1" applyAlignment="1">
      <alignment horizontal="center"/>
    </xf>
    <xf numFmtId="8" fontId="5" fillId="0" borderId="0" xfId="24" applyNumberFormat="1" applyFont="1" applyFill="1" applyAlignment="1">
      <alignment horizontal="center"/>
    </xf>
    <xf numFmtId="171" fontId="7" fillId="0" borderId="0" xfId="24" applyFont="1" applyFill="1" applyAlignment="1">
      <alignment horizontal="centerContinuous"/>
    </xf>
    <xf numFmtId="171" fontId="4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"/>
    </xf>
    <xf numFmtId="41" fontId="5" fillId="0" borderId="0" xfId="4" applyFont="1" applyFill="1"/>
    <xf numFmtId="171" fontId="4" fillId="0" borderId="17" xfId="24" applyFont="1" applyFill="1" applyBorder="1" applyAlignment="1">
      <alignment horizontal="centerContinuous"/>
    </xf>
    <xf numFmtId="171" fontId="5" fillId="0" borderId="17" xfId="24" applyFont="1" applyFill="1" applyBorder="1"/>
    <xf numFmtId="171" fontId="5" fillId="0" borderId="18" xfId="24" applyFont="1" applyFill="1" applyBorder="1"/>
    <xf numFmtId="171" fontId="4" fillId="0" borderId="16" xfId="24" applyFont="1" applyFill="1" applyBorder="1" applyAlignment="1">
      <alignment horizontal="center"/>
    </xf>
    <xf numFmtId="171" fontId="4" fillId="0" borderId="17" xfId="5" applyFont="1" applyFill="1" applyBorder="1" applyAlignment="1">
      <alignment horizontal="centerContinuous"/>
    </xf>
    <xf numFmtId="171" fontId="5" fillId="0" borderId="17" xfId="24" applyFont="1" applyFill="1" applyBorder="1" applyAlignment="1">
      <alignment horizontal="centerContinuous"/>
    </xf>
    <xf numFmtId="8" fontId="5" fillId="0" borderId="0" xfId="2" applyNumberFormat="1" applyFont="1" applyFill="1"/>
    <xf numFmtId="178" fontId="28" fillId="0" borderId="0" xfId="27" applyNumberFormat="1" applyAlignment="1" applyProtection="1"/>
    <xf numFmtId="1" fontId="5" fillId="0" borderId="0" xfId="6" applyNumberFormat="1" applyFont="1" applyFill="1" applyAlignment="1" applyProtection="1">
      <alignment horizontal="center"/>
      <protection locked="0"/>
    </xf>
    <xf numFmtId="178" fontId="29" fillId="0" borderId="0" xfId="0" applyNumberFormat="1" applyFont="1"/>
    <xf numFmtId="172" fontId="4" fillId="0" borderId="0" xfId="24" applyNumberFormat="1" applyFont="1" applyFill="1"/>
    <xf numFmtId="172" fontId="5" fillId="0" borderId="0" xfId="24" applyNumberFormat="1" applyFont="1" applyFill="1"/>
    <xf numFmtId="167" fontId="5" fillId="0" borderId="0" xfId="8" applyNumberFormat="1" applyFont="1" applyFill="1"/>
    <xf numFmtId="0" fontId="0" fillId="0" borderId="0" xfId="0" applyNumberFormat="1" applyFont="1"/>
    <xf numFmtId="44" fontId="26" fillId="0" borderId="0" xfId="2" applyFont="1" applyFill="1"/>
    <xf numFmtId="174" fontId="30" fillId="0" borderId="0" xfId="0" applyNumberFormat="1" applyFont="1" applyFill="1" applyProtection="1">
      <protection locked="0"/>
    </xf>
    <xf numFmtId="43" fontId="5" fillId="0" borderId="0" xfId="2" applyNumberFormat="1" applyFont="1" applyFill="1"/>
    <xf numFmtId="10" fontId="5" fillId="0" borderId="0" xfId="8" applyNumberFormat="1" applyFont="1" applyFill="1"/>
    <xf numFmtId="172" fontId="5" fillId="0" borderId="0" xfId="24" applyNumberFormat="1" applyFont="1" applyFill="1" applyBorder="1"/>
    <xf numFmtId="171" fontId="5" fillId="0" borderId="0" xfId="24" applyNumberFormat="1" applyFont="1" applyFill="1"/>
    <xf numFmtId="171" fontId="5" fillId="0" borderId="0" xfId="24" applyNumberFormat="1" applyFont="1" applyFill="1" applyAlignment="1">
      <alignment horizontal="right"/>
    </xf>
    <xf numFmtId="171" fontId="5" fillId="0" borderId="0" xfId="6" applyNumberFormat="1" applyFont="1" applyFill="1" applyAlignment="1" applyProtection="1">
      <alignment horizontal="center"/>
      <protection locked="0"/>
    </xf>
    <xf numFmtId="171" fontId="5" fillId="0" borderId="0" xfId="24" applyNumberFormat="1" applyFont="1" applyFill="1" applyBorder="1"/>
    <xf numFmtId="171" fontId="4" fillId="0" borderId="0" xfId="24" applyFont="1" applyFill="1" applyBorder="1" applyAlignment="1">
      <alignment horizontal="center" wrapText="1"/>
    </xf>
    <xf numFmtId="172" fontId="3" fillId="0" borderId="0" xfId="10" applyNumberFormat="1" applyFont="1"/>
    <xf numFmtId="0" fontId="5" fillId="0" borderId="0" xfId="0" applyNumberFormat="1" applyFont="1" applyFill="1" applyBorder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6" fontId="5" fillId="6" borderId="0" xfId="2" applyNumberFormat="1" applyFont="1" applyFill="1"/>
    <xf numFmtId="171" fontId="5" fillId="0" borderId="1" xfId="0" applyFont="1" applyFill="1" applyBorder="1" applyAlignment="1">
      <alignment horizontal="center"/>
    </xf>
    <xf numFmtId="171" fontId="5" fillId="0" borderId="1" xfId="0" quotePrefix="1" applyFont="1" applyFill="1" applyBorder="1" applyAlignment="1">
      <alignment horizontal="center"/>
    </xf>
    <xf numFmtId="171" fontId="3" fillId="0" borderId="0" xfId="10" applyNumberFormat="1" applyFont="1" applyFill="1"/>
    <xf numFmtId="173" fontId="0" fillId="0" borderId="0" xfId="0" applyNumberFormat="1"/>
    <xf numFmtId="43" fontId="5" fillId="0" borderId="0" xfId="28" applyFont="1" applyFill="1"/>
    <xf numFmtId="0" fontId="5" fillId="0" borderId="0" xfId="24" applyNumberFormat="1" applyFont="1" applyFill="1" applyBorder="1" applyAlignment="1">
      <alignment horizontal="right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ont="1" applyFill="1"/>
    <xf numFmtId="171" fontId="5" fillId="0" borderId="0" xfId="0" applyFont="1" applyFill="1" applyAlignment="1">
      <alignment horizontal="left" vertical="top" wrapText="1"/>
    </xf>
    <xf numFmtId="167" fontId="0" fillId="0" borderId="7" xfId="1" applyNumberFormat="1" applyFont="1" applyBorder="1"/>
    <xf numFmtId="179" fontId="5" fillId="0" borderId="0" xfId="0" applyNumberFormat="1" applyFont="1" applyFill="1" applyBorder="1" applyAlignment="1">
      <alignment horizontal="center"/>
    </xf>
    <xf numFmtId="171" fontId="0" fillId="0" borderId="0" xfId="0" applyAlignment="1">
      <alignment wrapText="1"/>
    </xf>
    <xf numFmtId="178" fontId="31" fillId="0" borderId="0" xfId="0" applyNumberFormat="1" applyFont="1"/>
    <xf numFmtId="171" fontId="32" fillId="0" borderId="0" xfId="24" applyFont="1" applyFill="1"/>
    <xf numFmtId="172" fontId="5" fillId="0" borderId="0" xfId="24" applyNumberFormat="1" applyFont="1" applyFill="1" applyAlignment="1">
      <alignment horizontal="right"/>
    </xf>
    <xf numFmtId="43" fontId="5" fillId="0" borderId="0" xfId="24" applyNumberFormat="1" applyFont="1" applyFill="1"/>
    <xf numFmtId="171" fontId="5" fillId="0" borderId="0" xfId="0" applyFont="1" applyFill="1" applyAlignment="1">
      <alignment wrapText="1"/>
    </xf>
    <xf numFmtId="171" fontId="5" fillId="0" borderId="0" xfId="0" applyFont="1" applyFill="1" applyAlignment="1">
      <alignment horizontal="center" wrapText="1"/>
    </xf>
    <xf numFmtId="171" fontId="5" fillId="0" borderId="0" xfId="0" applyFont="1" applyFill="1" applyBorder="1" applyAlignment="1">
      <alignment horizontal="center" wrapText="1"/>
    </xf>
    <xf numFmtId="171" fontId="4" fillId="0" borderId="0" xfId="0" applyFont="1" applyFill="1" applyBorder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171" fontId="0" fillId="0" borderId="0" xfId="0" applyFill="1" applyAlignment="1">
      <alignment wrapText="1"/>
    </xf>
    <xf numFmtId="167" fontId="5" fillId="6" borderId="0" xfId="24" applyNumberFormat="1" applyFont="1" applyFill="1"/>
    <xf numFmtId="171" fontId="0" fillId="0" borderId="0" xfId="0" applyAlignment="1">
      <alignment wrapText="1"/>
    </xf>
    <xf numFmtId="171" fontId="0" fillId="0" borderId="0" xfId="0" applyAlignment="1">
      <alignment wrapText="1"/>
    </xf>
    <xf numFmtId="180" fontId="0" fillId="0" borderId="0" xfId="1" applyNumberFormat="1" applyFont="1"/>
    <xf numFmtId="167" fontId="23" fillId="0" borderId="0" xfId="8" applyNumberFormat="1" applyFont="1" applyFill="1" applyAlignment="1">
      <alignment wrapText="1"/>
    </xf>
    <xf numFmtId="171" fontId="4" fillId="0" borderId="0" xfId="0" applyFont="1" applyAlignment="1">
      <alignment wrapText="1"/>
    </xf>
    <xf numFmtId="171" fontId="5" fillId="0" borderId="0" xfId="24" applyFont="1" applyFill="1" applyAlignment="1">
      <alignment wrapText="1"/>
    </xf>
    <xf numFmtId="171" fontId="0" fillId="0" borderId="0" xfId="0" applyAlignment="1">
      <alignment wrapText="1"/>
    </xf>
    <xf numFmtId="171" fontId="0" fillId="12" borderId="0" xfId="0" applyFill="1" applyAlignment="1">
      <alignment wrapText="1"/>
    </xf>
    <xf numFmtId="173" fontId="5" fillId="0" borderId="0" xfId="0" applyNumberFormat="1" applyFont="1" applyFill="1"/>
    <xf numFmtId="171" fontId="0" fillId="0" borderId="0" xfId="0" applyAlignment="1">
      <alignment wrapText="1"/>
    </xf>
    <xf numFmtId="171" fontId="15" fillId="0" borderId="0" xfId="10" applyNumberFormat="1" applyFont="1" applyAlignment="1">
      <alignment wrapText="1"/>
    </xf>
    <xf numFmtId="171" fontId="5" fillId="0" borderId="0" xfId="0" applyFont="1" applyFill="1" applyAlignment="1">
      <alignment horizontal="center"/>
    </xf>
    <xf numFmtId="171" fontId="33" fillId="0" borderId="0" xfId="0" applyFont="1" applyFill="1" applyAlignment="1">
      <alignment horizontal="centerContinuous"/>
    </xf>
    <xf numFmtId="171" fontId="34" fillId="0" borderId="0" xfId="0" applyFont="1" applyFill="1" applyAlignment="1">
      <alignment horizontal="centerContinuous"/>
    </xf>
    <xf numFmtId="171" fontId="6" fillId="0" borderId="0" xfId="0" applyFont="1" applyFill="1" applyBorder="1" applyAlignment="1">
      <alignment horizontal="centerContinuous"/>
    </xf>
    <xf numFmtId="171" fontId="33" fillId="0" borderId="0" xfId="0" applyFont="1" applyFill="1"/>
    <xf numFmtId="171" fontId="7" fillId="0" borderId="0" xfId="0" applyFont="1" applyFill="1" applyBorder="1" applyAlignment="1">
      <alignment horizontal="centerContinuous"/>
    </xf>
    <xf numFmtId="171" fontId="34" fillId="0" borderId="0" xfId="0" applyFont="1" applyFill="1"/>
    <xf numFmtId="171" fontId="5" fillId="0" borderId="0" xfId="0" quotePrefix="1" applyFont="1" applyFill="1" applyBorder="1" applyAlignment="1">
      <alignment horizontal="center"/>
    </xf>
    <xf numFmtId="8" fontId="35" fillId="0" borderId="0" xfId="0" applyNumberFormat="1" applyFont="1" applyFill="1" applyAlignment="1">
      <alignment horizontal="center"/>
    </xf>
    <xf numFmtId="8" fontId="35" fillId="0" borderId="0" xfId="0" applyNumberFormat="1" applyFont="1" applyFill="1" applyBorder="1" applyAlignment="1">
      <alignment horizontal="left"/>
    </xf>
    <xf numFmtId="171" fontId="5" fillId="0" borderId="22" xfId="0" applyFont="1" applyFill="1" applyBorder="1" applyAlignment="1">
      <alignment horizontal="center"/>
    </xf>
    <xf numFmtId="171" fontId="5" fillId="0" borderId="5" xfId="0" applyFont="1" applyFill="1" applyBorder="1" applyAlignment="1">
      <alignment horizontal="centerContinuous"/>
    </xf>
    <xf numFmtId="171" fontId="5" fillId="0" borderId="5" xfId="0" quotePrefix="1" applyFont="1" applyFill="1" applyBorder="1" applyAlignment="1">
      <alignment horizontal="centerContinuous"/>
    </xf>
    <xf numFmtId="171" fontId="5" fillId="0" borderId="4" xfId="0" applyFont="1" applyFill="1" applyBorder="1" applyAlignment="1">
      <alignment horizontal="centerContinuous"/>
    </xf>
    <xf numFmtId="171" fontId="5" fillId="0" borderId="7" xfId="0" applyFont="1" applyFill="1" applyBorder="1" applyAlignment="1">
      <alignment horizontal="centerContinuous"/>
    </xf>
    <xf numFmtId="171" fontId="5" fillId="0" borderId="3" xfId="0" applyFont="1" applyFill="1" applyBorder="1" applyAlignment="1">
      <alignment horizontal="centerContinuous"/>
    </xf>
    <xf numFmtId="171" fontId="5" fillId="0" borderId="22" xfId="0" applyFont="1" applyFill="1" applyBorder="1" applyAlignment="1">
      <alignment horizontal="centerContinuous"/>
    </xf>
    <xf numFmtId="171" fontId="5" fillId="0" borderId="2" xfId="0" applyFont="1" applyFill="1" applyBorder="1" applyAlignment="1">
      <alignment horizontal="centerContinuous"/>
    </xf>
    <xf numFmtId="171" fontId="5" fillId="0" borderId="8" xfId="0" applyFont="1" applyFill="1" applyBorder="1" applyAlignment="1">
      <alignment horizontal="centerContinuous"/>
    </xf>
    <xf numFmtId="171" fontId="5" fillId="0" borderId="23" xfId="0" applyFont="1" applyFill="1" applyBorder="1" applyAlignment="1">
      <alignment horizontal="center"/>
    </xf>
    <xf numFmtId="171" fontId="5" fillId="0" borderId="3" xfId="0" applyFont="1" applyFill="1" applyBorder="1" applyAlignment="1">
      <alignment horizontal="center"/>
    </xf>
    <xf numFmtId="171" fontId="5" fillId="0" borderId="9" xfId="0" applyFont="1" applyFill="1" applyBorder="1" applyAlignment="1">
      <alignment horizontal="center"/>
    </xf>
    <xf numFmtId="171" fontId="5" fillId="0" borderId="4" xfId="0" applyFont="1" applyFill="1" applyBorder="1" applyAlignment="1">
      <alignment horizontal="center"/>
    </xf>
    <xf numFmtId="171" fontId="5" fillId="0" borderId="0" xfId="0" quotePrefix="1" applyFont="1" applyFill="1" applyBorder="1"/>
    <xf numFmtId="171" fontId="4" fillId="0" borderId="0" xfId="0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center"/>
    </xf>
    <xf numFmtId="8" fontId="5" fillId="0" borderId="5" xfId="0" applyNumberFormat="1" applyFont="1" applyFill="1" applyBorder="1"/>
    <xf numFmtId="8" fontId="5" fillId="13" borderId="22" xfId="0" applyNumberFormat="1" applyFont="1" applyFill="1" applyBorder="1" applyAlignment="1">
      <alignment horizontal="center"/>
    </xf>
    <xf numFmtId="8" fontId="5" fillId="13" borderId="2" xfId="0" applyNumberFormat="1" applyFont="1" applyFill="1" applyBorder="1" applyAlignment="1">
      <alignment horizontal="center"/>
    </xf>
    <xf numFmtId="8" fontId="5" fillId="13" borderId="8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43" fontId="5" fillId="0" borderId="5" xfId="0" applyNumberFormat="1" applyFont="1" applyFill="1" applyBorder="1"/>
    <xf numFmtId="43" fontId="5" fillId="0" borderId="2" xfId="0" applyNumberFormat="1" applyFont="1" applyFill="1" applyBorder="1" applyAlignment="1">
      <alignment horizontal="center"/>
    </xf>
    <xf numFmtId="43" fontId="5" fillId="0" borderId="8" xfId="0" applyNumberFormat="1" applyFont="1" applyFill="1" applyBorder="1" applyAlignment="1">
      <alignment horizontal="center"/>
    </xf>
    <xf numFmtId="43" fontId="5" fillId="0" borderId="22" xfId="0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43" fontId="5" fillId="0" borderId="0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43" fontId="5" fillId="0" borderId="6" xfId="0" applyNumberFormat="1" applyFont="1" applyFill="1" applyBorder="1"/>
    <xf numFmtId="43" fontId="5" fillId="0" borderId="1" xfId="0" applyNumberFormat="1" applyFont="1" applyFill="1" applyBorder="1" applyAlignment="1">
      <alignment horizontal="center"/>
    </xf>
    <xf numFmtId="43" fontId="5" fillId="0" borderId="12" xfId="0" applyNumberFormat="1" applyFont="1" applyFill="1" applyBorder="1" applyAlignment="1">
      <alignment horizontal="center"/>
    </xf>
    <xf numFmtId="43" fontId="5" fillId="0" borderId="23" xfId="0" applyNumberFormat="1" applyFont="1" applyFill="1" applyBorder="1" applyAlignment="1">
      <alignment horizontal="center"/>
    </xf>
    <xf numFmtId="171" fontId="5" fillId="0" borderId="0" xfId="0" applyFont="1" applyFill="1" applyBorder="1" applyAlignment="1">
      <alignment horizontal="left"/>
    </xf>
    <xf numFmtId="171" fontId="5" fillId="0" borderId="0" xfId="0" quotePrefix="1" applyFont="1" applyFill="1" applyAlignment="1">
      <alignment horizontal="left" vertical="top"/>
    </xf>
    <xf numFmtId="172" fontId="5" fillId="0" borderId="0" xfId="0" applyNumberFormat="1" applyFont="1" applyFill="1"/>
    <xf numFmtId="1" fontId="5" fillId="0" borderId="10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8" fontId="5" fillId="6" borderId="0" xfId="2" applyNumberFormat="1" applyFont="1" applyFill="1"/>
    <xf numFmtId="174" fontId="5" fillId="6" borderId="0" xfId="24" applyNumberFormat="1" applyFont="1" applyFill="1" applyBorder="1"/>
    <xf numFmtId="172" fontId="5" fillId="6" borderId="0" xfId="24" applyNumberFormat="1" applyFont="1" applyFill="1"/>
    <xf numFmtId="44" fontId="5" fillId="0" borderId="0" xfId="2" applyFont="1"/>
    <xf numFmtId="171" fontId="5" fillId="0" borderId="3" xfId="24" applyFont="1" applyFill="1" applyBorder="1"/>
    <xf numFmtId="171" fontId="5" fillId="0" borderId="4" xfId="24" applyFont="1" applyFill="1" applyBorder="1"/>
    <xf numFmtId="171" fontId="5" fillId="6" borderId="0" xfId="24" applyFont="1" applyFill="1"/>
    <xf numFmtId="171" fontId="5" fillId="0" borderId="0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 wrapText="1"/>
    </xf>
    <xf numFmtId="171" fontId="5" fillId="12" borderId="0" xfId="24" applyFont="1" applyFill="1"/>
    <xf numFmtId="173" fontId="5" fillId="0" borderId="0" xfId="24" applyNumberFormat="1" applyFont="1" applyFill="1"/>
    <xf numFmtId="164" fontId="5" fillId="0" borderId="0" xfId="1" applyNumberFormat="1" applyFont="1" applyFill="1"/>
    <xf numFmtId="43" fontId="5" fillId="0" borderId="0" xfId="1" applyNumberFormat="1" applyFont="1" applyFill="1"/>
    <xf numFmtId="10" fontId="0" fillId="0" borderId="0" xfId="8" applyNumberFormat="1" applyFont="1"/>
    <xf numFmtId="173" fontId="5" fillId="6" borderId="0" xfId="24" applyNumberFormat="1" applyFont="1" applyFill="1"/>
    <xf numFmtId="171" fontId="0" fillId="0" borderId="0" xfId="0" applyFont="1" applyFill="1" applyAlignment="1">
      <alignment horizontal="centerContinuous"/>
    </xf>
    <xf numFmtId="171" fontId="4" fillId="0" borderId="0" xfId="0" applyFont="1" applyFill="1" applyAlignment="1">
      <alignment horizontal="right"/>
    </xf>
    <xf numFmtId="171" fontId="0" fillId="0" borderId="0" xfId="0" applyFont="1" applyFill="1" applyBorder="1" applyAlignment="1">
      <alignment horizontal="centerContinuous"/>
    </xf>
    <xf numFmtId="171" fontId="4" fillId="0" borderId="5" xfId="0" applyFont="1" applyFill="1" applyBorder="1" applyAlignment="1">
      <alignment horizontal="centerContinuous" wrapText="1"/>
    </xf>
    <xf numFmtId="171" fontId="9" fillId="0" borderId="6" xfId="0" applyFont="1" applyFill="1" applyBorder="1" applyAlignment="1">
      <alignment horizontal="centerContinuous"/>
    </xf>
    <xf numFmtId="171" fontId="8" fillId="0" borderId="0" xfId="0" quotePrefix="1" applyFont="1" applyFill="1" applyBorder="1" applyAlignment="1">
      <alignment horizontal="center"/>
    </xf>
    <xf numFmtId="0" fontId="0" fillId="0" borderId="0" xfId="0" applyNumberFormat="1" applyFont="1" applyFill="1"/>
    <xf numFmtId="6" fontId="0" fillId="0" borderId="0" xfId="0" applyNumberFormat="1" applyFont="1" applyFill="1" applyAlignment="1">
      <alignment horizontal="right"/>
    </xf>
    <xf numFmtId="8" fontId="0" fillId="0" borderId="0" xfId="0" applyNumberFormat="1" applyFont="1" applyFill="1" applyAlignment="1">
      <alignment horizontal="right"/>
    </xf>
    <xf numFmtId="8" fontId="0" fillId="0" borderId="0" xfId="0" applyNumberFormat="1" applyFont="1" applyFill="1"/>
    <xf numFmtId="8" fontId="0" fillId="0" borderId="0" xfId="0" applyNumberFormat="1" applyFont="1" applyFill="1" applyBorder="1"/>
    <xf numFmtId="165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Border="1" applyAlignment="1">
      <alignment horizontal="right"/>
    </xf>
    <xf numFmtId="0" fontId="0" fillId="0" borderId="0" xfId="5" applyNumberFormat="1" applyFont="1" applyFill="1"/>
    <xf numFmtId="165" fontId="0" fillId="0" borderId="0" xfId="5" applyNumberFormat="1" applyFont="1" applyFill="1" applyAlignment="1">
      <alignment horizontal="center"/>
    </xf>
    <xf numFmtId="171" fontId="0" fillId="0" borderId="0" xfId="5" applyFont="1" applyFill="1"/>
    <xf numFmtId="181" fontId="0" fillId="0" borderId="0" xfId="0" applyNumberFormat="1" applyFont="1" applyFill="1"/>
    <xf numFmtId="41" fontId="0" fillId="0" borderId="0" xfId="4" applyFont="1" applyFill="1"/>
    <xf numFmtId="171" fontId="0" fillId="0" borderId="0" xfId="0" applyFont="1" applyFill="1" applyAlignment="1">
      <alignment horizontal="center"/>
    </xf>
    <xf numFmtId="41" fontId="0" fillId="0" borderId="0" xfId="5" applyNumberFormat="1" applyFont="1" applyFill="1" applyBorder="1"/>
    <xf numFmtId="171" fontId="4" fillId="0" borderId="17" xfId="0" applyFont="1" applyFill="1" applyBorder="1" applyAlignment="1">
      <alignment horizontal="centerContinuous"/>
    </xf>
    <xf numFmtId="171" fontId="4" fillId="0" borderId="24" xfId="0" applyFont="1" applyFill="1" applyBorder="1" applyAlignment="1">
      <alignment horizontal="centerContinuous"/>
    </xf>
    <xf numFmtId="171" fontId="0" fillId="0" borderId="18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Continuous"/>
    </xf>
    <xf numFmtId="171" fontId="4" fillId="0" borderId="9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"/>
    </xf>
    <xf numFmtId="41" fontId="0" fillId="0" borderId="0" xfId="0" applyNumberFormat="1" applyFont="1" applyFill="1"/>
    <xf numFmtId="6" fontId="0" fillId="0" borderId="0" xfId="2" applyNumberFormat="1" applyFont="1" applyFill="1" applyAlignment="1">
      <alignment horizontal="center"/>
    </xf>
    <xf numFmtId="8" fontId="0" fillId="0" borderId="0" xfId="2" applyNumberFormat="1" applyFont="1" applyFill="1" applyAlignment="1">
      <alignment horizontal="center"/>
    </xf>
    <xf numFmtId="41" fontId="36" fillId="0" borderId="0" xfId="0" applyNumberFormat="1" applyFont="1" applyFill="1"/>
    <xf numFmtId="167" fontId="36" fillId="0" borderId="0" xfId="8" applyNumberFormat="1" applyFont="1" applyFill="1"/>
    <xf numFmtId="6" fontId="36" fillId="0" borderId="0" xfId="2" applyNumberFormat="1" applyFont="1" applyFill="1" applyAlignment="1">
      <alignment horizontal="center"/>
    </xf>
    <xf numFmtId="8" fontId="36" fillId="0" borderId="0" xfId="2" applyNumberFormat="1" applyFont="1" applyFill="1" applyAlignment="1">
      <alignment horizontal="center"/>
    </xf>
    <xf numFmtId="6" fontId="0" fillId="0" borderId="0" xfId="2" applyNumberFormat="1" applyFont="1" applyFill="1"/>
    <xf numFmtId="8" fontId="0" fillId="0" borderId="0" xfId="2" applyNumberFormat="1" applyFont="1" applyFill="1"/>
    <xf numFmtId="171" fontId="4" fillId="0" borderId="7" xfId="5" applyFont="1" applyFill="1" applyBorder="1" applyAlignment="1">
      <alignment horizontal="centerContinuous"/>
    </xf>
    <xf numFmtId="171" fontId="0" fillId="0" borderId="0" xfId="5" applyFont="1" applyFill="1" applyAlignment="1">
      <alignment horizontal="left"/>
    </xf>
    <xf numFmtId="171" fontId="0" fillId="0" borderId="0" xfId="0" applyFont="1" applyFill="1" applyAlignment="1">
      <alignment horizontal="left"/>
    </xf>
    <xf numFmtId="173" fontId="0" fillId="0" borderId="0" xfId="0" applyNumberFormat="1" applyFont="1" applyFill="1"/>
    <xf numFmtId="164" fontId="0" fillId="0" borderId="0" xfId="0" applyNumberFormat="1" applyFont="1" applyFill="1" applyAlignment="1">
      <alignment horizontal="center"/>
    </xf>
    <xf numFmtId="171" fontId="36" fillId="0" borderId="0" xfId="0" applyFont="1" applyFill="1"/>
    <xf numFmtId="173" fontId="36" fillId="0" borderId="0" xfId="0" applyNumberFormat="1" applyFont="1" applyFill="1"/>
    <xf numFmtId="43" fontId="36" fillId="0" borderId="0" xfId="2" applyNumberFormat="1" applyFont="1" applyFill="1"/>
    <xf numFmtId="164" fontId="36" fillId="0" borderId="0" xfId="0" applyNumberFormat="1" applyFont="1" applyFill="1" applyAlignment="1">
      <alignment horizontal="center"/>
    </xf>
    <xf numFmtId="167" fontId="0" fillId="0" borderId="0" xfId="0" applyNumberFormat="1" applyFont="1" applyFill="1"/>
    <xf numFmtId="164" fontId="0" fillId="0" borderId="0" xfId="0" applyNumberFormat="1" applyFont="1" applyFill="1"/>
    <xf numFmtId="164" fontId="8" fillId="0" borderId="0" xfId="0" applyNumberFormat="1" applyFont="1" applyFill="1" applyAlignment="1">
      <alignment horizontal="right"/>
    </xf>
    <xf numFmtId="171" fontId="4" fillId="0" borderId="3" xfId="5" applyFont="1" applyFill="1" applyBorder="1" applyAlignment="1">
      <alignment horizontal="centerContinuous"/>
    </xf>
    <xf numFmtId="171" fontId="0" fillId="0" borderId="9" xfId="0" applyFont="1" applyFill="1" applyBorder="1" applyAlignment="1">
      <alignment horizontal="centerContinuous"/>
    </xf>
    <xf numFmtId="171" fontId="0" fillId="0" borderId="4" xfId="0" applyFont="1" applyFill="1" applyBorder="1" applyAlignment="1">
      <alignment horizontal="centerContinuous"/>
    </xf>
    <xf numFmtId="169" fontId="0" fillId="0" borderId="0" xfId="2" applyNumberFormat="1" applyFont="1" applyFill="1"/>
    <xf numFmtId="8" fontId="36" fillId="0" borderId="0" xfId="2" applyNumberFormat="1" applyFont="1" applyFill="1"/>
    <xf numFmtId="174" fontId="0" fillId="0" borderId="0" xfId="0" applyNumberFormat="1" applyFont="1" applyFill="1" applyBorder="1"/>
    <xf numFmtId="9" fontId="0" fillId="0" borderId="0" xfId="0" applyNumberFormat="1" applyFont="1" applyFill="1"/>
    <xf numFmtId="10" fontId="0" fillId="0" borderId="0" xfId="8" applyNumberFormat="1" applyFont="1" applyFill="1"/>
    <xf numFmtId="171" fontId="15" fillId="0" borderId="0" xfId="0" applyFont="1"/>
    <xf numFmtId="6" fontId="0" fillId="6" borderId="0" xfId="2" applyNumberFormat="1" applyFont="1" applyFill="1"/>
    <xf numFmtId="171" fontId="0" fillId="6" borderId="0" xfId="0" applyFont="1" applyFill="1"/>
    <xf numFmtId="174" fontId="0" fillId="6" borderId="0" xfId="0" applyNumberFormat="1" applyFont="1" applyFill="1" applyBorder="1"/>
    <xf numFmtId="8" fontId="0" fillId="6" borderId="0" xfId="2" applyNumberFormat="1" applyFont="1" applyFill="1"/>
    <xf numFmtId="8" fontId="36" fillId="6" borderId="0" xfId="2" applyNumberFormat="1" applyFont="1" applyFill="1"/>
    <xf numFmtId="9" fontId="0" fillId="6" borderId="0" xfId="0" applyNumberFormat="1" applyFont="1" applyFill="1"/>
    <xf numFmtId="164" fontId="0" fillId="6" borderId="0" xfId="0" applyNumberFormat="1" applyFont="1" applyFill="1"/>
    <xf numFmtId="171" fontId="5" fillId="0" borderId="0" xfId="24" applyFont="1" applyFill="1" applyAlignment="1"/>
    <xf numFmtId="165" fontId="5" fillId="6" borderId="0" xfId="24" applyNumberFormat="1" applyFont="1" applyFill="1" applyBorder="1" applyAlignment="1">
      <alignment horizontal="center"/>
    </xf>
    <xf numFmtId="43" fontId="32" fillId="0" borderId="0" xfId="1" applyNumberFormat="1" applyFont="1" applyFill="1"/>
    <xf numFmtId="172" fontId="32" fillId="0" borderId="0" xfId="24" applyNumberFormat="1" applyFont="1" applyFill="1"/>
    <xf numFmtId="182" fontId="5" fillId="6" borderId="0" xfId="1" applyNumberFormat="1" applyFont="1" applyFill="1"/>
    <xf numFmtId="183" fontId="0" fillId="0" borderId="0" xfId="8" applyNumberFormat="1" applyFont="1" applyFill="1"/>
    <xf numFmtId="8" fontId="5" fillId="11" borderId="0" xfId="24" applyNumberFormat="1" applyFont="1" applyFill="1" applyBorder="1"/>
    <xf numFmtId="0" fontId="4" fillId="0" borderId="0" xfId="24" applyNumberFormat="1" applyFont="1" applyFill="1" applyBorder="1"/>
    <xf numFmtId="8" fontId="4" fillId="0" borderId="0" xfId="24" applyNumberFormat="1" applyFont="1" applyFill="1" applyBorder="1"/>
    <xf numFmtId="171" fontId="4" fillId="0" borderId="0" xfId="0" applyFont="1"/>
    <xf numFmtId="0" fontId="4" fillId="0" borderId="0" xfId="0" applyNumberFormat="1" applyFont="1"/>
    <xf numFmtId="171" fontId="0" fillId="11" borderId="0" xfId="0" applyFill="1"/>
    <xf numFmtId="171" fontId="4" fillId="0" borderId="0" xfId="0" applyFont="1" applyBorder="1" applyAlignment="1">
      <alignment horizontal="center"/>
    </xf>
    <xf numFmtId="174" fontId="5" fillId="0" borderId="0" xfId="8" applyNumberFormat="1" applyFont="1" applyFill="1" applyAlignment="1">
      <alignment horizontal="right"/>
    </xf>
    <xf numFmtId="7" fontId="5" fillId="0" borderId="0" xfId="1" applyNumberFormat="1" applyFont="1" applyFill="1" applyAlignment="1">
      <alignment horizontal="right" vertical="center"/>
    </xf>
    <xf numFmtId="0" fontId="5" fillId="0" borderId="0" xfId="1" applyNumberFormat="1" applyFont="1" applyFill="1" applyAlignment="1">
      <alignment horizontal="right"/>
    </xf>
    <xf numFmtId="171" fontId="38" fillId="0" borderId="0" xfId="5" applyFont="1" applyFill="1" applyBorder="1"/>
    <xf numFmtId="0" fontId="5" fillId="12" borderId="0" xfId="1" applyNumberFormat="1" applyFont="1" applyFill="1" applyAlignment="1">
      <alignment horizontal="right"/>
    </xf>
    <xf numFmtId="8" fontId="5" fillId="12" borderId="0" xfId="24" applyNumberFormat="1" applyFont="1" applyFill="1" applyAlignment="1">
      <alignment horizontal="right"/>
    </xf>
    <xf numFmtId="171" fontId="5" fillId="0" borderId="0" xfId="24" applyFont="1" applyFill="1" applyBorder="1" applyAlignment="1"/>
    <xf numFmtId="171" fontId="0" fillId="12" borderId="0" xfId="0" applyFill="1"/>
    <xf numFmtId="171" fontId="0" fillId="6" borderId="0" xfId="0" applyFill="1"/>
    <xf numFmtId="8" fontId="5" fillId="6" borderId="0" xfId="24" applyNumberFormat="1" applyFont="1" applyFill="1" applyBorder="1"/>
    <xf numFmtId="171" fontId="0" fillId="0" borderId="0" xfId="0" applyFont="1" applyFill="1" applyAlignment="1">
      <alignment horizontal="right"/>
    </xf>
    <xf numFmtId="172" fontId="5" fillId="6" borderId="0" xfId="2" applyNumberFormat="1" applyFont="1" applyFill="1"/>
    <xf numFmtId="0" fontId="5" fillId="0" borderId="0" xfId="25" applyFont="1" applyFill="1"/>
    <xf numFmtId="44" fontId="5" fillId="0" borderId="0" xfId="2" applyFont="1" applyFill="1"/>
    <xf numFmtId="8" fontId="5" fillId="0" borderId="0" xfId="1" applyNumberFormat="1" applyFont="1" applyFill="1"/>
    <xf numFmtId="6" fontId="5" fillId="0" borderId="0" xfId="2" applyNumberFormat="1" applyFont="1" applyFill="1"/>
    <xf numFmtId="178" fontId="28" fillId="0" borderId="0" xfId="27" applyNumberFormat="1" applyFill="1" applyAlignment="1" applyProtection="1"/>
    <xf numFmtId="178" fontId="31" fillId="0" borderId="0" xfId="0" applyNumberFormat="1" applyFont="1" applyFill="1"/>
    <xf numFmtId="178" fontId="29" fillId="0" borderId="0" xfId="0" applyNumberFormat="1" applyFont="1" applyFill="1"/>
    <xf numFmtId="174" fontId="5" fillId="0" borderId="0" xfId="24" applyNumberFormat="1" applyFont="1" applyFill="1" applyBorder="1"/>
    <xf numFmtId="167" fontId="5" fillId="0" borderId="0" xfId="24" applyNumberFormat="1" applyFont="1" applyFill="1"/>
    <xf numFmtId="171" fontId="0" fillId="14" borderId="0" xfId="0" applyFont="1" applyFill="1"/>
    <xf numFmtId="171" fontId="5" fillId="0" borderId="0" xfId="24" applyFont="1" applyFill="1" applyBorder="1" applyAlignment="1">
      <alignment wrapText="1"/>
    </xf>
    <xf numFmtId="173" fontId="5" fillId="0" borderId="0" xfId="24" applyNumberFormat="1" applyFont="1" applyFill="1" applyBorder="1"/>
    <xf numFmtId="10" fontId="5" fillId="0" borderId="0" xfId="8" applyNumberFormat="1" applyFont="1" applyFill="1" applyBorder="1"/>
    <xf numFmtId="171" fontId="0" fillId="0" borderId="0" xfId="5" applyFont="1" applyFill="1" applyBorder="1"/>
    <xf numFmtId="171" fontId="12" fillId="0" borderId="0" xfId="24" quotePrefix="1" applyFont="1" applyFill="1" applyBorder="1" applyAlignment="1">
      <alignment horizontal="center" wrapText="1"/>
    </xf>
    <xf numFmtId="164" fontId="5" fillId="0" borderId="0" xfId="1" applyNumberFormat="1" applyFont="1" applyFill="1" applyBorder="1"/>
    <xf numFmtId="8" fontId="5" fillId="0" borderId="0" xfId="2" applyNumberFormat="1" applyFont="1" applyFill="1" applyBorder="1"/>
    <xf numFmtId="37" fontId="3" fillId="0" borderId="0" xfId="2" applyNumberFormat="1" applyFont="1"/>
    <xf numFmtId="10" fontId="3" fillId="5" borderId="0" xfId="8" applyNumberFormat="1" applyFont="1" applyFill="1"/>
    <xf numFmtId="41" fontId="6" fillId="0" borderId="0" xfId="11" applyFont="1" applyAlignment="1">
      <alignment horizontal="centerContinuous"/>
    </xf>
    <xf numFmtId="41" fontId="9" fillId="0" borderId="0" xfId="11" applyFont="1" applyAlignment="1">
      <alignment horizontal="centerContinuous"/>
    </xf>
    <xf numFmtId="41" fontId="5" fillId="0" borderId="0" xfId="11" applyAlignment="1">
      <alignment horizontal="centerContinuous"/>
    </xf>
    <xf numFmtId="41" fontId="7" fillId="0" borderId="0" xfId="11" applyFont="1" applyAlignment="1">
      <alignment horizontal="centerContinuous"/>
    </xf>
    <xf numFmtId="171" fontId="7" fillId="0" borderId="0" xfId="0" applyFont="1" applyAlignment="1">
      <alignment horizontal="centerContinuous"/>
    </xf>
    <xf numFmtId="41" fontId="5" fillId="0" borderId="0" xfId="11" applyAlignment="1">
      <alignment horizontal="center"/>
    </xf>
    <xf numFmtId="41" fontId="5" fillId="0" borderId="0" xfId="11" applyAlignment="1">
      <alignment horizontal="center" wrapText="1"/>
    </xf>
    <xf numFmtId="17" fontId="0" fillId="0" borderId="0" xfId="11" applyNumberFormat="1" applyFont="1" applyAlignment="1">
      <alignment horizontal="center"/>
    </xf>
    <xf numFmtId="9" fontId="5" fillId="0" borderId="0" xfId="8" applyFont="1" applyFill="1" applyAlignment="1">
      <alignment horizontal="center"/>
    </xf>
    <xf numFmtId="17" fontId="5" fillId="0" borderId="0" xfId="11" applyNumberFormat="1"/>
    <xf numFmtId="0" fontId="5" fillId="0" borderId="0" xfId="7" applyAlignment="1">
      <alignment horizontal="center"/>
    </xf>
    <xf numFmtId="0" fontId="5" fillId="0" borderId="22" xfId="11" applyNumberFormat="1" applyBorder="1" applyAlignment="1">
      <alignment horizontal="center"/>
    </xf>
    <xf numFmtId="8" fontId="5" fillId="0" borderId="2" xfId="11" applyNumberFormat="1" applyBorder="1" applyAlignment="1">
      <alignment horizontal="center"/>
    </xf>
    <xf numFmtId="8" fontId="5" fillId="0" borderId="8" xfId="11" applyNumberFormat="1" applyBorder="1" applyAlignment="1">
      <alignment horizontal="center"/>
    </xf>
    <xf numFmtId="168" fontId="39" fillId="0" borderId="0" xfId="11" applyNumberFormat="1" applyFont="1" applyAlignment="1">
      <alignment horizontal="centerContinuous"/>
    </xf>
    <xf numFmtId="0" fontId="5" fillId="0" borderId="10" xfId="11" applyNumberFormat="1" applyBorder="1" applyAlignment="1">
      <alignment horizontal="center"/>
    </xf>
    <xf numFmtId="8" fontId="5" fillId="0" borderId="0" xfId="11" applyNumberFormat="1" applyAlignment="1">
      <alignment horizontal="center"/>
    </xf>
    <xf numFmtId="8" fontId="5" fillId="0" borderId="11" xfId="11" applyNumberFormat="1" applyBorder="1" applyAlignment="1">
      <alignment horizontal="center"/>
    </xf>
    <xf numFmtId="0" fontId="5" fillId="0" borderId="23" xfId="11" applyNumberFormat="1" applyBorder="1" applyAlignment="1">
      <alignment horizontal="center"/>
    </xf>
    <xf numFmtId="8" fontId="5" fillId="0" borderId="1" xfId="11" applyNumberFormat="1" applyBorder="1" applyAlignment="1">
      <alignment horizontal="center"/>
    </xf>
    <xf numFmtId="8" fontId="5" fillId="0" borderId="12" xfId="11" applyNumberFormat="1" applyBorder="1" applyAlignment="1">
      <alignment horizontal="center"/>
    </xf>
    <xf numFmtId="0" fontId="0" fillId="0" borderId="0" xfId="11" applyNumberFormat="1" applyFont="1" applyAlignment="1">
      <alignment horizontal="left"/>
    </xf>
    <xf numFmtId="41" fontId="23" fillId="0" borderId="0" xfId="11" applyFont="1"/>
    <xf numFmtId="41" fontId="5" fillId="0" borderId="0" xfId="11" applyAlignment="1">
      <alignment horizontal="left" indent="1"/>
    </xf>
    <xf numFmtId="174" fontId="23" fillId="0" borderId="0" xfId="8" applyNumberFormat="1" applyFont="1" applyFill="1"/>
    <xf numFmtId="10" fontId="5" fillId="0" borderId="0" xfId="8" applyNumberFormat="1" applyFont="1" applyFill="1" applyAlignment="1">
      <alignment horizontal="left" indent="1"/>
    </xf>
    <xf numFmtId="9" fontId="5" fillId="0" borderId="0" xfId="8" applyFont="1" applyFill="1" applyBorder="1" applyAlignment="1">
      <alignment horizontal="center"/>
    </xf>
    <xf numFmtId="8" fontId="5" fillId="0" borderId="0" xfId="11" applyNumberFormat="1"/>
    <xf numFmtId="39" fontId="5" fillId="0" borderId="0" xfId="30" quotePrefix="1" applyNumberFormat="1" applyFont="1" applyAlignment="1">
      <alignment horizontal="center"/>
    </xf>
    <xf numFmtId="39" fontId="5" fillId="0" borderId="0" xfId="11" applyNumberFormat="1" applyAlignment="1">
      <alignment horizontal="center"/>
    </xf>
    <xf numFmtId="43" fontId="5" fillId="0" borderId="0" xfId="1" applyFont="1" applyFill="1"/>
    <xf numFmtId="171" fontId="5" fillId="0" borderId="0" xfId="0" quotePrefix="1" applyFont="1"/>
    <xf numFmtId="171" fontId="5" fillId="0" borderId="0" xfId="0" applyFont="1" applyFill="1" applyAlignment="1">
      <alignment horizontal="center" vertical="top"/>
    </xf>
    <xf numFmtId="171" fontId="5" fillId="0" borderId="0" xfId="0" applyFont="1" applyFill="1" applyAlignment="1">
      <alignment horizontal="center"/>
    </xf>
    <xf numFmtId="171" fontId="4" fillId="0" borderId="0" xfId="0" applyFont="1" applyBorder="1" applyAlignment="1">
      <alignment horizontal="center"/>
    </xf>
    <xf numFmtId="165" fontId="5" fillId="0" borderId="0" xfId="24" applyNumberFormat="1" applyFont="1" applyFill="1" applyAlignment="1">
      <alignment horizontal="center" vertical="top" wrapText="1"/>
    </xf>
    <xf numFmtId="171" fontId="4" fillId="0" borderId="3" xfId="24" applyFont="1" applyFill="1" applyBorder="1" applyAlignment="1">
      <alignment horizontal="center"/>
    </xf>
    <xf numFmtId="171" fontId="4" fillId="0" borderId="9" xfId="24" applyFont="1" applyFill="1" applyBorder="1" applyAlignment="1">
      <alignment horizontal="center"/>
    </xf>
    <xf numFmtId="171" fontId="4" fillId="0" borderId="4" xfId="24" applyFont="1" applyFill="1" applyBorder="1" applyAlignment="1">
      <alignment horizontal="center"/>
    </xf>
    <xf numFmtId="171" fontId="4" fillId="0" borderId="3" xfId="24" applyFont="1" applyFill="1" applyBorder="1" applyAlignment="1">
      <alignment horizontal="left" vertical="top"/>
    </xf>
    <xf numFmtId="171" fontId="4" fillId="0" borderId="9" xfId="24" applyFont="1" applyFill="1" applyBorder="1" applyAlignment="1">
      <alignment horizontal="left" vertical="top"/>
    </xf>
    <xf numFmtId="171" fontId="4" fillId="0" borderId="4" xfId="24" applyFont="1" applyFill="1" applyBorder="1" applyAlignment="1">
      <alignment horizontal="left" vertical="top"/>
    </xf>
  </cellXfs>
  <cellStyles count="31">
    <cellStyle name="Comma" xfId="1" builtinId="3"/>
    <cellStyle name="Comma 2" xfId="14"/>
    <cellStyle name="Comma 3" xfId="28"/>
    <cellStyle name="Currency" xfId="2" builtinId="4"/>
    <cellStyle name="Currency 2" xfId="15"/>
    <cellStyle name="Currency No Comma" xfId="16"/>
    <cellStyle name="Hyperlink" xfId="27" builtinId="8"/>
    <cellStyle name="Input" xfId="3" builtinId="20" customBuiltin="1"/>
    <cellStyle name="MCP" xfId="17"/>
    <cellStyle name="noninput" xfId="18"/>
    <cellStyle name="Normal" xfId="0" builtinId="0" customBuiltin="1"/>
    <cellStyle name="Normal 176" xfId="29"/>
    <cellStyle name="Normal 2" xfId="9"/>
    <cellStyle name="Normal 2 2" xfId="13"/>
    <cellStyle name="Normal 3" xfId="10"/>
    <cellStyle name="Normal 3 2" xfId="26"/>
    <cellStyle name="Normal 5" xfId="12"/>
    <cellStyle name="Normal_DRR AC Study - Utah Valley - 53 MW 90 CF (2.28.2005)" xfId="4"/>
    <cellStyle name="Normal_Exhibit GND-1 - 5.24.2005" xfId="30"/>
    <cellStyle name="Normal_INF_06_03_07" xfId="25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Normal_WY AC 2009 - AC Study (Wind Study)_2009 08 11" xfId="24"/>
    <cellStyle name="Password" xfId="19"/>
    <cellStyle name="Percent" xfId="8" builtinId="5"/>
    <cellStyle name="Percent 2" xfId="23"/>
    <cellStyle name="Unprot" xfId="20"/>
    <cellStyle name="Unprot$" xfId="21"/>
    <cellStyle name="Unprotect" xfId="22"/>
  </cellStyles>
  <dxfs count="4">
    <dxf>
      <font>
        <b/>
        <i/>
        <condense val="0"/>
        <extend val="0"/>
      </font>
      <fill>
        <patternFill>
          <bgColor indexed="42"/>
        </patternFill>
      </fill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8\349%20-%20UT%20Compliance%202018Q3%20-%20UT%20-%202018%20Dec\sch%2038%20filing%20package\4_Appendix%20B.1%20-%20UT%202018.Q3%20-%20AC%20Study%20NON-CONF%20Therm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regon\OR%20AC%202016%20Jan%20-%20Sch%2037\Scenario\OR%20AC%20Sch%2037%20-%20AC%20%20Study_s1_Update_(OFPC1501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5%20Apr%20-%20Sch%2037%20Update\Sent%20out%202015%2004%2030%20(filing%20date)\UT%20Sch%2037%202015%20-%20Appendix%201%20-%20AC%20Study%20_2015%2004%2027_Proposed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83%20-%20UT2020Q3%20-%20UT%20-%202020%20Dec\Sch%2038%20Filing\4_Appendix%20B.1%20-%20UT%202020.Q3%20-%20AC%20Study%20NON-CONF%20Thermal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T\2020%20Dockets\20-035-30%20Quarterly%20Avoided%20Cost%20Updates\Q4%202020%2003-30-21\Working%20Docs\4_Appendix%20B.1%20-%20UT%202020.Q4%20-%20AC%20Study%20NON-CONF%20Thermal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T\2020%20Dockets\20-035-30%20Quarterly%20Avoided%20Cost%20Updates\Q4%202020%2003-30-21\Working%20Docs\4_Appendix%20B.3%20-%20UT%202020.Q4%20-%20AC%20Study%20NON-CONF%20Wind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83%20-%20UT2020Q3%20-%20UT%20-%202020%20Dec\Sch%2038%20Filing\4_Appendix%20B.2%20-%20UT%202020.Q3%20-%20AC%20Study%20NON-CONF%20Solar%20T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83%20-%20UT2020Q3%20-%20UT%20-%202020%20Dec\Sch%2038%20Filing\4_Appendix%20B.3%20-%20UT%202020.Q3%20-%20AC%20Study%20NON-CONF%20Wi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02%20-%20Utah%202019Q4%20-%20UT%20-%202020%20Jan\Ssch%2038%20filing\4_Appendix%20B.1%20-%20UT%202019.Q4%20-%20AC%20Study%20NON-CONF%20Therm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064%20-%20IRP19%20Update%20-%20ST%20-%202019%20Oct\Scenarios\4_Appendix%20B.3%20-%20UT%202019.Q3%20-%20AC%20Study%20NON-CONF%20Wind%2060pctPTC_DeferUT_CP_W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7%20Apr%20-%20Sch%2037%20Update\Sent%20Out\Public%20Workpapers\17-035-T07%20RMP%20Wkpr%20-%20Avoided%20Cost%20Study-Solar%20T%2005-30-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3%20May%20-%20Sch%2037%20Update\Scenario\Preliminary%20and%20Draft%20Versions\UT%20Sch%2037%202013%20-%202a%20-%20L&amp;R%20%20Study%20_2013%2005%2021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cenario\Scenarios_2016%2004%2005\delete_Sce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</sheetNames>
    <sheetDataSet>
      <sheetData sheetId="0" refreshError="1"/>
      <sheetData sheetId="1">
        <row r="13">
          <cell r="B13">
            <v>2019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Solar QF"/>
      <sheetName val="Exhibit 4 - Renewable Wind"/>
      <sheetName val="Exhibit 5 - Renewable BaseLoad"/>
      <sheetName val="Exhibit 6 - Renewable Solar"/>
      <sheetName val="Exhibit 7 - Blending"/>
      <sheetName val="Table 1"/>
      <sheetName val="Table 2"/>
      <sheetName val="Tables 3 to 6"/>
      <sheetName val="Table 7(16-30)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42005</v>
          </cell>
          <cell r="K8">
            <v>23.785487297579181</v>
          </cell>
          <cell r="L8">
            <v>19.806235531190044</v>
          </cell>
          <cell r="M8">
            <v>22.074409038031853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42036</v>
          </cell>
          <cell r="K9">
            <v>21.291715830258994</v>
          </cell>
          <cell r="L9">
            <v>12.085937206859114</v>
          </cell>
          <cell r="M9">
            <v>17.333231022197044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42064</v>
          </cell>
          <cell r="K10">
            <v>19.925449308740411</v>
          </cell>
          <cell r="L10">
            <v>15.339238234216703</v>
          </cell>
          <cell r="M10">
            <v>17.953378546695216</v>
          </cell>
          <cell r="P10">
            <v>2024</v>
          </cell>
          <cell r="Q10">
            <v>40.234360833333334</v>
          </cell>
          <cell r="R10">
            <v>32.53317666666667</v>
          </cell>
          <cell r="S10">
            <v>36.851123230456444</v>
          </cell>
          <cell r="T10">
            <v>1.0918082627147911</v>
          </cell>
          <cell r="U10">
            <v>0.88282727403486283</v>
          </cell>
        </row>
        <row r="11">
          <cell r="J11">
            <v>42095</v>
          </cell>
          <cell r="K11">
            <v>20.381100118446795</v>
          </cell>
          <cell r="L11">
            <v>17.068839018130912</v>
          </cell>
          <cell r="M11">
            <v>18.956827845310965</v>
          </cell>
          <cell r="P11">
            <v>2025</v>
          </cell>
          <cell r="Q11">
            <v>42.701166666666666</v>
          </cell>
          <cell r="R11">
            <v>34.631223333333331</v>
          </cell>
          <cell r="S11">
            <v>39.149629846800622</v>
          </cell>
          <cell r="T11">
            <v>1.0907169961443781</v>
          </cell>
          <cell r="U11">
            <v>0.88458622645607099</v>
          </cell>
        </row>
        <row r="12">
          <cell r="J12">
            <v>42125</v>
          </cell>
          <cell r="K12">
            <v>26.676991265709848</v>
          </cell>
          <cell r="L12">
            <v>23.173832127312963</v>
          </cell>
          <cell r="M12">
            <v>25.170632836199186</v>
          </cell>
          <cell r="P12">
            <v>2026</v>
          </cell>
          <cell r="Q12">
            <v>44.195540833333325</v>
          </cell>
          <cell r="R12">
            <v>35.783108333333338</v>
          </cell>
          <cell r="S12">
            <v>40.50154561194838</v>
          </cell>
          <cell r="T12">
            <v>1.0912062778240044</v>
          </cell>
          <cell r="U12">
            <v>0.88349982186301912</v>
          </cell>
        </row>
        <row r="13">
          <cell r="J13">
            <v>42156</v>
          </cell>
          <cell r="K13">
            <v>37.322733874632789</v>
          </cell>
          <cell r="L13">
            <v>24.615597772880243</v>
          </cell>
          <cell r="M13">
            <v>31.858665350879193</v>
          </cell>
          <cell r="P13">
            <v>2027</v>
          </cell>
          <cell r="Q13">
            <v>46.313721666666673</v>
          </cell>
          <cell r="R13">
            <v>37.58096333333333</v>
          </cell>
          <cell r="S13">
            <v>42.47817612083913</v>
          </cell>
          <cell r="T13">
            <v>1.0902944969886756</v>
          </cell>
          <cell r="U13">
            <v>0.88471226322018792</v>
          </cell>
        </row>
        <row r="14">
          <cell r="J14">
            <v>42186</v>
          </cell>
          <cell r="K14">
            <v>40.152853906114792</v>
          </cell>
          <cell r="L14">
            <v>24.660463542903482</v>
          </cell>
          <cell r="M14">
            <v>33.491126049933925</v>
          </cell>
          <cell r="P14">
            <v>2028</v>
          </cell>
          <cell r="Q14">
            <v>48.839144999999995</v>
          </cell>
          <cell r="R14">
            <v>40.069640833333331</v>
          </cell>
          <cell r="S14">
            <v>44.981869826716185</v>
          </cell>
          <cell r="T14">
            <v>1.0857517748404681</v>
          </cell>
          <cell r="U14">
            <v>0.89079535794518439</v>
          </cell>
        </row>
        <row r="15">
          <cell r="J15">
            <v>42217</v>
          </cell>
          <cell r="K15">
            <v>31.865750733301777</v>
          </cell>
          <cell r="L15">
            <v>23.31645309587072</v>
          </cell>
          <cell r="M15">
            <v>28.18955274920642</v>
          </cell>
          <cell r="P15">
            <v>2029</v>
          </cell>
          <cell r="Q15">
            <v>50.089875833333338</v>
          </cell>
          <cell r="R15">
            <v>41.34504583333333</v>
          </cell>
          <cell r="S15">
            <v>46.251120536987266</v>
          </cell>
          <cell r="T15">
            <v>1.0829981036519147</v>
          </cell>
          <cell r="U15">
            <v>0.89392527907014663</v>
          </cell>
        </row>
        <row r="16">
          <cell r="J16">
            <v>42248</v>
          </cell>
          <cell r="K16">
            <v>27.384399892172524</v>
          </cell>
          <cell r="L16">
            <v>23.254535731877322</v>
          </cell>
          <cell r="M16">
            <v>25.608558303245587</v>
          </cell>
          <cell r="P16">
            <v>2030</v>
          </cell>
          <cell r="Q16">
            <v>52.187535000000004</v>
          </cell>
          <cell r="R16">
            <v>42.983530833333326</v>
          </cell>
          <cell r="S16">
            <v>48.144015076549067</v>
          </cell>
          <cell r="T16">
            <v>1.0839880080010305</v>
          </cell>
          <cell r="U16">
            <v>0.8928115107348118</v>
          </cell>
        </row>
        <row r="17">
          <cell r="J17">
            <v>42278</v>
          </cell>
          <cell r="K17">
            <v>23.691494432537873</v>
          </cell>
          <cell r="L17">
            <v>21.501935483870966</v>
          </cell>
          <cell r="M17">
            <v>22.7499840846111</v>
          </cell>
          <cell r="P17">
            <v>2031</v>
          </cell>
          <cell r="Q17">
            <v>55.338625000000008</v>
          </cell>
          <cell r="R17">
            <v>45.840923333333329</v>
          </cell>
          <cell r="S17">
            <v>51.194747550238823</v>
          </cell>
          <cell r="T17">
            <v>1.080943410174934</v>
          </cell>
          <cell r="U17">
            <v>0.89542239247001587</v>
          </cell>
        </row>
        <row r="18">
          <cell r="J18">
            <v>42309</v>
          </cell>
          <cell r="K18">
            <v>22.096778999141115</v>
          </cell>
          <cell r="L18">
            <v>20.605492353584257</v>
          </cell>
          <cell r="M18">
            <v>21.455525741551668</v>
          </cell>
          <cell r="P18">
            <v>2032</v>
          </cell>
          <cell r="Q18">
            <v>56.463290833333325</v>
          </cell>
          <cell r="R18">
            <v>46.926939166666678</v>
          </cell>
          <cell r="S18">
            <v>52.272130315868509</v>
          </cell>
          <cell r="T18">
            <v>1.0801796385978262</v>
          </cell>
          <cell r="U18">
            <v>0.89774300154016939</v>
          </cell>
        </row>
        <row r="19">
          <cell r="J19">
            <v>42339</v>
          </cell>
          <cell r="K19">
            <v>21.549683426272821</v>
          </cell>
          <cell r="L19">
            <v>19.276005748613887</v>
          </cell>
          <cell r="M19">
            <v>20.572002024879481</v>
          </cell>
          <cell r="P19">
            <v>2033</v>
          </cell>
          <cell r="Q19">
            <v>57.682872500000009</v>
          </cell>
          <cell r="R19">
            <v>47.963200000000001</v>
          </cell>
          <cell r="S19">
            <v>53.414606383734444</v>
          </cell>
          <cell r="T19">
            <v>1.0799082199651913</v>
          </cell>
          <cell r="U19">
            <v>0.89794165392568581</v>
          </cell>
        </row>
        <row r="20">
          <cell r="J20">
            <v>42370</v>
          </cell>
          <cell r="K20">
            <v>24.486294135896966</v>
          </cell>
          <cell r="L20">
            <v>21.978847441981479</v>
          </cell>
          <cell r="M20">
            <v>23.408092057513304</v>
          </cell>
          <cell r="P20">
            <v>2034</v>
          </cell>
          <cell r="Q20">
            <v>58.91801916666666</v>
          </cell>
          <cell r="R20">
            <v>49.562219999999996</v>
          </cell>
          <cell r="S20">
            <v>54.796306650984356</v>
          </cell>
          <cell r="T20">
            <v>1.0752188015505286</v>
          </cell>
          <cell r="U20">
            <v>0.9044810321921517</v>
          </cell>
        </row>
        <row r="21">
          <cell r="J21">
            <v>42401</v>
          </cell>
          <cell r="K21">
            <v>23.801406379794031</v>
          </cell>
          <cell r="L21">
            <v>20.851882653228785</v>
          </cell>
          <cell r="M21">
            <v>22.533111177370973</v>
          </cell>
          <cell r="P21">
            <v>2035</v>
          </cell>
          <cell r="Q21">
            <v>60.59161666666666</v>
          </cell>
          <cell r="R21">
            <v>50.87018333333333</v>
          </cell>
          <cell r="S21">
            <v>56.322083962256833</v>
          </cell>
          <cell r="T21">
            <v>1.0758056592378751</v>
          </cell>
          <cell r="U21">
            <v>0.90320136888796598</v>
          </cell>
        </row>
        <row r="22">
          <cell r="J22">
            <v>42430</v>
          </cell>
          <cell r="K22">
            <v>20.131875236863209</v>
          </cell>
          <cell r="L22">
            <v>17.543107525038899</v>
          </cell>
          <cell r="M22">
            <v>19.018705120778755</v>
          </cell>
          <cell r="P22">
            <v>2036</v>
          </cell>
          <cell r="Q22">
            <v>61.740465</v>
          </cell>
          <cell r="R22">
            <v>52.053042500000004</v>
          </cell>
          <cell r="S22">
            <v>57.482592700318101</v>
          </cell>
          <cell r="T22">
            <v>1.0740723773870127</v>
          </cell>
          <cell r="U22">
            <v>0.90554444493092512</v>
          </cell>
        </row>
        <row r="23">
          <cell r="J23">
            <v>42461</v>
          </cell>
          <cell r="K23">
            <v>18.681027162944986</v>
          </cell>
          <cell r="L23">
            <v>13.759514434837946</v>
          </cell>
          <cell r="M23">
            <v>16.564776689858959</v>
          </cell>
          <cell r="P23">
            <v>2037</v>
          </cell>
          <cell r="Q23">
            <v>63.823340000000002</v>
          </cell>
          <cell r="R23">
            <v>53.978084166666662</v>
          </cell>
          <cell r="S23">
            <v>59.495757520429883</v>
          </cell>
          <cell r="T23">
            <v>1.072737665002149</v>
          </cell>
          <cell r="U23">
            <v>0.90725938144634022</v>
          </cell>
        </row>
        <row r="24">
          <cell r="J24">
            <v>42491</v>
          </cell>
          <cell r="K24">
            <v>17.449270932402698</v>
          </cell>
          <cell r="L24">
            <v>10.617283069648192</v>
          </cell>
          <cell r="M24">
            <v>14.51151615141826</v>
          </cell>
          <cell r="P24">
            <v>2038</v>
          </cell>
          <cell r="Q24">
            <v>65.349897499999997</v>
          </cell>
          <cell r="R24">
            <v>56.089000833333337</v>
          </cell>
          <cell r="S24">
            <v>61.274502831085613</v>
          </cell>
          <cell r="T24">
            <v>1.0665104485653512</v>
          </cell>
          <cell r="U24">
            <v>0.91537259776636526</v>
          </cell>
        </row>
        <row r="25">
          <cell r="J25">
            <v>42522</v>
          </cell>
          <cell r="K25">
            <v>17.609162795046313</v>
          </cell>
          <cell r="L25">
            <v>9.2684269105661343</v>
          </cell>
          <cell r="M25">
            <v>14.022646364719835</v>
          </cell>
          <cell r="P25">
            <v>2039</v>
          </cell>
          <cell r="Q25">
            <v>67.611695833333329</v>
          </cell>
          <cell r="R25">
            <v>57.579707500000005</v>
          </cell>
          <cell r="S25">
            <v>63.202639845701789</v>
          </cell>
          <cell r="T25">
            <v>1.069760630226767</v>
          </cell>
          <cell r="U25">
            <v>0.91103326760671399</v>
          </cell>
        </row>
        <row r="26">
          <cell r="J26">
            <v>42552</v>
          </cell>
          <cell r="K26">
            <v>26.008863468110295</v>
          </cell>
          <cell r="L26">
            <v>18.483082449120843</v>
          </cell>
          <cell r="M26">
            <v>22.77277762994483</v>
          </cell>
          <cell r="P26">
            <v>2040</v>
          </cell>
          <cell r="Q26">
            <v>69.93328666666666</v>
          </cell>
          <cell r="R26">
            <v>59.893374166666682</v>
          </cell>
          <cell r="S26">
            <v>65.508768065849026</v>
          </cell>
          <cell r="T26">
            <v>1.0675408610397028</v>
          </cell>
          <cell r="U26">
            <v>0.91428027018401903</v>
          </cell>
        </row>
        <row r="27">
          <cell r="J27">
            <v>42583</v>
          </cell>
          <cell r="K27">
            <v>27.594859252770931</v>
          </cell>
          <cell r="L27">
            <v>21.295809914983657</v>
          </cell>
          <cell r="M27">
            <v>24.886268037522399</v>
          </cell>
          <cell r="P27">
            <v>2041</v>
          </cell>
          <cell r="Q27">
            <v>71.541750833333325</v>
          </cell>
          <cell r="R27">
            <v>61.270920833333328</v>
          </cell>
          <cell r="S27">
            <v>67.034807714218019</v>
          </cell>
          <cell r="T27">
            <v>1.0672328790488854</v>
          </cell>
          <cell r="U27">
            <v>0.91401650758129682</v>
          </cell>
        </row>
        <row r="28">
          <cell r="J28">
            <v>42614</v>
          </cell>
          <cell r="K28">
            <v>26.462973856690652</v>
          </cell>
          <cell r="L28">
            <v>22.793451325123435</v>
          </cell>
          <cell r="M28">
            <v>24.885079168116746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J29">
            <v>42644</v>
          </cell>
          <cell r="K29">
            <v>23.542702132769868</v>
          </cell>
          <cell r="L29">
            <v>20.381485696162081</v>
          </cell>
          <cell r="M29">
            <v>22.183379065028518</v>
          </cell>
        </row>
        <row r="30">
          <cell r="J30">
            <v>42675</v>
          </cell>
          <cell r="K30">
            <v>25.164109673371399</v>
          </cell>
          <cell r="L30">
            <v>21.607856200235972</v>
          </cell>
          <cell r="M30">
            <v>23.634920679923162</v>
          </cell>
        </row>
        <row r="31">
          <cell r="J31">
            <v>42705</v>
          </cell>
          <cell r="K31">
            <v>28.258211271957393</v>
          </cell>
          <cell r="L31">
            <v>22.713748413878509</v>
          </cell>
          <cell r="M31">
            <v>25.874092242983473</v>
          </cell>
        </row>
        <row r="32">
          <cell r="J32">
            <v>42736</v>
          </cell>
          <cell r="K32">
            <v>26.610427810878129</v>
          </cell>
          <cell r="L32">
            <v>23.797296426295663</v>
          </cell>
          <cell r="M32">
            <v>25.400781315507665</v>
          </cell>
        </row>
        <row r="33">
          <cell r="J33">
            <v>42767</v>
          </cell>
          <cell r="K33">
            <v>25.909545443119729</v>
          </cell>
          <cell r="L33">
            <v>22.747854371096416</v>
          </cell>
          <cell r="M33">
            <v>24.550018282149704</v>
          </cell>
        </row>
        <row r="34">
          <cell r="J34">
            <v>42795</v>
          </cell>
          <cell r="K34">
            <v>23.361212127504707</v>
          </cell>
          <cell r="L34">
            <v>21.215682896887287</v>
          </cell>
          <cell r="M34">
            <v>22.438634558339217</v>
          </cell>
        </row>
        <row r="35">
          <cell r="J35">
            <v>42826</v>
          </cell>
          <cell r="K35">
            <v>21.901474569356903</v>
          </cell>
          <cell r="L35">
            <v>15.885975890491896</v>
          </cell>
          <cell r="M35">
            <v>19.314810137444951</v>
          </cell>
        </row>
        <row r="36">
          <cell r="J36">
            <v>42856</v>
          </cell>
          <cell r="K36">
            <v>20.317396454533743</v>
          </cell>
          <cell r="L36">
            <v>11.858997179712611</v>
          </cell>
          <cell r="M36">
            <v>16.680284766360653</v>
          </cell>
        </row>
        <row r="37">
          <cell r="J37">
            <v>42887</v>
          </cell>
          <cell r="K37">
            <v>19.567108149355487</v>
          </cell>
          <cell r="L37">
            <v>11.220612353632701</v>
          </cell>
          <cell r="M37">
            <v>15.978114957194688</v>
          </cell>
        </row>
        <row r="38">
          <cell r="J38">
            <v>42917</v>
          </cell>
          <cell r="K38">
            <v>25.948742376905493</v>
          </cell>
          <cell r="L38">
            <v>17.806195909471736</v>
          </cell>
          <cell r="M38">
            <v>22.447447395908974</v>
          </cell>
        </row>
        <row r="39">
          <cell r="J39">
            <v>42948</v>
          </cell>
          <cell r="K39">
            <v>30.533541998786063</v>
          </cell>
          <cell r="L39">
            <v>22.35372369365761</v>
          </cell>
          <cell r="M39">
            <v>27.01622012758083</v>
          </cell>
        </row>
        <row r="40">
          <cell r="J40">
            <v>42979</v>
          </cell>
          <cell r="K40">
            <v>28.60406750542068</v>
          </cell>
          <cell r="L40">
            <v>24.625492661231061</v>
          </cell>
          <cell r="M40">
            <v>26.893280322419145</v>
          </cell>
        </row>
        <row r="41">
          <cell r="J41">
            <v>43009</v>
          </cell>
          <cell r="K41">
            <v>25.989913440328895</v>
          </cell>
          <cell r="L41">
            <v>23.628670382113711</v>
          </cell>
          <cell r="M41">
            <v>24.974578925296363</v>
          </cell>
        </row>
        <row r="42">
          <cell r="J42">
            <v>43040</v>
          </cell>
          <cell r="K42">
            <v>28.113163745580781</v>
          </cell>
          <cell r="L42">
            <v>24.546063644682789</v>
          </cell>
          <cell r="M42">
            <v>26.579310702194643</v>
          </cell>
        </row>
        <row r="43">
          <cell r="J43">
            <v>43070</v>
          </cell>
          <cell r="K43">
            <v>31.139757935734512</v>
          </cell>
          <cell r="L43">
            <v>25.554573205839706</v>
          </cell>
          <cell r="M43">
            <v>28.738128501879743</v>
          </cell>
        </row>
        <row r="44">
          <cell r="J44">
            <v>43101</v>
          </cell>
          <cell r="K44">
            <v>28.630777287719543</v>
          </cell>
          <cell r="L44">
            <v>25.311396386863883</v>
          </cell>
          <cell r="M44">
            <v>27.203443500351611</v>
          </cell>
        </row>
        <row r="45">
          <cell r="J45">
            <v>43132</v>
          </cell>
          <cell r="K45">
            <v>28.147454865511023</v>
          </cell>
          <cell r="L45">
            <v>24.544171124776078</v>
          </cell>
          <cell r="M45">
            <v>26.598042856994997</v>
          </cell>
        </row>
        <row r="46">
          <cell r="J46">
            <v>43160</v>
          </cell>
          <cell r="K46">
            <v>25.928937124008492</v>
          </cell>
          <cell r="L46">
            <v>23.163109089975052</v>
          </cell>
          <cell r="M46">
            <v>24.739631069374113</v>
          </cell>
        </row>
        <row r="47">
          <cell r="J47">
            <v>43191</v>
          </cell>
          <cell r="K47">
            <v>23.926099349564026</v>
          </cell>
          <cell r="L47">
            <v>17.808535582575868</v>
          </cell>
          <cell r="M47">
            <v>21.295546929759116</v>
          </cell>
          <cell r="U47">
            <v>0.84603740708183717</v>
          </cell>
          <cell r="V47">
            <v>0.15396259291816258</v>
          </cell>
        </row>
        <row r="48">
          <cell r="J48">
            <v>43221</v>
          </cell>
          <cell r="K48">
            <v>21.869745354539877</v>
          </cell>
          <cell r="L48">
            <v>14.506227195892377</v>
          </cell>
          <cell r="M48">
            <v>18.703432546321451</v>
          </cell>
        </row>
        <row r="49">
          <cell r="J49">
            <v>43252</v>
          </cell>
          <cell r="K49">
            <v>21.290968532515009</v>
          </cell>
          <cell r="L49">
            <v>13.740978319677208</v>
          </cell>
          <cell r="M49">
            <v>18.044472740994753</v>
          </cell>
        </row>
        <row r="50">
          <cell r="J50">
            <v>43282</v>
          </cell>
          <cell r="K50">
            <v>27.951055392666483</v>
          </cell>
          <cell r="L50">
            <v>19.022420599461491</v>
          </cell>
          <cell r="M50">
            <v>24.111742431588333</v>
          </cell>
        </row>
        <row r="51">
          <cell r="J51">
            <v>43313</v>
          </cell>
          <cell r="K51">
            <v>32.966684945847746</v>
          </cell>
          <cell r="L51">
            <v>22.908998099040591</v>
          </cell>
          <cell r="M51">
            <v>28.641879601720667</v>
          </cell>
        </row>
        <row r="52">
          <cell r="J52">
            <v>43344</v>
          </cell>
          <cell r="K52">
            <v>31.760542160779163</v>
          </cell>
          <cell r="L52">
            <v>27.527968507046641</v>
          </cell>
          <cell r="M52">
            <v>29.940535489674176</v>
          </cell>
        </row>
        <row r="53">
          <cell r="J53">
            <v>43374</v>
          </cell>
          <cell r="K53">
            <v>29.468658276207591</v>
          </cell>
          <cell r="L53">
            <v>26.133247323853649</v>
          </cell>
          <cell r="M53">
            <v>28.034431566695392</v>
          </cell>
        </row>
        <row r="54">
          <cell r="J54">
            <v>43405</v>
          </cell>
          <cell r="K54">
            <v>30.088737614669448</v>
          </cell>
          <cell r="L54">
            <v>26.33275976271338</v>
          </cell>
          <cell r="M54">
            <v>28.473667138328338</v>
          </cell>
        </row>
        <row r="55">
          <cell r="J55">
            <v>43435</v>
          </cell>
          <cell r="K55">
            <v>32.941209887940651</v>
          </cell>
          <cell r="L55">
            <v>27.872458924115442</v>
          </cell>
          <cell r="M55">
            <v>30.761646973495807</v>
          </cell>
        </row>
        <row r="56">
          <cell r="J56">
            <v>43466</v>
          </cell>
          <cell r="K56">
            <v>31.712489275242294</v>
          </cell>
          <cell r="L56">
            <v>26.936354878696161</v>
          </cell>
          <cell r="M56">
            <v>29.658751484727457</v>
          </cell>
        </row>
        <row r="57">
          <cell r="J57">
            <v>43497</v>
          </cell>
          <cell r="K57">
            <v>30.835402592959074</v>
          </cell>
          <cell r="L57">
            <v>26.812465517997179</v>
          </cell>
          <cell r="M57">
            <v>29.105539650725458</v>
          </cell>
        </row>
        <row r="58">
          <cell r="J58">
            <v>43525</v>
          </cell>
          <cell r="K58">
            <v>28.621915429574734</v>
          </cell>
          <cell r="L58">
            <v>25.577164974680983</v>
          </cell>
          <cell r="M58">
            <v>27.312672733970423</v>
          </cell>
        </row>
        <row r="59">
          <cell r="J59">
            <v>43556</v>
          </cell>
          <cell r="K59">
            <v>26.443074228179981</v>
          </cell>
          <cell r="L59">
            <v>19.292340728291087</v>
          </cell>
          <cell r="M59">
            <v>23.368258823227755</v>
          </cell>
        </row>
        <row r="60">
          <cell r="J60">
            <v>43586</v>
          </cell>
          <cell r="K60">
            <v>24.299465802918718</v>
          </cell>
          <cell r="L60">
            <v>16.136886504276422</v>
          </cell>
          <cell r="M60">
            <v>20.78955670450253</v>
          </cell>
        </row>
        <row r="61">
          <cell r="J61">
            <v>43617</v>
          </cell>
          <cell r="K61">
            <v>23.568072974269327</v>
          </cell>
          <cell r="L61">
            <v>15.659599382441499</v>
          </cell>
          <cell r="M61">
            <v>20.16742932978336</v>
          </cell>
        </row>
        <row r="62">
          <cell r="J62">
            <v>43647</v>
          </cell>
          <cell r="K62">
            <v>30.925149995339424</v>
          </cell>
          <cell r="L62">
            <v>19.937564650654554</v>
          </cell>
          <cell r="M62">
            <v>26.200488297124927</v>
          </cell>
        </row>
        <row r="63">
          <cell r="J63">
            <v>43678</v>
          </cell>
          <cell r="K63">
            <v>35.687791799189093</v>
          </cell>
          <cell r="L63">
            <v>23.767526389997087</v>
          </cell>
          <cell r="M63">
            <v>30.56207767323653</v>
          </cell>
        </row>
        <row r="64">
          <cell r="J64">
            <v>43709</v>
          </cell>
          <cell r="K64">
            <v>34.144843329282288</v>
          </cell>
          <cell r="L64">
            <v>27.917181599591359</v>
          </cell>
          <cell r="M64">
            <v>31.466948785515186</v>
          </cell>
        </row>
        <row r="65">
          <cell r="J65">
            <v>43739</v>
          </cell>
          <cell r="K65">
            <v>31.67789688175851</v>
          </cell>
          <cell r="L65">
            <v>27.132996379069681</v>
          </cell>
          <cell r="M65">
            <v>29.723589665602312</v>
          </cell>
        </row>
        <row r="66">
          <cell r="J66">
            <v>43770</v>
          </cell>
          <cell r="K66">
            <v>32.046545081261456</v>
          </cell>
          <cell r="L66">
            <v>27.40725949635403</v>
          </cell>
          <cell r="M66">
            <v>30.051652279751259</v>
          </cell>
        </row>
        <row r="67">
          <cell r="J67">
            <v>43800</v>
          </cell>
          <cell r="K67">
            <v>34.720098114991757</v>
          </cell>
          <cell r="L67">
            <v>28.352324326223467</v>
          </cell>
          <cell r="M67">
            <v>31.98195538582139</v>
          </cell>
        </row>
        <row r="68">
          <cell r="J68">
            <v>43831</v>
          </cell>
          <cell r="K68">
            <v>33.680304825844352</v>
          </cell>
          <cell r="L68">
            <v>28.662613580203033</v>
          </cell>
          <cell r="M68">
            <v>31.522697590218584</v>
          </cell>
        </row>
        <row r="69">
          <cell r="J69">
            <v>43862</v>
          </cell>
          <cell r="K69">
            <v>32.626697410422061</v>
          </cell>
          <cell r="L69">
            <v>28.634476412077113</v>
          </cell>
          <cell r="M69">
            <v>30.910042381133728</v>
          </cell>
        </row>
        <row r="70">
          <cell r="J70">
            <v>43891</v>
          </cell>
          <cell r="K70">
            <v>30.1830872836004</v>
          </cell>
          <cell r="L70">
            <v>27.179074268941818</v>
          </cell>
          <cell r="M70">
            <v>28.891361687297209</v>
          </cell>
        </row>
        <row r="71">
          <cell r="J71">
            <v>43922</v>
          </cell>
          <cell r="K71">
            <v>28.227572776912108</v>
          </cell>
          <cell r="L71">
            <v>20.355298064007044</v>
          </cell>
          <cell r="M71">
            <v>24.84249465036293</v>
          </cell>
        </row>
        <row r="72">
          <cell r="J72">
            <v>43952</v>
          </cell>
          <cell r="K72">
            <v>26.219011682208333</v>
          </cell>
          <cell r="L72">
            <v>16.92278350651835</v>
          </cell>
          <cell r="M72">
            <v>22.221633566661637</v>
          </cell>
        </row>
        <row r="73">
          <cell r="J73">
            <v>43983</v>
          </cell>
          <cell r="K73">
            <v>25.352232329581003</v>
          </cell>
          <cell r="L73">
            <v>16.319116204521151</v>
          </cell>
          <cell r="M73">
            <v>21.467992395805265</v>
          </cell>
        </row>
        <row r="74">
          <cell r="J74">
            <v>44013</v>
          </cell>
          <cell r="K74">
            <v>32.682881930752835</v>
          </cell>
          <cell r="L74">
            <v>22.026076777313772</v>
          </cell>
          <cell r="M74">
            <v>28.100455714774036</v>
          </cell>
        </row>
        <row r="75">
          <cell r="J75">
            <v>44044</v>
          </cell>
          <cell r="K75">
            <v>37.49153538475948</v>
          </cell>
          <cell r="L75">
            <v>25.653514055433138</v>
          </cell>
          <cell r="M75">
            <v>32.401186213149153</v>
          </cell>
        </row>
        <row r="76">
          <cell r="J76">
            <v>44075</v>
          </cell>
          <cell r="K76">
            <v>35.780428169965511</v>
          </cell>
          <cell r="L76">
            <v>29.905186853097064</v>
          </cell>
          <cell r="M76">
            <v>33.254074403712075</v>
          </cell>
        </row>
        <row r="77">
          <cell r="J77">
            <v>44105</v>
          </cell>
          <cell r="K77">
            <v>33.248582910570228</v>
          </cell>
          <cell r="L77">
            <v>29.146776520440923</v>
          </cell>
          <cell r="M77">
            <v>31.484806162814621</v>
          </cell>
        </row>
        <row r="78">
          <cell r="J78">
            <v>44136</v>
          </cell>
          <cell r="K78">
            <v>33.389774009721847</v>
          </cell>
          <cell r="L78">
            <v>29.373481254676303</v>
          </cell>
          <cell r="M78">
            <v>31.66276812505226</v>
          </cell>
        </row>
        <row r="79">
          <cell r="J79">
            <v>44166</v>
          </cell>
          <cell r="K79">
            <v>36.306635332501514</v>
          </cell>
          <cell r="L79">
            <v>30.354003815839409</v>
          </cell>
          <cell r="M79">
            <v>33.747003780336811</v>
          </cell>
        </row>
        <row r="80">
          <cell r="J80">
            <v>44197</v>
          </cell>
          <cell r="K80">
            <v>35.538718570509147</v>
          </cell>
          <cell r="L80">
            <v>30.098243272510238</v>
          </cell>
          <cell r="M80">
            <v>33.199314192369613</v>
          </cell>
        </row>
        <row r="81">
          <cell r="J81">
            <v>44228</v>
          </cell>
          <cell r="K81">
            <v>34.441695203358556</v>
          </cell>
          <cell r="L81">
            <v>29.266855297094285</v>
          </cell>
          <cell r="M81">
            <v>32.216514043664915</v>
          </cell>
        </row>
        <row r="82">
          <cell r="J82">
            <v>44256</v>
          </cell>
          <cell r="K82">
            <v>32.174954296098456</v>
          </cell>
          <cell r="L82">
            <v>27.807837773181667</v>
          </cell>
          <cell r="M82">
            <v>30.297094191244234</v>
          </cell>
        </row>
        <row r="83">
          <cell r="J83">
            <v>44287</v>
          </cell>
          <cell r="K83">
            <v>29.973960033500305</v>
          </cell>
          <cell r="L83">
            <v>21.911895091694056</v>
          </cell>
          <cell r="M83">
            <v>26.507272108523615</v>
          </cell>
        </row>
        <row r="84">
          <cell r="J84">
            <v>44317</v>
          </cell>
          <cell r="K84">
            <v>27.525178333472443</v>
          </cell>
          <cell r="L84">
            <v>18.357493208260159</v>
          </cell>
          <cell r="M84">
            <v>23.58307372963116</v>
          </cell>
        </row>
        <row r="85">
          <cell r="J85">
            <v>44348</v>
          </cell>
          <cell r="K85">
            <v>27.148949163651803</v>
          </cell>
          <cell r="L85">
            <v>17.976941919717138</v>
          </cell>
          <cell r="M85">
            <v>23.204986048759896</v>
          </cell>
        </row>
        <row r="86">
          <cell r="J86">
            <v>44378</v>
          </cell>
          <cell r="K86">
            <v>34.103562032452118</v>
          </cell>
          <cell r="L86">
            <v>24.110537683068614</v>
          </cell>
          <cell r="M86">
            <v>29.806561562217212</v>
          </cell>
        </row>
        <row r="87">
          <cell r="J87">
            <v>44409</v>
          </cell>
          <cell r="K87">
            <v>38.986344837767028</v>
          </cell>
          <cell r="L87">
            <v>26.922711793453164</v>
          </cell>
          <cell r="M87">
            <v>33.798982628712068</v>
          </cell>
        </row>
        <row r="88">
          <cell r="J88">
            <v>44440</v>
          </cell>
          <cell r="K88">
            <v>37.434497047942614</v>
          </cell>
          <cell r="L88">
            <v>31.399048309734081</v>
          </cell>
          <cell r="M88">
            <v>34.839254090512938</v>
          </cell>
        </row>
        <row r="89">
          <cell r="J89">
            <v>44470</v>
          </cell>
          <cell r="K89">
            <v>35.647784095250337</v>
          </cell>
          <cell r="L89">
            <v>29.725523730625895</v>
          </cell>
          <cell r="M89">
            <v>33.101212138461825</v>
          </cell>
        </row>
        <row r="90">
          <cell r="J90">
            <v>44501</v>
          </cell>
          <cell r="K90">
            <v>36.403057562461079</v>
          </cell>
          <cell r="L90">
            <v>31.150655795282983</v>
          </cell>
          <cell r="M90">
            <v>34.144524802574495</v>
          </cell>
        </row>
        <row r="91">
          <cell r="J91">
            <v>44531</v>
          </cell>
          <cell r="K91">
            <v>38.736995802618729</v>
          </cell>
          <cell r="L91">
            <v>32.31878590676704</v>
          </cell>
          <cell r="M91">
            <v>35.9771655474025</v>
          </cell>
        </row>
        <row r="92">
          <cell r="J92">
            <v>44562</v>
          </cell>
          <cell r="K92">
            <v>36.642906570315489</v>
          </cell>
          <cell r="L92">
            <v>30.80779615640035</v>
          </cell>
          <cell r="M92">
            <v>34.133809092331973</v>
          </cell>
        </row>
        <row r="93">
          <cell r="J93">
            <v>44593</v>
          </cell>
          <cell r="K93">
            <v>37.789078190321604</v>
          </cell>
          <cell r="L93">
            <v>32.723480241446438</v>
          </cell>
          <cell r="M93">
            <v>35.610871072305279</v>
          </cell>
        </row>
        <row r="94">
          <cell r="J94">
            <v>44621</v>
          </cell>
          <cell r="K94">
            <v>34.413280873518538</v>
          </cell>
          <cell r="L94">
            <v>29.732066425870883</v>
          </cell>
          <cell r="M94">
            <v>32.40035866103004</v>
          </cell>
        </row>
        <row r="95">
          <cell r="J95">
            <v>44652</v>
          </cell>
          <cell r="K95">
            <v>32.281156421295059</v>
          </cell>
          <cell r="L95">
            <v>25.778563568510648</v>
          </cell>
          <cell r="M95">
            <v>29.485041494597759</v>
          </cell>
        </row>
        <row r="96">
          <cell r="J96">
            <v>44682</v>
          </cell>
          <cell r="K96">
            <v>28.087133212673201</v>
          </cell>
          <cell r="L96">
            <v>21.099312090687899</v>
          </cell>
          <cell r="M96">
            <v>25.082370130219516</v>
          </cell>
        </row>
        <row r="97">
          <cell r="J97">
            <v>44713</v>
          </cell>
          <cell r="K97">
            <v>31.400920122474496</v>
          </cell>
          <cell r="L97">
            <v>23.378934903575974</v>
          </cell>
          <cell r="M97">
            <v>27.951466478348131</v>
          </cell>
        </row>
        <row r="98">
          <cell r="J98">
            <v>44743</v>
          </cell>
          <cell r="K98">
            <v>36.810354687735604</v>
          </cell>
          <cell r="L98">
            <v>28.071772035855652</v>
          </cell>
          <cell r="M98">
            <v>33.052764147427226</v>
          </cell>
        </row>
        <row r="99">
          <cell r="J99">
            <v>44774</v>
          </cell>
          <cell r="K99">
            <v>41.017683573369155</v>
          </cell>
          <cell r="L99">
            <v>29.08573020960409</v>
          </cell>
          <cell r="M99">
            <v>35.88694362695017</v>
          </cell>
        </row>
        <row r="100">
          <cell r="J100">
            <v>44805</v>
          </cell>
          <cell r="K100">
            <v>40.564012509539012</v>
          </cell>
          <cell r="L100">
            <v>33.300715795969332</v>
          </cell>
          <cell r="M100">
            <v>37.440794922704043</v>
          </cell>
        </row>
        <row r="101">
          <cell r="J101">
            <v>44835</v>
          </cell>
          <cell r="K101">
            <v>37.165669764638032</v>
          </cell>
          <cell r="L101">
            <v>30.66791463373421</v>
          </cell>
          <cell r="M101">
            <v>34.371635058349383</v>
          </cell>
        </row>
        <row r="102">
          <cell r="J102">
            <v>44866</v>
          </cell>
          <cell r="K102">
            <v>39.178441632257979</v>
          </cell>
          <cell r="L102">
            <v>32.890363279523093</v>
          </cell>
          <cell r="M102">
            <v>36.474567940581977</v>
          </cell>
        </row>
        <row r="103">
          <cell r="J103">
            <v>44896</v>
          </cell>
          <cell r="K103">
            <v>40.751413667041909</v>
          </cell>
          <cell r="L103">
            <v>33.857530686768882</v>
          </cell>
          <cell r="M103">
            <v>37.787043985524505</v>
          </cell>
        </row>
        <row r="104">
          <cell r="J104">
            <v>44927</v>
          </cell>
          <cell r="K104">
            <v>38.843501451160016</v>
          </cell>
          <cell r="L104">
            <v>32.087272152164815</v>
          </cell>
          <cell r="M104">
            <v>35.93832285259208</v>
          </cell>
        </row>
        <row r="105">
          <cell r="J105">
            <v>44958</v>
          </cell>
          <cell r="K105">
            <v>41.156463107277766</v>
          </cell>
          <cell r="L105">
            <v>34.370859266865054</v>
          </cell>
          <cell r="M105">
            <v>38.238653455900298</v>
          </cell>
        </row>
        <row r="106">
          <cell r="J106">
            <v>44986</v>
          </cell>
          <cell r="K106">
            <v>36.732416869008915</v>
          </cell>
          <cell r="L106">
            <v>30.979502500219109</v>
          </cell>
          <cell r="M106">
            <v>34.258663690429294</v>
          </cell>
        </row>
        <row r="107">
          <cell r="J107">
            <v>45017</v>
          </cell>
          <cell r="K107">
            <v>34.416551281509193</v>
          </cell>
          <cell r="L107">
            <v>29.927829116374568</v>
          </cell>
          <cell r="M107">
            <v>32.486400750501303</v>
          </cell>
        </row>
        <row r="108">
          <cell r="J108">
            <v>45047</v>
          </cell>
          <cell r="K108">
            <v>29.128795378427412</v>
          </cell>
          <cell r="L108">
            <v>23.736550097014991</v>
          </cell>
          <cell r="M108">
            <v>26.81012990742007</v>
          </cell>
        </row>
        <row r="109">
          <cell r="J109">
            <v>45078</v>
          </cell>
          <cell r="K109">
            <v>35.715943045208022</v>
          </cell>
          <cell r="L109">
            <v>27.719390633160792</v>
          </cell>
          <cell r="M109">
            <v>32.277425508027711</v>
          </cell>
        </row>
        <row r="110">
          <cell r="J110">
            <v>45108</v>
          </cell>
          <cell r="K110">
            <v>39.236040117156229</v>
          </cell>
          <cell r="L110">
            <v>32.231272345796256</v>
          </cell>
          <cell r="M110">
            <v>36.22398997547144</v>
          </cell>
        </row>
        <row r="111">
          <cell r="J111">
            <v>45139</v>
          </cell>
          <cell r="K111">
            <v>43.006934596979001</v>
          </cell>
          <cell r="L111">
            <v>31.495990979044613</v>
          </cell>
          <cell r="M111">
            <v>38.057228841267211</v>
          </cell>
        </row>
        <row r="112">
          <cell r="J112">
            <v>45170</v>
          </cell>
          <cell r="K112">
            <v>43.715377693574894</v>
          </cell>
          <cell r="L112">
            <v>35.558959443075601</v>
          </cell>
          <cell r="M112">
            <v>40.208117845860194</v>
          </cell>
        </row>
        <row r="113">
          <cell r="J113">
            <v>45200</v>
          </cell>
          <cell r="K113">
            <v>38.642350558557489</v>
          </cell>
          <cell r="L113">
            <v>33.017904923299113</v>
          </cell>
          <cell r="M113">
            <v>36.223838935396387</v>
          </cell>
        </row>
        <row r="114">
          <cell r="J114">
            <v>45231</v>
          </cell>
          <cell r="K114">
            <v>41.519414993400837</v>
          </cell>
          <cell r="L114">
            <v>34.515504521730442</v>
          </cell>
          <cell r="M114">
            <v>38.507733490582567</v>
          </cell>
        </row>
        <row r="115">
          <cell r="J115">
            <v>45261</v>
          </cell>
          <cell r="K115">
            <v>42.637692545421054</v>
          </cell>
          <cell r="L115">
            <v>35.103204867404365</v>
          </cell>
          <cell r="M115">
            <v>39.397862843873881</v>
          </cell>
        </row>
        <row r="116">
          <cell r="J116">
            <v>45292</v>
          </cell>
          <cell r="K116">
            <v>41.487269100000006</v>
          </cell>
          <cell r="L116">
            <v>35.154567799999995</v>
          </cell>
          <cell r="M116">
            <v>38.764207540999998</v>
          </cell>
        </row>
        <row r="117">
          <cell r="J117">
            <v>45323</v>
          </cell>
          <cell r="K117">
            <v>43.029638499999997</v>
          </cell>
          <cell r="L117">
            <v>36.714207399999999</v>
          </cell>
          <cell r="M117">
            <v>40.314003126999999</v>
          </cell>
        </row>
        <row r="118">
          <cell r="J118">
            <v>45352</v>
          </cell>
          <cell r="K118">
            <v>38.720404199999997</v>
          </cell>
          <cell r="L118">
            <v>34.101708500000001</v>
          </cell>
          <cell r="M118">
            <v>36.734365048999997</v>
          </cell>
        </row>
        <row r="119">
          <cell r="J119">
            <v>45383</v>
          </cell>
          <cell r="K119">
            <v>36.958962700000001</v>
          </cell>
          <cell r="L119">
            <v>33.048196799999999</v>
          </cell>
          <cell r="M119">
            <v>35.277333362999997</v>
          </cell>
        </row>
        <row r="120">
          <cell r="J120">
            <v>45413</v>
          </cell>
          <cell r="K120">
            <v>29.738377499999999</v>
          </cell>
          <cell r="L120">
            <v>25.972135999999999</v>
          </cell>
          <cell r="M120">
            <v>28.118893654999994</v>
          </cell>
        </row>
        <row r="121">
          <cell r="J121">
            <v>45444</v>
          </cell>
          <cell r="K121">
            <v>35.975518199999996</v>
          </cell>
          <cell r="L121">
            <v>29.846802000000004</v>
          </cell>
          <cell r="M121">
            <v>33.340170233999999</v>
          </cell>
        </row>
        <row r="122">
          <cell r="J122">
            <v>45474</v>
          </cell>
          <cell r="K122">
            <v>41.237815200000007</v>
          </cell>
          <cell r="L122">
            <v>32.739345</v>
          </cell>
          <cell r="M122">
            <v>37.583473013999999</v>
          </cell>
        </row>
        <row r="123">
          <cell r="J123">
            <v>45505</v>
          </cell>
          <cell r="K123">
            <v>45.936894000000002</v>
          </cell>
          <cell r="L123">
            <v>35.334221100000008</v>
          </cell>
          <cell r="M123">
            <v>41.377744653000008</v>
          </cell>
        </row>
        <row r="124">
          <cell r="J124">
            <v>45536</v>
          </cell>
          <cell r="K124">
            <v>47.369253999999998</v>
          </cell>
          <cell r="L124">
            <v>37.765206400000004</v>
          </cell>
          <cell r="M124">
            <v>43.239513532000004</v>
          </cell>
        </row>
        <row r="125">
          <cell r="J125">
            <v>45566</v>
          </cell>
          <cell r="K125">
            <v>41.234943000000001</v>
          </cell>
          <cell r="L125">
            <v>35.24537740000001</v>
          </cell>
          <cell r="M125">
            <v>38.659429791999997</v>
          </cell>
        </row>
        <row r="126">
          <cell r="J126">
            <v>45597</v>
          </cell>
          <cell r="K126">
            <v>44.069286000000005</v>
          </cell>
          <cell r="L126">
            <v>36.526226900000005</v>
          </cell>
          <cell r="M126">
            <v>40.825770587000001</v>
          </cell>
        </row>
        <row r="127">
          <cell r="J127">
            <v>45627</v>
          </cell>
          <cell r="K127">
            <v>45.411766400000005</v>
          </cell>
          <cell r="L127">
            <v>38.222541800000002</v>
          </cell>
          <cell r="M127">
            <v>42.320399821999999</v>
          </cell>
        </row>
        <row r="128">
          <cell r="J128">
            <v>45658</v>
          </cell>
          <cell r="K128">
            <v>43.957384599999997</v>
          </cell>
          <cell r="L128">
            <v>37.208582100000001</v>
          </cell>
          <cell r="M128">
            <v>41.055399524999999</v>
          </cell>
        </row>
        <row r="129">
          <cell r="J129">
            <v>45689</v>
          </cell>
          <cell r="K129">
            <v>46.293465099999999</v>
          </cell>
          <cell r="L129">
            <v>39.351360200000002</v>
          </cell>
          <cell r="M129">
            <v>43.308359992999996</v>
          </cell>
        </row>
        <row r="130">
          <cell r="J130">
            <v>45717</v>
          </cell>
          <cell r="K130">
            <v>41.290517100000002</v>
          </cell>
          <cell r="L130">
            <v>36.165576300000005</v>
          </cell>
          <cell r="M130">
            <v>39.086792556000006</v>
          </cell>
        </row>
        <row r="131">
          <cell r="J131">
            <v>45748</v>
          </cell>
          <cell r="K131">
            <v>39.274839699999994</v>
          </cell>
          <cell r="L131">
            <v>34.974193999999997</v>
          </cell>
          <cell r="M131">
            <v>37.425562048999993</v>
          </cell>
        </row>
        <row r="132">
          <cell r="J132">
            <v>45778</v>
          </cell>
          <cell r="K132">
            <v>31.515341400000001</v>
          </cell>
          <cell r="L132">
            <v>27.459721400000006</v>
          </cell>
          <cell r="M132">
            <v>29.771424799999998</v>
          </cell>
        </row>
        <row r="133">
          <cell r="J133">
            <v>45809</v>
          </cell>
          <cell r="K133">
            <v>38.891174999999997</v>
          </cell>
          <cell r="L133">
            <v>31.539093700000002</v>
          </cell>
          <cell r="M133">
            <v>35.729780040999998</v>
          </cell>
        </row>
        <row r="134">
          <cell r="J134">
            <v>45839</v>
          </cell>
          <cell r="K134">
            <v>43.936765799999996</v>
          </cell>
          <cell r="L134">
            <v>35.139003700000004</v>
          </cell>
          <cell r="M134">
            <v>40.153728096999998</v>
          </cell>
        </row>
        <row r="135">
          <cell r="J135">
            <v>45870</v>
          </cell>
          <cell r="K135">
            <v>49.365698000000009</v>
          </cell>
          <cell r="L135">
            <v>38.682619600000002</v>
          </cell>
          <cell r="M135">
            <v>44.771974288000003</v>
          </cell>
        </row>
        <row r="136">
          <cell r="J136">
            <v>45901</v>
          </cell>
          <cell r="K136">
            <v>50.630898899999998</v>
          </cell>
          <cell r="L136">
            <v>40.352653500000002</v>
          </cell>
          <cell r="M136">
            <v>46.211253377999995</v>
          </cell>
        </row>
        <row r="137">
          <cell r="J137">
            <v>45931</v>
          </cell>
          <cell r="K137">
            <v>43.418008100000002</v>
          </cell>
          <cell r="L137">
            <v>37.470909599999999</v>
          </cell>
          <cell r="M137">
            <v>40.860755744999999</v>
          </cell>
        </row>
        <row r="138">
          <cell r="J138">
            <v>45962</v>
          </cell>
          <cell r="K138">
            <v>45.1162414</v>
          </cell>
          <cell r="L138">
            <v>37.974275599999999</v>
          </cell>
          <cell r="M138">
            <v>42.045196105999999</v>
          </cell>
        </row>
        <row r="139">
          <cell r="J139">
            <v>45992</v>
          </cell>
          <cell r="K139">
            <v>47.259897600000002</v>
          </cell>
          <cell r="L139">
            <v>39.545180800000004</v>
          </cell>
          <cell r="M139">
            <v>43.942569376000002</v>
          </cell>
        </row>
        <row r="140">
          <cell r="J140">
            <v>46023</v>
          </cell>
          <cell r="K140">
            <v>45.733458299999995</v>
          </cell>
          <cell r="L140">
            <v>38.534884699999999</v>
          </cell>
          <cell r="M140">
            <v>42.638071651999994</v>
          </cell>
        </row>
        <row r="141">
          <cell r="J141">
            <v>46054</v>
          </cell>
          <cell r="K141">
            <v>48.238484800000002</v>
          </cell>
          <cell r="L141">
            <v>40.829286000000003</v>
          </cell>
          <cell r="M141">
            <v>45.052529316000005</v>
          </cell>
        </row>
        <row r="142">
          <cell r="J142">
            <v>46082</v>
          </cell>
          <cell r="K142">
            <v>42.420858500000001</v>
          </cell>
          <cell r="L142">
            <v>37.228261600000003</v>
          </cell>
          <cell r="M142">
            <v>40.188041833</v>
          </cell>
        </row>
        <row r="143">
          <cell r="J143">
            <v>46113</v>
          </cell>
          <cell r="K143">
            <v>40.291051899999999</v>
          </cell>
          <cell r="L143">
            <v>35.793675300000004</v>
          </cell>
          <cell r="M143">
            <v>38.357179962000004</v>
          </cell>
        </row>
        <row r="144">
          <cell r="J144">
            <v>46143</v>
          </cell>
          <cell r="K144">
            <v>32.983024499999999</v>
          </cell>
          <cell r="L144">
            <v>30.604773000000002</v>
          </cell>
          <cell r="M144">
            <v>31.960376354999998</v>
          </cell>
        </row>
        <row r="145">
          <cell r="J145">
            <v>46174</v>
          </cell>
          <cell r="K145">
            <v>39.840611700000004</v>
          </cell>
          <cell r="L145">
            <v>31.895895400000004</v>
          </cell>
          <cell r="M145">
            <v>36.424383691000003</v>
          </cell>
        </row>
        <row r="146">
          <cell r="J146">
            <v>46204</v>
          </cell>
          <cell r="K146">
            <v>45.275484499999997</v>
          </cell>
          <cell r="L146">
            <v>36.562843599999994</v>
          </cell>
          <cell r="M146">
            <v>41.529048912999997</v>
          </cell>
        </row>
        <row r="147">
          <cell r="J147">
            <v>46235</v>
          </cell>
          <cell r="K147">
            <v>50.605581999999998</v>
          </cell>
          <cell r="L147">
            <v>39.651285000000001</v>
          </cell>
          <cell r="M147">
            <v>45.895234289999998</v>
          </cell>
        </row>
        <row r="148">
          <cell r="J148">
            <v>46266</v>
          </cell>
          <cell r="K148">
            <v>51.933137000000002</v>
          </cell>
          <cell r="L148">
            <v>41.286541100000001</v>
          </cell>
          <cell r="M148">
            <v>47.355100762999996</v>
          </cell>
        </row>
        <row r="149">
          <cell r="J149">
            <v>46296</v>
          </cell>
          <cell r="K149">
            <v>44.782392199999997</v>
          </cell>
          <cell r="L149">
            <v>38.274518800000003</v>
          </cell>
          <cell r="M149">
            <v>41.984006637999997</v>
          </cell>
        </row>
        <row r="150">
          <cell r="J150">
            <v>46327</v>
          </cell>
          <cell r="K150">
            <v>47.6637147</v>
          </cell>
          <cell r="L150">
            <v>39.7684827</v>
          </cell>
          <cell r="M150">
            <v>44.268764939999997</v>
          </cell>
        </row>
        <row r="151">
          <cell r="J151">
            <v>46357</v>
          </cell>
          <cell r="K151">
            <v>49.076920999999999</v>
          </cell>
          <cell r="L151">
            <v>40.995555500000009</v>
          </cell>
          <cell r="M151">
            <v>45.601933834999997</v>
          </cell>
        </row>
        <row r="152">
          <cell r="J152">
            <v>46388</v>
          </cell>
          <cell r="K152">
            <v>47.100335100000002</v>
          </cell>
          <cell r="L152">
            <v>40.214018700000004</v>
          </cell>
          <cell r="M152">
            <v>44.139219048000001</v>
          </cell>
        </row>
        <row r="153">
          <cell r="J153">
            <v>46419</v>
          </cell>
          <cell r="K153">
            <v>49.329792699999999</v>
          </cell>
          <cell r="L153">
            <v>41.793924099999998</v>
          </cell>
          <cell r="M153">
            <v>46.089369201999993</v>
          </cell>
        </row>
        <row r="154">
          <cell r="J154">
            <v>46447</v>
          </cell>
          <cell r="K154">
            <v>44.452130199999999</v>
          </cell>
          <cell r="L154">
            <v>38.501808100000005</v>
          </cell>
          <cell r="M154">
            <v>41.893491697000002</v>
          </cell>
        </row>
        <row r="155">
          <cell r="J155">
            <v>46478</v>
          </cell>
          <cell r="K155">
            <v>41.314754000000008</v>
          </cell>
          <cell r="L155">
            <v>36.900202900000004</v>
          </cell>
          <cell r="M155">
            <v>39.416497027000005</v>
          </cell>
        </row>
        <row r="156">
          <cell r="J156">
            <v>46508</v>
          </cell>
          <cell r="K156">
            <v>33.7668605</v>
          </cell>
          <cell r="L156">
            <v>31.383099700000002</v>
          </cell>
          <cell r="M156">
            <v>32.741843355999997</v>
          </cell>
        </row>
        <row r="157">
          <cell r="J157">
            <v>46539</v>
          </cell>
          <cell r="K157">
            <v>41.960735</v>
          </cell>
          <cell r="L157">
            <v>33.5107128</v>
          </cell>
          <cell r="M157">
            <v>38.327225454000001</v>
          </cell>
        </row>
        <row r="158">
          <cell r="J158">
            <v>46569</v>
          </cell>
          <cell r="K158">
            <v>47.055763800000001</v>
          </cell>
          <cell r="L158">
            <v>37.995721000000003</v>
          </cell>
          <cell r="M158">
            <v>43.159945395999998</v>
          </cell>
        </row>
        <row r="159">
          <cell r="J159">
            <v>46600</v>
          </cell>
          <cell r="K159">
            <v>52.807780000000008</v>
          </cell>
          <cell r="L159">
            <v>41.227066200000003</v>
          </cell>
          <cell r="M159">
            <v>47.828073066000002</v>
          </cell>
        </row>
        <row r="160">
          <cell r="J160">
            <v>46631</v>
          </cell>
          <cell r="K160">
            <v>54.180534899999998</v>
          </cell>
          <cell r="L160">
            <v>43.433305700000005</v>
          </cell>
          <cell r="M160">
            <v>49.559226343999995</v>
          </cell>
        </row>
        <row r="161">
          <cell r="J161">
            <v>46661</v>
          </cell>
          <cell r="K161">
            <v>48.207409600000005</v>
          </cell>
          <cell r="L161">
            <v>41.3009348</v>
          </cell>
          <cell r="M161">
            <v>45.237625436000002</v>
          </cell>
        </row>
        <row r="162">
          <cell r="J162">
            <v>46692</v>
          </cell>
          <cell r="K162">
            <v>51.874747800000002</v>
          </cell>
          <cell r="L162">
            <v>42.938152500000001</v>
          </cell>
          <cell r="M162">
            <v>48.032011820999998</v>
          </cell>
        </row>
        <row r="163">
          <cell r="J163">
            <v>46722</v>
          </cell>
          <cell r="K163">
            <v>52.146987000000003</v>
          </cell>
          <cell r="L163">
            <v>43.475775999999996</v>
          </cell>
          <cell r="M163">
            <v>48.418366269999993</v>
          </cell>
        </row>
        <row r="164">
          <cell r="J164">
            <v>46753</v>
          </cell>
          <cell r="K164">
            <v>49.686568399999999</v>
          </cell>
          <cell r="L164">
            <v>42.936942600000002</v>
          </cell>
          <cell r="M164">
            <v>46.784229306</v>
          </cell>
        </row>
        <row r="165">
          <cell r="J165">
            <v>46784</v>
          </cell>
          <cell r="K165">
            <v>52.209170299999997</v>
          </cell>
          <cell r="L165">
            <v>44.736397100000005</v>
          </cell>
          <cell r="M165">
            <v>48.995877823999997</v>
          </cell>
        </row>
        <row r="166">
          <cell r="J166">
            <v>46813</v>
          </cell>
          <cell r="K166">
            <v>46.7954206</v>
          </cell>
          <cell r="L166">
            <v>40.934911600000007</v>
          </cell>
          <cell r="M166">
            <v>44.275401729999999</v>
          </cell>
        </row>
        <row r="167">
          <cell r="J167">
            <v>46844</v>
          </cell>
          <cell r="K167">
            <v>43.869229799999999</v>
          </cell>
          <cell r="L167">
            <v>39.497403599999998</v>
          </cell>
          <cell r="M167">
            <v>41.989344533999997</v>
          </cell>
        </row>
        <row r="168">
          <cell r="J168">
            <v>46874</v>
          </cell>
          <cell r="K168">
            <v>36.995133699999997</v>
          </cell>
          <cell r="L168">
            <v>33.570160700000002</v>
          </cell>
          <cell r="M168">
            <v>35.52239531</v>
          </cell>
        </row>
        <row r="169">
          <cell r="J169">
            <v>46905</v>
          </cell>
          <cell r="K169">
            <v>45.315703899999995</v>
          </cell>
          <cell r="L169">
            <v>36.225361500000005</v>
          </cell>
          <cell r="M169">
            <v>41.406856667999996</v>
          </cell>
        </row>
        <row r="170">
          <cell r="J170">
            <v>46935</v>
          </cell>
          <cell r="K170">
            <v>50.056565599999999</v>
          </cell>
          <cell r="L170">
            <v>41.258343800000006</v>
          </cell>
          <cell r="M170">
            <v>46.273330225999999</v>
          </cell>
        </row>
        <row r="171">
          <cell r="J171">
            <v>46966</v>
          </cell>
          <cell r="K171">
            <v>55.534950999999992</v>
          </cell>
          <cell r="L171">
            <v>43.535669100000007</v>
          </cell>
          <cell r="M171">
            <v>50.375259782999997</v>
          </cell>
        </row>
        <row r="172">
          <cell r="J172">
            <v>46997</v>
          </cell>
          <cell r="K172">
            <v>56.395310500000001</v>
          </cell>
          <cell r="L172">
            <v>46.142777699999996</v>
          </cell>
          <cell r="M172">
            <v>51.986721395999993</v>
          </cell>
        </row>
        <row r="173">
          <cell r="J173">
            <v>47027</v>
          </cell>
          <cell r="K173">
            <v>50.706861799999999</v>
          </cell>
          <cell r="L173">
            <v>43.7123864</v>
          </cell>
          <cell r="M173">
            <v>47.699237377999992</v>
          </cell>
        </row>
        <row r="174">
          <cell r="J174">
            <v>47058</v>
          </cell>
          <cell r="K174">
            <v>53.140662399999997</v>
          </cell>
          <cell r="L174">
            <v>44.327889900000002</v>
          </cell>
          <cell r="M174">
            <v>49.351170224999997</v>
          </cell>
        </row>
        <row r="175">
          <cell r="J175">
            <v>47088</v>
          </cell>
          <cell r="K175">
            <v>53.983687799999998</v>
          </cell>
          <cell r="L175">
            <v>46.047636400000002</v>
          </cell>
          <cell r="M175">
            <v>50.571185697999994</v>
          </cell>
        </row>
        <row r="176">
          <cell r="J176">
            <v>47119</v>
          </cell>
          <cell r="K176">
            <v>51.938376400000003</v>
          </cell>
          <cell r="L176">
            <v>44.2995892</v>
          </cell>
          <cell r="M176">
            <v>48.653697903999998</v>
          </cell>
        </row>
        <row r="177">
          <cell r="J177">
            <v>47150</v>
          </cell>
          <cell r="K177">
            <v>55.065736099999995</v>
          </cell>
          <cell r="L177">
            <v>46.872014100000001</v>
          </cell>
          <cell r="M177">
            <v>51.542435639999994</v>
          </cell>
        </row>
        <row r="178">
          <cell r="J178">
            <v>47178</v>
          </cell>
          <cell r="K178">
            <v>48.856930599999998</v>
          </cell>
          <cell r="L178">
            <v>43.179939400000002</v>
          </cell>
          <cell r="M178">
            <v>46.415824383999997</v>
          </cell>
        </row>
        <row r="179">
          <cell r="J179">
            <v>47209</v>
          </cell>
          <cell r="K179">
            <v>46.855847300000008</v>
          </cell>
          <cell r="L179">
            <v>42.254471600000002</v>
          </cell>
          <cell r="M179">
            <v>44.877255749</v>
          </cell>
        </row>
        <row r="180">
          <cell r="J180">
            <v>47239</v>
          </cell>
          <cell r="K180">
            <v>39.566498000000003</v>
          </cell>
          <cell r="L180">
            <v>36.183833199999995</v>
          </cell>
          <cell r="M180">
            <v>38.111952135999999</v>
          </cell>
        </row>
        <row r="181">
          <cell r="J181">
            <v>47270</v>
          </cell>
          <cell r="K181">
            <v>44.747074400000002</v>
          </cell>
          <cell r="L181">
            <v>37.092243800000006</v>
          </cell>
          <cell r="M181">
            <v>41.455497242</v>
          </cell>
        </row>
        <row r="182">
          <cell r="J182">
            <v>47300</v>
          </cell>
          <cell r="K182">
            <v>50.818523700000007</v>
          </cell>
          <cell r="L182">
            <v>42.057327199999996</v>
          </cell>
          <cell r="M182">
            <v>47.051209204999999</v>
          </cell>
        </row>
        <row r="183">
          <cell r="J183">
            <v>47331</v>
          </cell>
          <cell r="K183">
            <v>57.280957999999998</v>
          </cell>
          <cell r="L183">
            <v>44.6713053</v>
          </cell>
          <cell r="M183">
            <v>51.858807338999995</v>
          </cell>
        </row>
        <row r="184">
          <cell r="J184">
            <v>47362</v>
          </cell>
          <cell r="K184">
            <v>57.686473800000002</v>
          </cell>
          <cell r="L184">
            <v>47.595587000000002</v>
          </cell>
          <cell r="M184">
            <v>53.347392475999996</v>
          </cell>
        </row>
        <row r="185">
          <cell r="J185">
            <v>47392</v>
          </cell>
          <cell r="K185">
            <v>50.278776599999993</v>
          </cell>
          <cell r="L185">
            <v>43.644951400000004</v>
          </cell>
          <cell r="M185">
            <v>47.426231763999994</v>
          </cell>
        </row>
        <row r="186">
          <cell r="J186">
            <v>47423</v>
          </cell>
          <cell r="K186">
            <v>51.896645400000004</v>
          </cell>
          <cell r="L186">
            <v>44.086376900000005</v>
          </cell>
          <cell r="M186">
            <v>48.538229944999998</v>
          </cell>
        </row>
        <row r="187">
          <cell r="J187">
            <v>47453</v>
          </cell>
          <cell r="K187">
            <v>53.808254300000002</v>
          </cell>
          <cell r="L187">
            <v>46.158712700000002</v>
          </cell>
          <cell r="M187">
            <v>50.518951412</v>
          </cell>
        </row>
        <row r="188">
          <cell r="J188">
            <v>47484</v>
          </cell>
          <cell r="K188">
            <v>52.580855499999998</v>
          </cell>
          <cell r="L188">
            <v>44.5947137</v>
          </cell>
          <cell r="M188">
            <v>49.146814526</v>
          </cell>
        </row>
        <row r="189">
          <cell r="J189">
            <v>47515</v>
          </cell>
          <cell r="K189">
            <v>55.874215599999999</v>
          </cell>
          <cell r="L189">
            <v>47.684077800000004</v>
          </cell>
          <cell r="M189">
            <v>52.352456345999997</v>
          </cell>
        </row>
        <row r="190">
          <cell r="J190">
            <v>47543</v>
          </cell>
          <cell r="K190">
            <v>50.140831899999995</v>
          </cell>
          <cell r="L190">
            <v>44.401868800000003</v>
          </cell>
          <cell r="M190">
            <v>47.673077766999995</v>
          </cell>
        </row>
        <row r="191">
          <cell r="J191">
            <v>47574</v>
          </cell>
          <cell r="K191">
            <v>47.55602240000001</v>
          </cell>
          <cell r="L191">
            <v>42.721305300000004</v>
          </cell>
          <cell r="M191">
            <v>45.477094047000008</v>
          </cell>
        </row>
        <row r="192">
          <cell r="J192">
            <v>47604</v>
          </cell>
          <cell r="K192">
            <v>39.645007999999997</v>
          </cell>
          <cell r="L192">
            <v>36.481392700000001</v>
          </cell>
          <cell r="M192">
            <v>38.284653420999994</v>
          </cell>
        </row>
        <row r="193">
          <cell r="J193">
            <v>47635</v>
          </cell>
          <cell r="K193">
            <v>46.165172500000004</v>
          </cell>
          <cell r="L193">
            <v>38.981926300000005</v>
          </cell>
          <cell r="M193">
            <v>43.076376633999999</v>
          </cell>
        </row>
        <row r="194">
          <cell r="J194">
            <v>47665</v>
          </cell>
          <cell r="K194">
            <v>52.565380300000001</v>
          </cell>
          <cell r="L194">
            <v>43.246337400000002</v>
          </cell>
          <cell r="M194">
            <v>48.558191852999997</v>
          </cell>
        </row>
        <row r="195">
          <cell r="J195">
            <v>47696</v>
          </cell>
          <cell r="K195">
            <v>59.745545999999997</v>
          </cell>
          <cell r="L195">
            <v>46.645657800000002</v>
          </cell>
          <cell r="M195">
            <v>54.112594074</v>
          </cell>
        </row>
        <row r="196">
          <cell r="J196">
            <v>47727</v>
          </cell>
          <cell r="K196">
            <v>61.246085799999996</v>
          </cell>
          <cell r="L196">
            <v>49.965252899999996</v>
          </cell>
          <cell r="M196">
            <v>56.395327652999988</v>
          </cell>
        </row>
        <row r="197">
          <cell r="J197">
            <v>47757</v>
          </cell>
          <cell r="K197">
            <v>53.880208500000009</v>
          </cell>
          <cell r="L197">
            <v>46.895398</v>
          </cell>
          <cell r="M197">
            <v>50.876739985</v>
          </cell>
        </row>
        <row r="198">
          <cell r="J198">
            <v>47788</v>
          </cell>
          <cell r="K198">
            <v>56.029132600000004</v>
          </cell>
          <cell r="L198">
            <v>47.564411800000002</v>
          </cell>
          <cell r="M198">
            <v>52.389302655999998</v>
          </cell>
        </row>
        <row r="199">
          <cell r="J199">
            <v>47818</v>
          </cell>
          <cell r="K199">
            <v>57.411308699999999</v>
          </cell>
          <cell r="L199">
            <v>49.261281400000001</v>
          </cell>
          <cell r="M199">
            <v>53.906796960999998</v>
          </cell>
        </row>
        <row r="200">
          <cell r="J200">
            <v>47849</v>
          </cell>
          <cell r="K200">
            <v>56.755923200000012</v>
          </cell>
          <cell r="L200">
            <v>48.333595099999997</v>
          </cell>
          <cell r="M200">
            <v>53.134322117000004</v>
          </cell>
        </row>
        <row r="201">
          <cell r="J201">
            <v>47880</v>
          </cell>
          <cell r="K201">
            <v>60.366960399999996</v>
          </cell>
          <cell r="L201">
            <v>51.204324800000002</v>
          </cell>
          <cell r="M201">
            <v>56.427027091999996</v>
          </cell>
        </row>
        <row r="202">
          <cell r="J202">
            <v>47908</v>
          </cell>
          <cell r="K202">
            <v>52.907917799999993</v>
          </cell>
          <cell r="L202">
            <v>47.496288800000002</v>
          </cell>
          <cell r="M202">
            <v>50.580917329999991</v>
          </cell>
        </row>
        <row r="203">
          <cell r="J203">
            <v>47939</v>
          </cell>
          <cell r="K203">
            <v>51.038848999999999</v>
          </cell>
          <cell r="L203">
            <v>45.598187500000009</v>
          </cell>
          <cell r="M203">
            <v>48.699364555000002</v>
          </cell>
        </row>
        <row r="204">
          <cell r="J204">
            <v>47969</v>
          </cell>
          <cell r="K204">
            <v>42.353491199999993</v>
          </cell>
          <cell r="L204">
            <v>38.718935899999998</v>
          </cell>
          <cell r="M204">
            <v>40.790632420999991</v>
          </cell>
        </row>
        <row r="205">
          <cell r="J205">
            <v>48000</v>
          </cell>
          <cell r="K205">
            <v>49.546510499999997</v>
          </cell>
          <cell r="L205">
            <v>41.413231300000007</v>
          </cell>
          <cell r="M205">
            <v>46.049200443999993</v>
          </cell>
        </row>
        <row r="206">
          <cell r="J206">
            <v>48030</v>
          </cell>
          <cell r="K206">
            <v>56.384673999999997</v>
          </cell>
          <cell r="L206">
            <v>46.336682400000001</v>
          </cell>
          <cell r="M206">
            <v>52.064037611999993</v>
          </cell>
        </row>
        <row r="207">
          <cell r="J207">
            <v>48061</v>
          </cell>
          <cell r="K207">
            <v>62.116803000000004</v>
          </cell>
          <cell r="L207">
            <v>49.222441500000002</v>
          </cell>
          <cell r="M207">
            <v>56.572227554999998</v>
          </cell>
        </row>
        <row r="208">
          <cell r="J208">
            <v>48092</v>
          </cell>
          <cell r="K208">
            <v>64.460986299999988</v>
          </cell>
          <cell r="L208">
            <v>52.929933300000002</v>
          </cell>
          <cell r="M208">
            <v>59.502633509999995</v>
          </cell>
        </row>
        <row r="209">
          <cell r="J209">
            <v>48122</v>
          </cell>
          <cell r="K209">
            <v>56.266817700000004</v>
          </cell>
          <cell r="L209">
            <v>49.166473199999999</v>
          </cell>
          <cell r="M209">
            <v>53.213669565000004</v>
          </cell>
        </row>
        <row r="210">
          <cell r="J210">
            <v>48153</v>
          </cell>
          <cell r="K210">
            <v>57.717466599999995</v>
          </cell>
          <cell r="L210">
            <v>49.301496900000004</v>
          </cell>
          <cell r="M210">
            <v>54.098599628999992</v>
          </cell>
        </row>
        <row r="211">
          <cell r="J211">
            <v>48183</v>
          </cell>
          <cell r="K211">
            <v>60.116765299999997</v>
          </cell>
          <cell r="L211">
            <v>51.053019100000007</v>
          </cell>
          <cell r="M211">
            <v>56.219354433999996</v>
          </cell>
        </row>
        <row r="212">
          <cell r="J212">
            <v>48214</v>
          </cell>
          <cell r="K212">
            <v>58.739466099999994</v>
          </cell>
          <cell r="L212">
            <v>50.051509300000006</v>
          </cell>
          <cell r="M212">
            <v>55.003644675999993</v>
          </cell>
        </row>
        <row r="213">
          <cell r="J213">
            <v>48245</v>
          </cell>
          <cell r="K213">
            <v>62.0126609</v>
          </cell>
          <cell r="L213">
            <v>52.043059700000001</v>
          </cell>
          <cell r="M213">
            <v>57.725732383999997</v>
          </cell>
        </row>
        <row r="214">
          <cell r="J214">
            <v>48274</v>
          </cell>
          <cell r="K214">
            <v>54.466053099999996</v>
          </cell>
          <cell r="L214">
            <v>48.4401984</v>
          </cell>
          <cell r="M214">
            <v>51.874935578999995</v>
          </cell>
        </row>
        <row r="215">
          <cell r="J215">
            <v>48305</v>
          </cell>
          <cell r="K215">
            <v>52.590111299999997</v>
          </cell>
          <cell r="L215">
            <v>47.573576200000005</v>
          </cell>
          <cell r="M215">
            <v>50.433001207000004</v>
          </cell>
        </row>
        <row r="216">
          <cell r="J216">
            <v>48335</v>
          </cell>
          <cell r="K216">
            <v>44.063074499999999</v>
          </cell>
          <cell r="L216">
            <v>40.719888600000004</v>
          </cell>
          <cell r="M216">
            <v>42.625504562999993</v>
          </cell>
        </row>
        <row r="217">
          <cell r="J217">
            <v>48366</v>
          </cell>
          <cell r="K217">
            <v>50.820445599999999</v>
          </cell>
          <cell r="L217">
            <v>42.400638200000003</v>
          </cell>
          <cell r="M217">
            <v>47.199928417999999</v>
          </cell>
        </row>
        <row r="218">
          <cell r="J218">
            <v>48396</v>
          </cell>
          <cell r="K218">
            <v>56.9818979</v>
          </cell>
          <cell r="L218">
            <v>46.959916700000001</v>
          </cell>
          <cell r="M218">
            <v>52.672445983999999</v>
          </cell>
        </row>
        <row r="219">
          <cell r="J219">
            <v>48427</v>
          </cell>
          <cell r="K219">
            <v>63.303275999999997</v>
          </cell>
          <cell r="L219">
            <v>49.969761900000002</v>
          </cell>
          <cell r="M219">
            <v>57.569864936999998</v>
          </cell>
        </row>
        <row r="220">
          <cell r="J220">
            <v>48458</v>
          </cell>
          <cell r="K220">
            <v>64.376925999999997</v>
          </cell>
          <cell r="L220">
            <v>53.287614699999999</v>
          </cell>
          <cell r="M220">
            <v>59.608522140999995</v>
          </cell>
        </row>
        <row r="221">
          <cell r="J221">
            <v>48488</v>
          </cell>
          <cell r="K221">
            <v>56.427455599999995</v>
          </cell>
          <cell r="L221">
            <v>49.748735600000003</v>
          </cell>
          <cell r="M221">
            <v>53.555605999999997</v>
          </cell>
        </row>
        <row r="222">
          <cell r="J222">
            <v>48519</v>
          </cell>
          <cell r="K222">
            <v>59.011456299999999</v>
          </cell>
          <cell r="L222">
            <v>49.850075900000007</v>
          </cell>
          <cell r="M222">
            <v>55.072062727999999</v>
          </cell>
        </row>
        <row r="223">
          <cell r="J223">
            <v>48549</v>
          </cell>
          <cell r="K223">
            <v>60.6399744</v>
          </cell>
          <cell r="L223">
            <v>51.675192200000005</v>
          </cell>
          <cell r="M223">
            <v>56.785118054000002</v>
          </cell>
        </row>
        <row r="224">
          <cell r="J224">
            <v>48580</v>
          </cell>
          <cell r="K224">
            <v>59.116253599999993</v>
          </cell>
          <cell r="L224">
            <v>50.701051300000003</v>
          </cell>
          <cell r="M224">
            <v>55.497716611000001</v>
          </cell>
        </row>
        <row r="225">
          <cell r="J225">
            <v>48611</v>
          </cell>
          <cell r="K225">
            <v>62.699695000000006</v>
          </cell>
          <cell r="L225">
            <v>52.776666300000002</v>
          </cell>
          <cell r="M225">
            <v>58.432792659</v>
          </cell>
        </row>
        <row r="226">
          <cell r="J226">
            <v>48639</v>
          </cell>
          <cell r="K226">
            <v>54.953842399999999</v>
          </cell>
          <cell r="L226">
            <v>49.212685200000003</v>
          </cell>
          <cell r="M226">
            <v>52.485144804000001</v>
          </cell>
        </row>
        <row r="227">
          <cell r="J227">
            <v>48670</v>
          </cell>
          <cell r="K227">
            <v>52.5939993</v>
          </cell>
          <cell r="L227">
            <v>47.625693200000001</v>
          </cell>
          <cell r="M227">
            <v>50.457627676999998</v>
          </cell>
        </row>
        <row r="228">
          <cell r="J228">
            <v>48700</v>
          </cell>
          <cell r="K228">
            <v>43.609824200000006</v>
          </cell>
          <cell r="L228">
            <v>40.555333900000001</v>
          </cell>
          <cell r="M228">
            <v>42.296393371000001</v>
          </cell>
        </row>
        <row r="229">
          <cell r="J229">
            <v>48731</v>
          </cell>
          <cell r="K229">
            <v>51.245702700000002</v>
          </cell>
          <cell r="L229">
            <v>43.146857199999999</v>
          </cell>
          <cell r="M229">
            <v>47.763199134999994</v>
          </cell>
        </row>
        <row r="230">
          <cell r="J230">
            <v>48761</v>
          </cell>
          <cell r="K230">
            <v>58.016458899999996</v>
          </cell>
          <cell r="L230">
            <v>48.287817000000004</v>
          </cell>
          <cell r="M230">
            <v>53.833142882999994</v>
          </cell>
        </row>
        <row r="231">
          <cell r="J231">
            <v>48792</v>
          </cell>
          <cell r="K231">
            <v>64.768613999999999</v>
          </cell>
          <cell r="L231">
            <v>50.513313199999999</v>
          </cell>
          <cell r="M231">
            <v>58.638834656</v>
          </cell>
        </row>
        <row r="232">
          <cell r="J232">
            <v>48823</v>
          </cell>
          <cell r="K232">
            <v>65.842453599999999</v>
          </cell>
          <cell r="L232">
            <v>54.6044743</v>
          </cell>
          <cell r="M232">
            <v>61.010122500999998</v>
          </cell>
        </row>
        <row r="233">
          <cell r="J233">
            <v>48853</v>
          </cell>
          <cell r="K233">
            <v>59.0664838</v>
          </cell>
          <cell r="L233">
            <v>51.869668900000001</v>
          </cell>
          <cell r="M233">
            <v>55.971853392999989</v>
          </cell>
        </row>
        <row r="234">
          <cell r="J234">
            <v>48884</v>
          </cell>
          <cell r="K234">
            <v>62.920305500000005</v>
          </cell>
          <cell r="L234">
            <v>52.105343200000007</v>
          </cell>
          <cell r="M234">
            <v>58.269871711</v>
          </cell>
        </row>
        <row r="235">
          <cell r="J235">
            <v>48914</v>
          </cell>
          <cell r="K235">
            <v>63.331136199999996</v>
          </cell>
          <cell r="L235">
            <v>53.720479500000003</v>
          </cell>
          <cell r="M235">
            <v>59.198553818999997</v>
          </cell>
        </row>
        <row r="236">
          <cell r="J236">
            <v>48945</v>
          </cell>
          <cell r="K236">
            <v>61.408858099999996</v>
          </cell>
          <cell r="L236">
            <v>52.676151400000002</v>
          </cell>
          <cell r="M236">
            <v>57.653794218999998</v>
          </cell>
        </row>
        <row r="237">
          <cell r="J237">
            <v>48976</v>
          </cell>
          <cell r="K237">
            <v>64.409637599999996</v>
          </cell>
          <cell r="L237">
            <v>54.8559676</v>
          </cell>
          <cell r="M237">
            <v>60.301559499999996</v>
          </cell>
        </row>
        <row r="238">
          <cell r="J238">
            <v>49004</v>
          </cell>
          <cell r="K238">
            <v>56.390015499999997</v>
          </cell>
          <cell r="L238">
            <v>51.105920900000001</v>
          </cell>
          <cell r="M238">
            <v>54.117854821999998</v>
          </cell>
        </row>
        <row r="239">
          <cell r="J239">
            <v>49035</v>
          </cell>
          <cell r="K239">
            <v>54.391248099999999</v>
          </cell>
          <cell r="L239">
            <v>49.400650600000006</v>
          </cell>
          <cell r="M239">
            <v>52.245291174999998</v>
          </cell>
        </row>
        <row r="240">
          <cell r="J240">
            <v>49065</v>
          </cell>
          <cell r="K240">
            <v>46.424303800000004</v>
          </cell>
          <cell r="L240">
            <v>42.547345700000008</v>
          </cell>
          <cell r="M240">
            <v>44.757211817000005</v>
          </cell>
        </row>
        <row r="241">
          <cell r="J241">
            <v>49096</v>
          </cell>
          <cell r="K241">
            <v>53.7490709</v>
          </cell>
          <cell r="L241">
            <v>45.398245500000002</v>
          </cell>
          <cell r="M241">
            <v>50.158215978000001</v>
          </cell>
        </row>
        <row r="242">
          <cell r="J242">
            <v>49126</v>
          </cell>
          <cell r="K242">
            <v>60.253444499999993</v>
          </cell>
          <cell r="L242">
            <v>50.479268000000005</v>
          </cell>
          <cell r="M242">
            <v>56.050548604999996</v>
          </cell>
        </row>
        <row r="243">
          <cell r="J243">
            <v>49157</v>
          </cell>
          <cell r="K243">
            <v>66.447493000000009</v>
          </cell>
          <cell r="L243">
            <v>52.585804700000004</v>
          </cell>
          <cell r="M243">
            <v>60.486967030999999</v>
          </cell>
        </row>
        <row r="244">
          <cell r="J244">
            <v>49188</v>
          </cell>
          <cell r="K244">
            <v>66.522777300000001</v>
          </cell>
          <cell r="L244">
            <v>56.085793200000005</v>
          </cell>
          <cell r="M244">
            <v>62.034874137000003</v>
          </cell>
        </row>
        <row r="245">
          <cell r="J245">
            <v>49218</v>
          </cell>
          <cell r="K245">
            <v>59.7805623</v>
          </cell>
          <cell r="L245">
            <v>52.483503500000005</v>
          </cell>
          <cell r="M245">
            <v>56.642827015999998</v>
          </cell>
        </row>
        <row r="246">
          <cell r="J246">
            <v>49249</v>
          </cell>
          <cell r="K246">
            <v>61.996063199999995</v>
          </cell>
          <cell r="L246">
            <v>51.825818099999999</v>
          </cell>
          <cell r="M246">
            <v>57.622857806999988</v>
          </cell>
        </row>
        <row r="247">
          <cell r="J247">
            <v>49279</v>
          </cell>
          <cell r="K247">
            <v>62.932901500000007</v>
          </cell>
          <cell r="L247">
            <v>54.603294999999996</v>
          </cell>
          <cell r="M247">
            <v>59.351170705000001</v>
          </cell>
        </row>
        <row r="248">
          <cell r="J248">
            <v>49310</v>
          </cell>
          <cell r="K248">
            <v>62.705987800000003</v>
          </cell>
          <cell r="L248">
            <v>52.772507999999995</v>
          </cell>
          <cell r="M248">
            <v>58.434591485999988</v>
          </cell>
        </row>
        <row r="249">
          <cell r="J249">
            <v>49341</v>
          </cell>
          <cell r="K249">
            <v>66.237489699999998</v>
          </cell>
          <cell r="L249">
            <v>55.836169900000002</v>
          </cell>
          <cell r="M249">
            <v>61.764922185999993</v>
          </cell>
        </row>
        <row r="250">
          <cell r="J250">
            <v>49369</v>
          </cell>
          <cell r="K250">
            <v>57.9699411</v>
          </cell>
          <cell r="L250">
            <v>52.233265200000005</v>
          </cell>
          <cell r="M250">
            <v>55.503170463000004</v>
          </cell>
        </row>
        <row r="251">
          <cell r="J251">
            <v>49400</v>
          </cell>
          <cell r="K251">
            <v>56.143072599999996</v>
          </cell>
          <cell r="L251">
            <v>50.952322700000011</v>
          </cell>
          <cell r="M251">
            <v>53.911050142999997</v>
          </cell>
        </row>
        <row r="252">
          <cell r="J252">
            <v>49430</v>
          </cell>
          <cell r="K252">
            <v>48.933395300000001</v>
          </cell>
          <cell r="L252">
            <v>45.214203100000006</v>
          </cell>
          <cell r="M252">
            <v>47.334142654000004</v>
          </cell>
        </row>
        <row r="253">
          <cell r="J253">
            <v>49461</v>
          </cell>
          <cell r="K253">
            <v>53.4976214</v>
          </cell>
          <cell r="L253">
            <v>45.964795800000005</v>
          </cell>
          <cell r="M253">
            <v>50.258506392000001</v>
          </cell>
        </row>
        <row r="254">
          <cell r="J254">
            <v>49491</v>
          </cell>
          <cell r="K254">
            <v>61.218121500000002</v>
          </cell>
          <cell r="L254">
            <v>50.377049300000003</v>
          </cell>
          <cell r="M254">
            <v>56.556460453999996</v>
          </cell>
        </row>
        <row r="255">
          <cell r="J255">
            <v>49522</v>
          </cell>
          <cell r="K255">
            <v>70.079791</v>
          </cell>
          <cell r="L255">
            <v>54.693744100000004</v>
          </cell>
          <cell r="M255">
            <v>63.463790832999997</v>
          </cell>
        </row>
        <row r="256">
          <cell r="J256">
            <v>49553</v>
          </cell>
          <cell r="K256">
            <v>69.136037700000003</v>
          </cell>
          <cell r="L256">
            <v>57.845614200000007</v>
          </cell>
          <cell r="M256">
            <v>64.281155595000001</v>
          </cell>
        </row>
        <row r="257">
          <cell r="J257">
            <v>49583</v>
          </cell>
          <cell r="K257">
            <v>60.425364699999996</v>
          </cell>
          <cell r="L257">
            <v>53.218449400000004</v>
          </cell>
          <cell r="M257">
            <v>57.326391121</v>
          </cell>
        </row>
        <row r="258">
          <cell r="J258">
            <v>49614</v>
          </cell>
          <cell r="K258">
            <v>62.519111500000001</v>
          </cell>
          <cell r="L258">
            <v>52.878708899999999</v>
          </cell>
          <cell r="M258">
            <v>58.373738381999999</v>
          </cell>
        </row>
        <row r="259">
          <cell r="J259">
            <v>49644</v>
          </cell>
          <cell r="K259">
            <v>65.534979799999988</v>
          </cell>
          <cell r="L259">
            <v>56.348725999999999</v>
          </cell>
          <cell r="M259">
            <v>61.584890665999986</v>
          </cell>
        </row>
        <row r="260">
          <cell r="J260">
            <v>49675</v>
          </cell>
          <cell r="K260">
            <v>64.293732199999994</v>
          </cell>
          <cell r="L260">
            <v>54.329472599999995</v>
          </cell>
          <cell r="M260">
            <v>60.009100571999994</v>
          </cell>
        </row>
        <row r="261">
          <cell r="J261">
            <v>49706</v>
          </cell>
          <cell r="K261">
            <v>66.346242700000005</v>
          </cell>
          <cell r="L261">
            <v>55.689722000000003</v>
          </cell>
          <cell r="M261">
            <v>61.763938799000002</v>
          </cell>
        </row>
        <row r="262">
          <cell r="J262">
            <v>49735</v>
          </cell>
          <cell r="K262">
            <v>58.493513599999993</v>
          </cell>
          <cell r="L262">
            <v>54.097972600000006</v>
          </cell>
          <cell r="M262">
            <v>56.603430969999991</v>
          </cell>
        </row>
        <row r="263">
          <cell r="J263">
            <v>49766</v>
          </cell>
          <cell r="K263">
            <v>56.839399400000005</v>
          </cell>
          <cell r="L263">
            <v>51.916784499999991</v>
          </cell>
          <cell r="M263">
            <v>54.722674992999998</v>
          </cell>
        </row>
        <row r="264">
          <cell r="J264">
            <v>49796</v>
          </cell>
          <cell r="K264">
            <v>48.605054600000003</v>
          </cell>
          <cell r="L264">
            <v>45.416220100000004</v>
          </cell>
          <cell r="M264">
            <v>47.233855765000001</v>
          </cell>
        </row>
        <row r="265">
          <cell r="J265">
            <v>49827</v>
          </cell>
          <cell r="K265">
            <v>54.8854726</v>
          </cell>
          <cell r="L265">
            <v>47.686254099999999</v>
          </cell>
          <cell r="M265">
            <v>51.789808644999994</v>
          </cell>
        </row>
        <row r="266">
          <cell r="J266">
            <v>49857</v>
          </cell>
          <cell r="K266">
            <v>62.097633600000002</v>
          </cell>
          <cell r="L266">
            <v>50.6867643</v>
          </cell>
          <cell r="M266">
            <v>57.190959800999998</v>
          </cell>
        </row>
        <row r="267">
          <cell r="J267">
            <v>49888</v>
          </cell>
          <cell r="K267">
            <v>69.800436000000005</v>
          </cell>
          <cell r="L267">
            <v>56.285028100000005</v>
          </cell>
          <cell r="M267">
            <v>63.988810603000005</v>
          </cell>
        </row>
        <row r="268">
          <cell r="J268">
            <v>49919</v>
          </cell>
          <cell r="K268">
            <v>70.657094499999999</v>
          </cell>
          <cell r="L268">
            <v>58.439846199999998</v>
          </cell>
          <cell r="M268">
            <v>65.403677731000002</v>
          </cell>
        </row>
        <row r="269">
          <cell r="J269">
            <v>49949</v>
          </cell>
          <cell r="K269">
            <v>62.764903499999996</v>
          </cell>
          <cell r="L269">
            <v>53.730384899999997</v>
          </cell>
          <cell r="M269">
            <v>58.880060501999992</v>
          </cell>
        </row>
        <row r="270">
          <cell r="J270">
            <v>49980</v>
          </cell>
          <cell r="K270">
            <v>65.958199799999988</v>
          </cell>
          <cell r="L270">
            <v>55.8952405</v>
          </cell>
          <cell r="M270">
            <v>61.631127300999992</v>
          </cell>
        </row>
        <row r="271">
          <cell r="J271">
            <v>50010</v>
          </cell>
          <cell r="K271">
            <v>67.034925400000006</v>
          </cell>
          <cell r="L271">
            <v>57.315294099999996</v>
          </cell>
          <cell r="M271">
            <v>62.855483940999996</v>
          </cell>
        </row>
        <row r="272">
          <cell r="J272">
            <v>50041</v>
          </cell>
          <cell r="K272">
            <v>66.924730800000006</v>
          </cell>
          <cell r="L272">
            <v>56.648552300000006</v>
          </cell>
          <cell r="M272">
            <v>62.505974045000002</v>
          </cell>
        </row>
        <row r="273">
          <cell r="J273">
            <v>50072</v>
          </cell>
          <cell r="K273">
            <v>70.479227499999993</v>
          </cell>
          <cell r="L273">
            <v>58.928873599999996</v>
          </cell>
          <cell r="M273">
            <v>65.512575322999993</v>
          </cell>
        </row>
        <row r="274">
          <cell r="J274">
            <v>50100</v>
          </cell>
          <cell r="K274">
            <v>60.629319500000001</v>
          </cell>
          <cell r="L274">
            <v>56.366080000000004</v>
          </cell>
          <cell r="M274">
            <v>58.796126514999997</v>
          </cell>
        </row>
        <row r="275">
          <cell r="J275">
            <v>50131</v>
          </cell>
          <cell r="K275">
            <v>58.100565000000003</v>
          </cell>
          <cell r="L275">
            <v>53.805372800000001</v>
          </cell>
          <cell r="M275">
            <v>56.253632353999997</v>
          </cell>
        </row>
        <row r="276">
          <cell r="J276">
            <v>50161</v>
          </cell>
          <cell r="K276">
            <v>50.509577200000003</v>
          </cell>
          <cell r="L276">
            <v>47.472485600000006</v>
          </cell>
          <cell r="M276">
            <v>49.203627812000001</v>
          </cell>
        </row>
        <row r="277">
          <cell r="J277">
            <v>50192</v>
          </cell>
          <cell r="K277">
            <v>57.184662100000004</v>
          </cell>
          <cell r="L277">
            <v>49.731109100000005</v>
          </cell>
          <cell r="M277">
            <v>53.979634309999994</v>
          </cell>
        </row>
        <row r="278">
          <cell r="J278">
            <v>50222</v>
          </cell>
          <cell r="K278">
            <v>63.939491400000001</v>
          </cell>
          <cell r="L278">
            <v>52.707802900000004</v>
          </cell>
          <cell r="M278">
            <v>59.109865345000003</v>
          </cell>
        </row>
        <row r="279">
          <cell r="J279">
            <v>50253</v>
          </cell>
          <cell r="K279">
            <v>71.586652000000001</v>
          </cell>
          <cell r="L279">
            <v>57.801442599999994</v>
          </cell>
          <cell r="M279">
            <v>65.659011957999994</v>
          </cell>
        </row>
        <row r="280">
          <cell r="J280">
            <v>50284</v>
          </cell>
          <cell r="K280">
            <v>72.085360800000004</v>
          </cell>
          <cell r="L280">
            <v>59.946230300000003</v>
          </cell>
          <cell r="M280">
            <v>66.865534685</v>
          </cell>
        </row>
        <row r="281">
          <cell r="J281">
            <v>50314</v>
          </cell>
          <cell r="K281">
            <v>63.081788099999997</v>
          </cell>
          <cell r="L281">
            <v>55.124746500000001</v>
          </cell>
          <cell r="M281">
            <v>59.660260211999997</v>
          </cell>
        </row>
        <row r="282">
          <cell r="J282">
            <v>50345</v>
          </cell>
          <cell r="K282">
            <v>66.945594299999996</v>
          </cell>
          <cell r="L282">
            <v>56.781755499999996</v>
          </cell>
          <cell r="M282">
            <v>62.575143615999991</v>
          </cell>
        </row>
        <row r="283">
          <cell r="J283">
            <v>50375</v>
          </cell>
          <cell r="K283">
            <v>70.105582799999993</v>
          </cell>
          <cell r="L283">
            <v>59.805390200000005</v>
          </cell>
          <cell r="M283">
            <v>65.676499981999996</v>
          </cell>
        </row>
        <row r="284">
          <cell r="J284">
            <v>50406</v>
          </cell>
          <cell r="K284">
            <v>68.146930900000001</v>
          </cell>
          <cell r="L284">
            <v>58.908076399999999</v>
          </cell>
          <cell r="M284">
            <v>64.174223464999997</v>
          </cell>
        </row>
        <row r="285">
          <cell r="J285">
            <v>50437</v>
          </cell>
          <cell r="K285">
            <v>70.769483799999989</v>
          </cell>
          <cell r="L285">
            <v>60.174825999999996</v>
          </cell>
          <cell r="M285">
            <v>66.213780945999986</v>
          </cell>
        </row>
        <row r="286">
          <cell r="J286">
            <v>50465</v>
          </cell>
          <cell r="K286">
            <v>61.984895399999999</v>
          </cell>
          <cell r="L286">
            <v>56.688409399999998</v>
          </cell>
          <cell r="M286">
            <v>59.707406419999998</v>
          </cell>
        </row>
        <row r="287">
          <cell r="J287">
            <v>50496</v>
          </cell>
          <cell r="K287">
            <v>60.081553200000002</v>
          </cell>
          <cell r="L287">
            <v>56.271184300000002</v>
          </cell>
          <cell r="M287">
            <v>58.443094572999996</v>
          </cell>
        </row>
        <row r="288">
          <cell r="J288">
            <v>50526</v>
          </cell>
          <cell r="K288">
            <v>53.759611399999997</v>
          </cell>
          <cell r="L288">
            <v>50.985618500000001</v>
          </cell>
          <cell r="M288">
            <v>52.566794452999993</v>
          </cell>
        </row>
        <row r="289">
          <cell r="J289">
            <v>50557</v>
          </cell>
          <cell r="K289">
            <v>59.532894900000002</v>
          </cell>
          <cell r="L289">
            <v>52.154442899999999</v>
          </cell>
          <cell r="M289">
            <v>56.360160539999995</v>
          </cell>
        </row>
        <row r="290">
          <cell r="J290">
            <v>50587</v>
          </cell>
          <cell r="K290">
            <v>65.904366899999999</v>
          </cell>
          <cell r="L290">
            <v>54.754697300000004</v>
          </cell>
          <cell r="M290">
            <v>61.110008972000003</v>
          </cell>
        </row>
        <row r="291">
          <cell r="J291">
            <v>50618</v>
          </cell>
          <cell r="K291">
            <v>73.829679999999996</v>
          </cell>
          <cell r="L291">
            <v>60.070921700000007</v>
          </cell>
          <cell r="M291">
            <v>67.913413930999994</v>
          </cell>
        </row>
        <row r="292">
          <cell r="J292">
            <v>50649</v>
          </cell>
          <cell r="K292">
            <v>72.098239100000001</v>
          </cell>
          <cell r="L292">
            <v>61.373144600000003</v>
          </cell>
          <cell r="M292">
            <v>67.486448464999995</v>
          </cell>
        </row>
        <row r="293">
          <cell r="J293">
            <v>50679</v>
          </cell>
          <cell r="K293">
            <v>64.5289334</v>
          </cell>
          <cell r="L293">
            <v>57.265215900000001</v>
          </cell>
          <cell r="M293">
            <v>61.405534875000001</v>
          </cell>
        </row>
        <row r="294">
          <cell r="J294">
            <v>50710</v>
          </cell>
          <cell r="K294">
            <v>69.394672499999999</v>
          </cell>
          <cell r="L294">
            <v>59.076160399999999</v>
          </cell>
          <cell r="M294">
            <v>64.957712297</v>
          </cell>
        </row>
        <row r="295">
          <cell r="J295">
            <v>50740</v>
          </cell>
          <cell r="K295">
            <v>71.531839300000001</v>
          </cell>
          <cell r="L295">
            <v>61.678030500000006</v>
          </cell>
          <cell r="M295">
            <v>67.294701516000003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</sheetNames>
    <sheetDataSet>
      <sheetData sheetId="0"/>
      <sheetData sheetId="1">
        <row r="13">
          <cell r="B13">
            <v>2021</v>
          </cell>
          <cell r="C13">
            <v>0</v>
          </cell>
          <cell r="E13">
            <v>20.688577543059612</v>
          </cell>
          <cell r="G13">
            <v>20.688577543059612</v>
          </cell>
        </row>
        <row r="14">
          <cell r="B14">
            <v>2022</v>
          </cell>
          <cell r="C14">
            <v>0</v>
          </cell>
          <cell r="E14">
            <v>20.404122613211115</v>
          </cell>
          <cell r="G14">
            <v>20.404122613211115</v>
          </cell>
        </row>
        <row r="15">
          <cell r="B15">
            <v>2023</v>
          </cell>
          <cell r="C15">
            <v>0</v>
          </cell>
          <cell r="E15">
            <v>19.585938357845407</v>
          </cell>
          <cell r="G15">
            <v>19.585938357845407</v>
          </cell>
        </row>
        <row r="16">
          <cell r="B16">
            <v>2024</v>
          </cell>
          <cell r="C16">
            <v>0</v>
          </cell>
          <cell r="E16">
            <v>15.824972804120923</v>
          </cell>
          <cell r="G16">
            <v>15.824972804120923</v>
          </cell>
        </row>
        <row r="17">
          <cell r="B17">
            <v>2025</v>
          </cell>
          <cell r="C17">
            <v>0</v>
          </cell>
          <cell r="E17">
            <v>17.924587980231976</v>
          </cell>
          <cell r="G17">
            <v>17.924587980231976</v>
          </cell>
        </row>
        <row r="18">
          <cell r="B18">
            <v>2026</v>
          </cell>
          <cell r="C18">
            <v>114.66715795722061</v>
          </cell>
          <cell r="E18">
            <v>19.917337379368746</v>
          </cell>
          <cell r="G18">
            <v>33.007195593663326</v>
          </cell>
        </row>
        <row r="19">
          <cell r="B19">
            <v>2027</v>
          </cell>
          <cell r="C19">
            <v>117.43853206149892</v>
          </cell>
          <cell r="E19">
            <v>20.827101624851817</v>
          </cell>
          <cell r="G19">
            <v>34.233326746027501</v>
          </cell>
        </row>
        <row r="20">
          <cell r="B20">
            <v>2028</v>
          </cell>
          <cell r="C20">
            <v>120.36804836413094</v>
          </cell>
          <cell r="E20">
            <v>24.441799514301305</v>
          </cell>
          <cell r="G20">
            <v>38.144901559398171</v>
          </cell>
        </row>
        <row r="21">
          <cell r="B21">
            <v>2029</v>
          </cell>
          <cell r="C21">
            <v>123.26661907201685</v>
          </cell>
          <cell r="E21">
            <v>26.323417509069181</v>
          </cell>
          <cell r="G21">
            <v>40.394949366605353</v>
          </cell>
        </row>
        <row r="22">
          <cell r="B22">
            <v>2030</v>
          </cell>
          <cell r="C22">
            <v>126.21676577114631</v>
          </cell>
          <cell r="E22">
            <v>26.012003693439596</v>
          </cell>
          <cell r="G22">
            <v>40.420310288319314</v>
          </cell>
        </row>
        <row r="23">
          <cell r="B23">
            <v>2031</v>
          </cell>
          <cell r="C23">
            <v>128.99155410004775</v>
          </cell>
          <cell r="E23">
            <v>28.276980064248317</v>
          </cell>
          <cell r="G23">
            <v>43.002043317678421</v>
          </cell>
        </row>
        <row r="24">
          <cell r="B24">
            <v>2032</v>
          </cell>
          <cell r="C24">
            <v>131.81791842019274</v>
          </cell>
          <cell r="E24">
            <v>29.70347414670551</v>
          </cell>
          <cell r="G24">
            <v>44.710067773776643</v>
          </cell>
        </row>
        <row r="25">
          <cell r="B25">
            <v>2033</v>
          </cell>
          <cell r="C25">
            <v>134.59270674909422</v>
          </cell>
          <cell r="E25">
            <v>30.513501434750122</v>
          </cell>
          <cell r="G25">
            <v>45.877965675514311</v>
          </cell>
        </row>
        <row r="26">
          <cell r="B26">
            <v>2034</v>
          </cell>
          <cell r="C26">
            <v>137.41907106923921</v>
          </cell>
          <cell r="E26">
            <v>31.855284328679957</v>
          </cell>
          <cell r="G26">
            <v>47.54239289822781</v>
          </cell>
        </row>
        <row r="27">
          <cell r="B27">
            <v>2035</v>
          </cell>
          <cell r="C27">
            <v>140.32795697537387</v>
          </cell>
          <cell r="E27">
            <v>33.049011175420205</v>
          </cell>
          <cell r="G27">
            <v>49.068184346124973</v>
          </cell>
        </row>
        <row r="28">
          <cell r="B28">
            <v>2036</v>
          </cell>
          <cell r="C28">
            <v>143.26778847625457</v>
          </cell>
          <cell r="E28">
            <v>35.096940110322997</v>
          </cell>
          <cell r="G28">
            <v>51.40702531936838</v>
          </cell>
        </row>
        <row r="29">
          <cell r="B29">
            <v>2037</v>
          </cell>
          <cell r="C29">
            <v>146.29014156312493</v>
          </cell>
          <cell r="E29">
            <v>36.047460233050394</v>
          </cell>
          <cell r="G29">
            <v>52.747248082722194</v>
          </cell>
        </row>
        <row r="30">
          <cell r="B30">
            <v>2038</v>
          </cell>
          <cell r="C30">
            <v>149.36407064123884</v>
          </cell>
          <cell r="E30">
            <v>38.322339012033623</v>
          </cell>
          <cell r="G30">
            <v>55.373032007608828</v>
          </cell>
        </row>
        <row r="31">
          <cell r="B31">
            <v>2039</v>
          </cell>
          <cell r="C31">
            <v>152.51020610709369</v>
          </cell>
          <cell r="E31" t="e">
            <v>#DIV/0!</v>
          </cell>
          <cell r="G31" t="e">
            <v>#DIV/0!</v>
          </cell>
        </row>
        <row r="32">
          <cell r="B32">
            <v>2040</v>
          </cell>
          <cell r="C32">
            <v>155.69760236594328</v>
          </cell>
          <cell r="E32" t="e">
            <v>#DIV/0!</v>
          </cell>
          <cell r="G32" t="e">
            <v>#DIV/0!</v>
          </cell>
        </row>
        <row r="33">
          <cell r="B33">
            <v>2041</v>
          </cell>
          <cell r="C33">
            <v>158.97783540903129</v>
          </cell>
          <cell r="E33" t="e">
            <v>#DIV/0!</v>
          </cell>
          <cell r="G33" t="e">
            <v>#DIV/0!</v>
          </cell>
        </row>
        <row r="34">
          <cell r="B34">
            <v>2042</v>
          </cell>
          <cell r="C34">
            <v>162.30964444336277</v>
          </cell>
          <cell r="E34" t="e">
            <v>#DIV/0!</v>
          </cell>
          <cell r="G34" t="e">
            <v>#DIV/0!</v>
          </cell>
        </row>
        <row r="35">
          <cell r="B35">
            <v>2043</v>
          </cell>
          <cell r="C35">
            <v>0</v>
          </cell>
          <cell r="E35" t="e">
            <v>#DIV/0!</v>
          </cell>
          <cell r="G35" t="e">
            <v>#DIV/0!</v>
          </cell>
        </row>
        <row r="36">
          <cell r="B36">
            <v>2044</v>
          </cell>
          <cell r="C36">
            <v>0</v>
          </cell>
          <cell r="E36" t="e">
            <v>#DIV/0!</v>
          </cell>
          <cell r="G36" t="e">
            <v>#DIV/0!</v>
          </cell>
        </row>
        <row r="37">
          <cell r="B37">
            <v>2045</v>
          </cell>
          <cell r="C37">
            <v>0</v>
          </cell>
          <cell r="E37" t="e">
            <v>#DIV/0!</v>
          </cell>
          <cell r="G37" t="e">
            <v>#DIV/0!</v>
          </cell>
        </row>
        <row r="38">
          <cell r="B38">
            <v>2046</v>
          </cell>
          <cell r="C38">
            <v>0</v>
          </cell>
          <cell r="E38" t="e">
            <v>#DIV/0!</v>
          </cell>
          <cell r="G38" t="e">
            <v>#DIV/0!</v>
          </cell>
        </row>
        <row r="50">
          <cell r="G50">
            <v>30.918623658458653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</sheetNames>
    <sheetDataSet>
      <sheetData sheetId="0" refreshError="1"/>
      <sheetData sheetId="1">
        <row r="13">
          <cell r="B13">
            <v>2021</v>
          </cell>
          <cell r="C13">
            <v>0</v>
          </cell>
          <cell r="E13">
            <v>20.32567169349986</v>
          </cell>
          <cell r="G13">
            <v>20.32567169349986</v>
          </cell>
        </row>
        <row r="14">
          <cell r="B14">
            <v>2022</v>
          </cell>
          <cell r="C14">
            <v>0</v>
          </cell>
          <cell r="E14">
            <v>21.18341598743697</v>
          </cell>
          <cell r="G14">
            <v>21.18341598743697</v>
          </cell>
        </row>
        <row r="15">
          <cell r="B15">
            <v>2023</v>
          </cell>
          <cell r="C15">
            <v>0</v>
          </cell>
          <cell r="E15">
            <v>20.145294409367029</v>
          </cell>
          <cell r="G15">
            <v>20.145294409367029</v>
          </cell>
        </row>
        <row r="16">
          <cell r="B16">
            <v>2024</v>
          </cell>
          <cell r="C16">
            <v>0</v>
          </cell>
          <cell r="E16">
            <v>17.273119242281751</v>
          </cell>
          <cell r="G16">
            <v>17.273119242281751</v>
          </cell>
        </row>
        <row r="17">
          <cell r="B17">
            <v>2025</v>
          </cell>
          <cell r="C17">
            <v>0</v>
          </cell>
          <cell r="E17">
            <v>20.44254098918459</v>
          </cell>
          <cell r="G17">
            <v>20.44254098918459</v>
          </cell>
        </row>
        <row r="18">
          <cell r="B18">
            <v>2026</v>
          </cell>
          <cell r="C18">
            <v>114.74967954321023</v>
          </cell>
          <cell r="E18">
            <v>21.089680983485323</v>
          </cell>
          <cell r="G18">
            <v>34.188959470153158</v>
          </cell>
        </row>
        <row r="19">
          <cell r="B19">
            <v>2027</v>
          </cell>
          <cell r="C19">
            <v>117.3972712685041</v>
          </cell>
          <cell r="E19">
            <v>22.431118832884874</v>
          </cell>
          <cell r="G19">
            <v>35.832633817873926</v>
          </cell>
        </row>
        <row r="20">
          <cell r="B20">
            <v>2028</v>
          </cell>
          <cell r="C20">
            <v>120.09985320966463</v>
          </cell>
          <cell r="E20">
            <v>25.550016399238103</v>
          </cell>
          <cell r="G20">
            <v>39.222586209081534</v>
          </cell>
        </row>
        <row r="21">
          <cell r="B21">
            <v>2029</v>
          </cell>
          <cell r="C21">
            <v>122.8746415385661</v>
          </cell>
          <cell r="E21">
            <v>27.598395648925695</v>
          </cell>
          <cell r="G21">
            <v>41.625181212688965</v>
          </cell>
        </row>
        <row r="22">
          <cell r="B22">
            <v>2030</v>
          </cell>
          <cell r="C22">
            <v>125.70100585871108</v>
          </cell>
          <cell r="E22">
            <v>26.283585448493067</v>
          </cell>
          <cell r="G22">
            <v>40.633015341039993</v>
          </cell>
        </row>
        <row r="23">
          <cell r="B23">
            <v>2031</v>
          </cell>
          <cell r="C23">
            <v>128.59957656659699</v>
          </cell>
          <cell r="E23">
            <v>27.795305982034552</v>
          </cell>
          <cell r="G23">
            <v>42.475622941691746</v>
          </cell>
        </row>
        <row r="24">
          <cell r="B24">
            <v>2032</v>
          </cell>
          <cell r="C24">
            <v>131.54972326572644</v>
          </cell>
          <cell r="E24">
            <v>29.72702530207421</v>
          </cell>
          <cell r="G24">
            <v>44.703086693891883</v>
          </cell>
        </row>
        <row r="25">
          <cell r="B25">
            <v>2033</v>
          </cell>
          <cell r="C25">
            <v>134.57207635259681</v>
          </cell>
          <cell r="E25">
            <v>30.295704896266653</v>
          </cell>
          <cell r="G25">
            <v>45.657814068937519</v>
          </cell>
        </row>
        <row r="26">
          <cell r="B26">
            <v>2034</v>
          </cell>
          <cell r="C26">
            <v>137.6666358272081</v>
          </cell>
          <cell r="E26">
            <v>31.648551805079698</v>
          </cell>
          <cell r="G26">
            <v>47.363921191747281</v>
          </cell>
        </row>
        <row r="27">
          <cell r="B27">
            <v>2035</v>
          </cell>
          <cell r="C27">
            <v>140.83340168956036</v>
          </cell>
          <cell r="E27">
            <v>33.186398129629083</v>
          </cell>
          <cell r="G27">
            <v>49.26327046862</v>
          </cell>
        </row>
        <row r="28">
          <cell r="B28">
            <v>2036</v>
          </cell>
          <cell r="C28">
            <v>144.04142834490739</v>
          </cell>
          <cell r="E28">
            <v>34.953521525833317</v>
          </cell>
          <cell r="G28">
            <v>51.351680490417486</v>
          </cell>
        </row>
        <row r="29">
          <cell r="B29">
            <v>2037</v>
          </cell>
          <cell r="C29">
            <v>147.35260698274149</v>
          </cell>
          <cell r="E29">
            <v>36.814045022993021</v>
          </cell>
          <cell r="G29">
            <v>53.635118879470369</v>
          </cell>
        </row>
        <row r="30">
          <cell r="B30">
            <v>2038</v>
          </cell>
          <cell r="C30">
            <v>150.74630720656521</v>
          </cell>
          <cell r="E30">
            <v>39.147248205450197</v>
          </cell>
          <cell r="G30">
            <v>56.355730763277279</v>
          </cell>
        </row>
        <row r="31">
          <cell r="B31">
            <v>2039</v>
          </cell>
          <cell r="C31">
            <v>154.21221381812987</v>
          </cell>
          <cell r="E31" t="e">
            <v>#DIV/0!</v>
          </cell>
          <cell r="G31" t="e">
            <v>#DIV/0!</v>
          </cell>
        </row>
        <row r="32">
          <cell r="B32">
            <v>2040</v>
          </cell>
          <cell r="C32">
            <v>157.76064201568417</v>
          </cell>
          <cell r="E32" t="e">
            <v>#VALUE!</v>
          </cell>
          <cell r="G32" t="e">
            <v>#VALUE!</v>
          </cell>
        </row>
        <row r="33">
          <cell r="B33">
            <v>2041</v>
          </cell>
          <cell r="C33">
            <v>161.4019069974768</v>
          </cell>
          <cell r="E33" t="e">
            <v>#VALUE!</v>
          </cell>
          <cell r="G33" t="e">
            <v>#VALUE!</v>
          </cell>
        </row>
        <row r="34">
          <cell r="B34">
            <v>2042</v>
          </cell>
          <cell r="C34">
            <v>165.10506316876166</v>
          </cell>
          <cell r="E34" t="e">
            <v>#VALUE!</v>
          </cell>
          <cell r="G34" t="e">
            <v>#VALUE!</v>
          </cell>
        </row>
        <row r="35">
          <cell r="B35">
            <v>2043</v>
          </cell>
          <cell r="C35">
            <v>0</v>
          </cell>
          <cell r="E35" t="e">
            <v>#VALUE!</v>
          </cell>
          <cell r="G35" t="e">
            <v>#VALUE!</v>
          </cell>
        </row>
        <row r="36">
          <cell r="B36">
            <v>2044</v>
          </cell>
          <cell r="C36">
            <v>0</v>
          </cell>
          <cell r="E36" t="e">
            <v>#DIV/0!</v>
          </cell>
          <cell r="G36" t="e">
            <v>#DIV/0!</v>
          </cell>
        </row>
        <row r="37">
          <cell r="B37">
            <v>2045</v>
          </cell>
          <cell r="C37">
            <v>0</v>
          </cell>
          <cell r="E37" t="e">
            <v>#DIV/0!</v>
          </cell>
          <cell r="G37" t="e">
            <v>#DIV/0!</v>
          </cell>
        </row>
        <row r="38">
          <cell r="B38">
            <v>2046</v>
          </cell>
          <cell r="C38">
            <v>0</v>
          </cell>
          <cell r="E38" t="e">
            <v>#DIV/0!</v>
          </cell>
          <cell r="G38" t="e">
            <v>#DIV/0!</v>
          </cell>
        </row>
        <row r="50">
          <cell r="G50">
            <v>31.631028395562545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2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</sheetNames>
    <sheetDataSet>
      <sheetData sheetId="0"/>
      <sheetData sheetId="1">
        <row r="13">
          <cell r="B13">
            <v>2021</v>
          </cell>
          <cell r="C13">
            <v>0</v>
          </cell>
          <cell r="E13">
            <v>18.597845248115053</v>
          </cell>
          <cell r="G13">
            <v>18.597845248115053</v>
          </cell>
        </row>
        <row r="14">
          <cell r="B14">
            <v>2022</v>
          </cell>
          <cell r="C14">
            <v>0</v>
          </cell>
          <cell r="E14">
            <v>19.632077482883851</v>
          </cell>
          <cell r="G14">
            <v>19.632077482883851</v>
          </cell>
        </row>
        <row r="15">
          <cell r="B15">
            <v>2023</v>
          </cell>
          <cell r="C15">
            <v>122.85098350109672</v>
          </cell>
          <cell r="E15">
            <v>-21.561141405992014</v>
          </cell>
          <cell r="G15">
            <v>26.048785659495863</v>
          </cell>
        </row>
        <row r="16">
          <cell r="B16">
            <v>2024</v>
          </cell>
          <cell r="C16">
            <v>125.40751097256046</v>
          </cell>
          <cell r="E16">
            <v>-21.559758494403905</v>
          </cell>
          <cell r="G16">
            <v>27.002620181003124</v>
          </cell>
        </row>
        <row r="17">
          <cell r="B17">
            <v>2025</v>
          </cell>
          <cell r="C17">
            <v>128.09923342938384</v>
          </cell>
          <cell r="E17">
            <v>-22.257583129072014</v>
          </cell>
          <cell r="G17">
            <v>27.386261689341055</v>
          </cell>
        </row>
        <row r="18">
          <cell r="B18">
            <v>2026</v>
          </cell>
          <cell r="C18">
            <v>130.93752318765195</v>
          </cell>
          <cell r="E18">
            <v>-22.123406377307507</v>
          </cell>
          <cell r="G18">
            <v>28.620395189768146</v>
          </cell>
        </row>
        <row r="19">
          <cell r="B19">
            <v>2027</v>
          </cell>
          <cell r="C19">
            <v>133.94266739641128</v>
          </cell>
          <cell r="E19">
            <v>-22.5269914052327</v>
          </cell>
          <cell r="G19">
            <v>29.381430033193233</v>
          </cell>
        </row>
        <row r="20">
          <cell r="B20">
            <v>2028</v>
          </cell>
          <cell r="C20">
            <v>137.0279311430717</v>
          </cell>
          <cell r="E20">
            <v>-22.288785478182124</v>
          </cell>
          <cell r="G20">
            <v>30.773445242061193</v>
          </cell>
        </row>
        <row r="21">
          <cell r="B21">
            <v>2029</v>
          </cell>
          <cell r="C21">
            <v>140.17861359499082</v>
          </cell>
          <cell r="E21">
            <v>-22.823228042554327</v>
          </cell>
          <cell r="G21">
            <v>31.501885026964892</v>
          </cell>
        </row>
        <row r="22">
          <cell r="B22">
            <v>2030</v>
          </cell>
          <cell r="C22">
            <v>143.39471475216857</v>
          </cell>
          <cell r="E22">
            <v>-23.265837412348656</v>
          </cell>
          <cell r="G22">
            <v>32.305650225487263</v>
          </cell>
        </row>
        <row r="23">
          <cell r="B23">
            <v>2031</v>
          </cell>
          <cell r="C23">
            <v>146.69093544724745</v>
          </cell>
          <cell r="E23">
            <v>-23.344222484772068</v>
          </cell>
          <cell r="G23">
            <v>33.504689414653562</v>
          </cell>
        </row>
        <row r="24">
          <cell r="B24">
            <v>2032</v>
          </cell>
          <cell r="C24">
            <v>150.05257484758499</v>
          </cell>
          <cell r="E24">
            <v>-23.596888097231808</v>
          </cell>
          <cell r="G24">
            <v>34.508961420526958</v>
          </cell>
        </row>
        <row r="25">
          <cell r="B25">
            <v>2033</v>
          </cell>
          <cell r="C25">
            <v>153.48977652770446</v>
          </cell>
          <cell r="E25">
            <v>2.6109162436988314</v>
          </cell>
          <cell r="G25">
            <v>62.094665233928161</v>
          </cell>
        </row>
        <row r="26">
          <cell r="B26">
            <v>2034</v>
          </cell>
          <cell r="C26">
            <v>157.01724132024825</v>
          </cell>
          <cell r="E26">
            <v>2.7860789429781123</v>
          </cell>
          <cell r="G26">
            <v>63.636869015931765</v>
          </cell>
        </row>
        <row r="27">
          <cell r="B27">
            <v>2035</v>
          </cell>
          <cell r="C27">
            <v>160.61012481805071</v>
          </cell>
          <cell r="E27">
            <v>3.5543746451170963</v>
          </cell>
          <cell r="G27">
            <v>65.797558302641804</v>
          </cell>
        </row>
        <row r="28">
          <cell r="B28">
            <v>2036</v>
          </cell>
          <cell r="C28">
            <v>164.29327142827756</v>
          </cell>
          <cell r="E28">
            <v>3.475312014812221</v>
          </cell>
          <cell r="G28">
            <v>67.095680516242425</v>
          </cell>
        </row>
        <row r="29">
          <cell r="B29">
            <v>2037</v>
          </cell>
          <cell r="C29">
            <v>168.06212389280955</v>
          </cell>
          <cell r="E29">
            <v>2.5020724204633931</v>
          </cell>
          <cell r="G29">
            <v>67.633219383859227</v>
          </cell>
        </row>
        <row r="30">
          <cell r="B30">
            <v>2038</v>
          </cell>
          <cell r="C30">
            <v>171.92123946976591</v>
          </cell>
          <cell r="E30">
            <v>2.4072340101258631</v>
          </cell>
          <cell r="G30">
            <v>69.033950694821797</v>
          </cell>
        </row>
        <row r="31">
          <cell r="B31">
            <v>2039</v>
          </cell>
          <cell r="C31">
            <v>175.87943865873203</v>
          </cell>
          <cell r="E31" t="e">
            <v>#DIV/0!</v>
          </cell>
          <cell r="G31" t="e">
            <v>#DIV/0!</v>
          </cell>
        </row>
        <row r="32">
          <cell r="B32">
            <v>2040</v>
          </cell>
          <cell r="C32">
            <v>179.92672489351108</v>
          </cell>
          <cell r="E32" t="e">
            <v>#VALUE!</v>
          </cell>
          <cell r="G32" t="e">
            <v>#VALUE!</v>
          </cell>
        </row>
        <row r="33">
          <cell r="B33">
            <v>2041</v>
          </cell>
          <cell r="C33">
            <v>184.06530329899945</v>
          </cell>
          <cell r="E33" t="e">
            <v>#VALUE!</v>
          </cell>
          <cell r="G33" t="e">
            <v>#VALUE!</v>
          </cell>
        </row>
        <row r="34">
          <cell r="B34">
            <v>2042</v>
          </cell>
          <cell r="C34">
            <v>188.30531744972035</v>
          </cell>
          <cell r="E34" t="e">
            <v>#VALUE!</v>
          </cell>
          <cell r="G34" t="e">
            <v>#VALUE!</v>
          </cell>
        </row>
        <row r="35">
          <cell r="B35">
            <v>2043</v>
          </cell>
          <cell r="C35">
            <v>192.81920811256913</v>
          </cell>
          <cell r="E35" t="e">
            <v>#VALUE!</v>
          </cell>
          <cell r="G35" t="e">
            <v>#VALUE!</v>
          </cell>
        </row>
        <row r="36">
          <cell r="B36">
            <v>2044</v>
          </cell>
          <cell r="C36">
            <v>0</v>
          </cell>
          <cell r="E36" t="e">
            <v>#DIV/0!</v>
          </cell>
          <cell r="G36" t="e">
            <v>#DIV/0!</v>
          </cell>
        </row>
        <row r="37">
          <cell r="B37">
            <v>2045</v>
          </cell>
          <cell r="C37">
            <v>0</v>
          </cell>
          <cell r="E37" t="e">
            <v>#DIV/0!</v>
          </cell>
          <cell r="G37" t="e">
            <v>#DIV/0!</v>
          </cell>
        </row>
        <row r="38">
          <cell r="B38">
            <v>2046</v>
          </cell>
          <cell r="C38">
            <v>0</v>
          </cell>
          <cell r="E38" t="e">
            <v>#DIV/0!</v>
          </cell>
          <cell r="G38" t="e">
            <v>#DIV/0!</v>
          </cell>
        </row>
        <row r="50">
          <cell r="G50">
            <v>31.758917085340887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2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</sheetNames>
    <sheetDataSet>
      <sheetData sheetId="0"/>
      <sheetData sheetId="1">
        <row r="13">
          <cell r="B13">
            <v>2021</v>
          </cell>
          <cell r="C13">
            <v>0</v>
          </cell>
          <cell r="D13">
            <v>0</v>
          </cell>
          <cell r="E13">
            <v>17.205838340269519</v>
          </cell>
          <cell r="F13">
            <v>0</v>
          </cell>
          <cell r="G13">
            <v>17.205838340269519</v>
          </cell>
          <cell r="H13">
            <v>0</v>
          </cell>
        </row>
        <row r="14">
          <cell r="B14">
            <v>2022</v>
          </cell>
          <cell r="C14">
            <v>0</v>
          </cell>
          <cell r="D14">
            <v>0</v>
          </cell>
          <cell r="E14">
            <v>17.07632097828553</v>
          </cell>
          <cell r="F14">
            <v>0</v>
          </cell>
          <cell r="G14">
            <v>17.07632097828553</v>
          </cell>
          <cell r="H14">
            <v>0</v>
          </cell>
        </row>
        <row r="15">
          <cell r="B15">
            <v>2023</v>
          </cell>
          <cell r="C15">
            <v>0</v>
          </cell>
          <cell r="D15">
            <v>0</v>
          </cell>
          <cell r="E15">
            <v>16.060396255294638</v>
          </cell>
          <cell r="F15">
            <v>0</v>
          </cell>
          <cell r="G15">
            <v>16.060396255294638</v>
          </cell>
          <cell r="H15">
            <v>0</v>
          </cell>
        </row>
        <row r="16">
          <cell r="B16">
            <v>2024</v>
          </cell>
          <cell r="C16">
            <v>32.76029022982484</v>
          </cell>
          <cell r="D16">
            <v>0</v>
          </cell>
          <cell r="E16">
            <v>2.9232206932109697</v>
          </cell>
          <cell r="F16">
            <v>0</v>
          </cell>
          <cell r="G16">
            <v>14.685980500864757</v>
          </cell>
          <cell r="H16">
            <v>0</v>
          </cell>
        </row>
        <row r="17">
          <cell r="B17">
            <v>2025</v>
          </cell>
          <cell r="C17">
            <v>33.447237502430795</v>
          </cell>
          <cell r="D17">
            <v>0</v>
          </cell>
          <cell r="E17">
            <v>3.7086587448453736</v>
          </cell>
          <cell r="F17">
            <v>0</v>
          </cell>
          <cell r="G17">
            <v>15.810926659472941</v>
          </cell>
          <cell r="H17">
            <v>0</v>
          </cell>
        </row>
        <row r="18">
          <cell r="B18">
            <v>2026</v>
          </cell>
          <cell r="C18">
            <v>34.21807639867076</v>
          </cell>
          <cell r="D18">
            <v>0</v>
          </cell>
          <cell r="E18">
            <v>3.9837273271414948</v>
          </cell>
          <cell r="F18">
            <v>0</v>
          </cell>
          <cell r="G18">
            <v>16.427126119091657</v>
          </cell>
          <cell r="H18">
            <v>0</v>
          </cell>
        </row>
        <row r="19">
          <cell r="B19">
            <v>2027</v>
          </cell>
          <cell r="C19">
            <v>35.039109455596119</v>
          </cell>
          <cell r="D19">
            <v>0</v>
          </cell>
          <cell r="E19">
            <v>4.6094694024568144</v>
          </cell>
          <cell r="F19">
            <v>0</v>
          </cell>
          <cell r="G19">
            <v>17.415466775941056</v>
          </cell>
          <cell r="H19">
            <v>0</v>
          </cell>
        </row>
        <row r="20">
          <cell r="B20">
            <v>2028</v>
          </cell>
          <cell r="C20">
            <v>35.913921970398683</v>
          </cell>
          <cell r="D20">
            <v>0</v>
          </cell>
          <cell r="E20">
            <v>7.4607650559747221</v>
          </cell>
          <cell r="F20">
            <v>0</v>
          </cell>
          <cell r="G20">
            <v>20.617011555001081</v>
          </cell>
          <cell r="H20">
            <v>0</v>
          </cell>
        </row>
        <row r="21">
          <cell r="B21">
            <v>2029</v>
          </cell>
          <cell r="C21">
            <v>36.777978593625804</v>
          </cell>
          <cell r="D21">
            <v>0</v>
          </cell>
          <cell r="E21">
            <v>8.6126207428143342</v>
          </cell>
          <cell r="F21">
            <v>0</v>
          </cell>
          <cell r="G21">
            <v>22.189565184212363</v>
          </cell>
          <cell r="H21">
            <v>0</v>
          </cell>
        </row>
        <row r="22">
          <cell r="B22">
            <v>2030</v>
          </cell>
          <cell r="C22">
            <v>37.66354700000381</v>
          </cell>
          <cell r="D22">
            <v>0</v>
          </cell>
          <cell r="E22">
            <v>6.746149729214717</v>
          </cell>
          <cell r="F22">
            <v>0</v>
          </cell>
          <cell r="G22">
            <v>20.719878888688669</v>
          </cell>
          <cell r="H22">
            <v>0</v>
          </cell>
        </row>
        <row r="23">
          <cell r="B23">
            <v>2031</v>
          </cell>
          <cell r="C23">
            <v>38.491750651312792</v>
          </cell>
          <cell r="D23">
            <v>0</v>
          </cell>
          <cell r="E23">
            <v>7.8992049307760173</v>
          </cell>
          <cell r="F23">
            <v>0</v>
          </cell>
          <cell r="G23">
            <v>22.251973785691952</v>
          </cell>
          <cell r="H23">
            <v>0</v>
          </cell>
        </row>
        <row r="24">
          <cell r="B24">
            <v>2032</v>
          </cell>
          <cell r="C24">
            <v>39.341466085772666</v>
          </cell>
          <cell r="D24">
            <v>0</v>
          </cell>
          <cell r="E24">
            <v>8.0404720688825986</v>
          </cell>
          <cell r="F24">
            <v>0</v>
          </cell>
          <cell r="G24">
            <v>22.744197438068596</v>
          </cell>
          <cell r="H24">
            <v>0</v>
          </cell>
        </row>
        <row r="25">
          <cell r="B25">
            <v>2033</v>
          </cell>
          <cell r="C25">
            <v>40.169669737081641</v>
          </cell>
          <cell r="D25">
            <v>0</v>
          </cell>
          <cell r="E25">
            <v>8.0126143096809646</v>
          </cell>
          <cell r="F25">
            <v>0</v>
          </cell>
          <cell r="G25">
            <v>23.141959161421617</v>
          </cell>
          <cell r="H25">
            <v>0</v>
          </cell>
        </row>
        <row r="26">
          <cell r="B26">
            <v>2034</v>
          </cell>
          <cell r="C26">
            <v>41.012214577157884</v>
          </cell>
          <cell r="D26">
            <v>0</v>
          </cell>
          <cell r="E26">
            <v>8.8011355122560175</v>
          </cell>
          <cell r="F26">
            <v>0</v>
          </cell>
          <cell r="G26">
            <v>24.325434604619097</v>
          </cell>
          <cell r="H26">
            <v>0</v>
          </cell>
        </row>
        <row r="27">
          <cell r="B27">
            <v>2035</v>
          </cell>
          <cell r="C27">
            <v>41.872685903193194</v>
          </cell>
          <cell r="D27">
            <v>0</v>
          </cell>
          <cell r="E27">
            <v>9.1163238010647056</v>
          </cell>
          <cell r="F27">
            <v>0</v>
          </cell>
          <cell r="G27">
            <v>25.045984357751507</v>
          </cell>
          <cell r="H27">
            <v>0</v>
          </cell>
        </row>
        <row r="28">
          <cell r="B28">
            <v>2036</v>
          </cell>
          <cell r="C28">
            <v>42.751083715187576</v>
          </cell>
          <cell r="D28">
            <v>0</v>
          </cell>
          <cell r="E28">
            <v>11.300194954215231</v>
          </cell>
          <cell r="F28">
            <v>0</v>
          </cell>
          <cell r="G28">
            <v>27.601848020007527</v>
          </cell>
          <cell r="H28">
            <v>0</v>
          </cell>
        </row>
        <row r="29">
          <cell r="B29">
            <v>2037</v>
          </cell>
          <cell r="C29">
            <v>43.647408013141018</v>
          </cell>
          <cell r="D29">
            <v>0</v>
          </cell>
          <cell r="E29">
            <v>11.301460134652768</v>
          </cell>
          <cell r="F29">
            <v>0</v>
          </cell>
          <cell r="G29">
            <v>28.073581649917159</v>
          </cell>
          <cell r="H29">
            <v>0</v>
          </cell>
        </row>
        <row r="30">
          <cell r="B30">
            <v>2038</v>
          </cell>
          <cell r="C30">
            <v>44.561658797053532</v>
          </cell>
          <cell r="D30">
            <v>0</v>
          </cell>
          <cell r="E30">
            <v>13.592437911231919</v>
          </cell>
          <cell r="F30">
            <v>0</v>
          </cell>
          <cell r="G30">
            <v>30.801920332458884</v>
          </cell>
          <cell r="H30">
            <v>0</v>
          </cell>
        </row>
        <row r="31">
          <cell r="B31">
            <v>2039</v>
          </cell>
          <cell r="C31">
            <v>45.497421364116931</v>
          </cell>
          <cell r="D31">
            <v>0</v>
          </cell>
          <cell r="E31" t="e">
            <v>#DIV/0!</v>
          </cell>
          <cell r="F31">
            <v>0</v>
          </cell>
          <cell r="G31" t="e">
            <v>#DIV/0!</v>
          </cell>
          <cell r="H31">
            <v>0</v>
          </cell>
        </row>
        <row r="32">
          <cell r="B32">
            <v>2040</v>
          </cell>
          <cell r="C32">
            <v>46.451110417139397</v>
          </cell>
          <cell r="D32">
            <v>0</v>
          </cell>
          <cell r="E32" t="e">
            <v>#VALUE!</v>
          </cell>
          <cell r="F32">
            <v>0</v>
          </cell>
          <cell r="G32" t="e">
            <v>#VALUE!</v>
          </cell>
          <cell r="H32">
            <v>0</v>
          </cell>
        </row>
        <row r="33">
          <cell r="B33">
            <v>2041</v>
          </cell>
          <cell r="C33">
            <v>47.422725956120928</v>
          </cell>
          <cell r="D33">
            <v>0</v>
          </cell>
          <cell r="E33" t="e">
            <v>#VALUE!</v>
          </cell>
          <cell r="F33">
            <v>0</v>
          </cell>
          <cell r="G33" t="e">
            <v>#VALUE!</v>
          </cell>
          <cell r="H33">
            <v>0</v>
          </cell>
        </row>
        <row r="34">
          <cell r="B34">
            <v>2042</v>
          </cell>
          <cell r="C34">
            <v>48.41943857544517</v>
          </cell>
          <cell r="D34">
            <v>0</v>
          </cell>
          <cell r="E34" t="e">
            <v>#VALUE!</v>
          </cell>
          <cell r="F34">
            <v>0</v>
          </cell>
          <cell r="G34" t="e">
            <v>#VALUE!</v>
          </cell>
          <cell r="H34">
            <v>0</v>
          </cell>
        </row>
        <row r="35">
          <cell r="B35">
            <v>2043</v>
          </cell>
          <cell r="C35">
            <v>49.437662977920283</v>
          </cell>
          <cell r="D35">
            <v>0</v>
          </cell>
          <cell r="E35" t="e">
            <v>#VALUE!</v>
          </cell>
          <cell r="F35">
            <v>0</v>
          </cell>
          <cell r="G35" t="e">
            <v>#VALUE!</v>
          </cell>
          <cell r="H35">
            <v>0</v>
          </cell>
        </row>
        <row r="36">
          <cell r="B36">
            <v>2044</v>
          </cell>
          <cell r="C36">
            <v>0</v>
          </cell>
          <cell r="D36">
            <v>0</v>
          </cell>
          <cell r="E36" t="e">
            <v>#DIV/0!</v>
          </cell>
          <cell r="F36">
            <v>0</v>
          </cell>
          <cell r="G36" t="e">
            <v>#DIV/0!</v>
          </cell>
          <cell r="H36">
            <v>0</v>
          </cell>
        </row>
        <row r="37">
          <cell r="B37">
            <v>2045</v>
          </cell>
          <cell r="C37">
            <v>0</v>
          </cell>
          <cell r="D37">
            <v>0</v>
          </cell>
          <cell r="E37" t="e">
            <v>#DIV/0!</v>
          </cell>
          <cell r="F37">
            <v>0</v>
          </cell>
          <cell r="G37" t="e">
            <v>#DIV/0!</v>
          </cell>
          <cell r="H37">
            <v>0</v>
          </cell>
        </row>
        <row r="38">
          <cell r="B38">
            <v>2046</v>
          </cell>
          <cell r="C38">
            <v>0</v>
          </cell>
          <cell r="D38">
            <v>0</v>
          </cell>
          <cell r="E38" t="e">
            <v>#DIV/0!</v>
          </cell>
          <cell r="F38">
            <v>0</v>
          </cell>
          <cell r="G38" t="e">
            <v>#DIV/0!</v>
          </cell>
          <cell r="H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50">
          <cell r="G50">
            <v>18.790676521690713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</sheetNames>
    <sheetDataSet>
      <sheetData sheetId="0"/>
      <sheetData sheetId="1">
        <row r="13">
          <cell r="B13">
            <v>2021</v>
          </cell>
          <cell r="C13">
            <v>0</v>
          </cell>
          <cell r="D13">
            <v>0</v>
          </cell>
          <cell r="E13">
            <v>17.532661278055567</v>
          </cell>
          <cell r="F13">
            <v>0</v>
          </cell>
          <cell r="G13">
            <v>17.532661278055567</v>
          </cell>
        </row>
        <row r="14">
          <cell r="B14">
            <v>2022</v>
          </cell>
          <cell r="C14">
            <v>0</v>
          </cell>
          <cell r="D14">
            <v>0</v>
          </cell>
          <cell r="E14">
            <v>17.955458546283424</v>
          </cell>
          <cell r="F14">
            <v>0</v>
          </cell>
          <cell r="G14">
            <v>17.955458546283424</v>
          </cell>
        </row>
        <row r="15">
          <cell r="B15">
            <v>2023</v>
          </cell>
          <cell r="C15">
            <v>122.85098350109672</v>
          </cell>
          <cell r="D15">
            <v>0</v>
          </cell>
          <cell r="E15">
            <v>-22.332021000966456</v>
          </cell>
          <cell r="F15">
            <v>0</v>
          </cell>
          <cell r="G15">
            <v>25.279776592998939</v>
          </cell>
        </row>
        <row r="16">
          <cell r="B16">
            <v>2024</v>
          </cell>
          <cell r="C16">
            <v>125.40751097256046</v>
          </cell>
          <cell r="D16">
            <v>0</v>
          </cell>
          <cell r="E16">
            <v>-22.230186330443722</v>
          </cell>
          <cell r="F16">
            <v>0</v>
          </cell>
          <cell r="G16">
            <v>26.33411054405024</v>
          </cell>
        </row>
        <row r="17">
          <cell r="B17">
            <v>2025</v>
          </cell>
          <cell r="C17">
            <v>128.09923342938384</v>
          </cell>
          <cell r="D17">
            <v>0</v>
          </cell>
          <cell r="E17">
            <v>-23.094877680104066</v>
          </cell>
          <cell r="F17">
            <v>0</v>
          </cell>
          <cell r="G17">
            <v>26.550917576614413</v>
          </cell>
        </row>
        <row r="18">
          <cell r="B18">
            <v>2026</v>
          </cell>
          <cell r="C18">
            <v>131.0389589328845</v>
          </cell>
          <cell r="D18">
            <v>0</v>
          </cell>
          <cell r="E18">
            <v>-23.084255296971769</v>
          </cell>
          <cell r="F18">
            <v>0</v>
          </cell>
          <cell r="G18">
            <v>27.700852089496511</v>
          </cell>
        </row>
        <row r="19">
          <cell r="B19">
            <v>2027</v>
          </cell>
          <cell r="C19">
            <v>134.13539531235318</v>
          </cell>
          <cell r="D19">
            <v>0</v>
          </cell>
          <cell r="E19">
            <v>-23.782717047080308</v>
          </cell>
          <cell r="F19">
            <v>0</v>
          </cell>
          <cell r="G19">
            <v>28.202436915820446</v>
          </cell>
        </row>
        <row r="20">
          <cell r="B20">
            <v>2028</v>
          </cell>
          <cell r="C20">
            <v>137.41338697495542</v>
          </cell>
          <cell r="D20">
            <v>0</v>
          </cell>
          <cell r="E20">
            <v>-24.122640330174693</v>
          </cell>
          <cell r="F20">
            <v>0</v>
          </cell>
          <cell r="G20">
            <v>29.090954835122965</v>
          </cell>
        </row>
        <row r="21">
          <cell r="B21">
            <v>2029</v>
          </cell>
          <cell r="C21">
            <v>140.66550517210709</v>
          </cell>
          <cell r="D21">
            <v>0</v>
          </cell>
          <cell r="E21">
            <v>-24.751560933481795</v>
          </cell>
          <cell r="F21">
            <v>0</v>
          </cell>
          <cell r="G21">
            <v>29.764384888372096</v>
          </cell>
        </row>
        <row r="22">
          <cell r="B22">
            <v>2030</v>
          </cell>
          <cell r="C22">
            <v>143.99318564904067</v>
          </cell>
          <cell r="D22">
            <v>0</v>
          </cell>
          <cell r="E22">
            <v>-25.611913174539222</v>
          </cell>
          <cell r="F22">
            <v>0</v>
          </cell>
          <cell r="G22">
            <v>30.19369956580325</v>
          </cell>
        </row>
        <row r="23">
          <cell r="B23">
            <v>2031</v>
          </cell>
          <cell r="C23">
            <v>147.19811417341026</v>
          </cell>
          <cell r="D23">
            <v>0</v>
          </cell>
          <cell r="E23">
            <v>-25.315228196467856</v>
          </cell>
          <cell r="F23">
            <v>0</v>
          </cell>
          <cell r="G23">
            <v>31.732478044933544</v>
          </cell>
        </row>
        <row r="24">
          <cell r="B24">
            <v>2032</v>
          </cell>
          <cell r="C24">
            <v>150.46846140303848</v>
          </cell>
          <cell r="D24">
            <v>0</v>
          </cell>
          <cell r="E24">
            <v>-25.790872682117502</v>
          </cell>
          <cell r="F24">
            <v>0</v>
          </cell>
          <cell r="G24">
            <v>32.478324857608634</v>
          </cell>
        </row>
        <row r="25">
          <cell r="B25">
            <v>2033</v>
          </cell>
          <cell r="C25">
            <v>153.70279159269279</v>
          </cell>
          <cell r="D25">
            <v>0</v>
          </cell>
          <cell r="E25">
            <v>-0.24743079332818232</v>
          </cell>
          <cell r="F25">
            <v>0</v>
          </cell>
          <cell r="G25">
            <v>59.321210778624753</v>
          </cell>
        </row>
        <row r="26">
          <cell r="B26">
            <v>2034</v>
          </cell>
          <cell r="C26">
            <v>157.00709774572496</v>
          </cell>
          <cell r="D26">
            <v>0</v>
          </cell>
          <cell r="E26">
            <v>-0.31998557365017943</v>
          </cell>
          <cell r="F26">
            <v>0</v>
          </cell>
          <cell r="G26">
            <v>60.529264026526292</v>
          </cell>
        </row>
        <row r="27">
          <cell r="B27">
            <v>2035</v>
          </cell>
          <cell r="C27">
            <v>160.37682260401584</v>
          </cell>
          <cell r="D27">
            <v>0</v>
          </cell>
          <cell r="E27">
            <v>-0.34148063259320949</v>
          </cell>
          <cell r="F27">
            <v>0</v>
          </cell>
          <cell r="G27">
            <v>61.813730493718424</v>
          </cell>
        </row>
        <row r="28">
          <cell r="B28">
            <v>2036</v>
          </cell>
          <cell r="C28">
            <v>163.82666700020781</v>
          </cell>
          <cell r="D28">
            <v>0</v>
          </cell>
          <cell r="E28">
            <v>-0.39558205824148907</v>
          </cell>
          <cell r="F28">
            <v>0</v>
          </cell>
          <cell r="G28">
            <v>63.046605977033202</v>
          </cell>
        </row>
        <row r="29">
          <cell r="B29">
            <v>2037</v>
          </cell>
          <cell r="C29">
            <v>167.34193010165839</v>
          </cell>
          <cell r="D29">
            <v>0</v>
          </cell>
          <cell r="E29">
            <v>-0.452832449877413</v>
          </cell>
          <cell r="F29">
            <v>0</v>
          </cell>
          <cell r="G29">
            <v>64.401757052961472</v>
          </cell>
        </row>
        <row r="30">
          <cell r="B30">
            <v>2038</v>
          </cell>
          <cell r="C30">
            <v>170.93731274101012</v>
          </cell>
          <cell r="D30">
            <v>0</v>
          </cell>
          <cell r="E30">
            <v>-0.42606329051614084</v>
          </cell>
          <cell r="F30">
            <v>0</v>
          </cell>
          <cell r="G30">
            <v>65.821943062714894</v>
          </cell>
        </row>
        <row r="31">
          <cell r="B31">
            <v>2039</v>
          </cell>
          <cell r="C31">
            <v>174.52019967261572</v>
          </cell>
          <cell r="D31">
            <v>0</v>
          </cell>
          <cell r="E31" t="e">
            <v>#DIV/0!</v>
          </cell>
          <cell r="F31">
            <v>0</v>
          </cell>
          <cell r="G31" t="e">
            <v>#DIV/0!</v>
          </cell>
        </row>
        <row r="32">
          <cell r="B32">
            <v>2040</v>
          </cell>
          <cell r="C32">
            <v>178.18203007551108</v>
          </cell>
          <cell r="D32">
            <v>0</v>
          </cell>
          <cell r="E32" t="e">
            <v>#VALUE!</v>
          </cell>
          <cell r="F32">
            <v>0</v>
          </cell>
          <cell r="G32" t="e">
            <v>#VALUE!</v>
          </cell>
        </row>
        <row r="33">
          <cell r="B33">
            <v>2041</v>
          </cell>
          <cell r="C33">
            <v>181.9148655000692</v>
          </cell>
          <cell r="D33">
            <v>0</v>
          </cell>
          <cell r="E33" t="e">
            <v>#VALUE!</v>
          </cell>
          <cell r="F33">
            <v>0</v>
          </cell>
          <cell r="G33" t="e">
            <v>#VALUE!</v>
          </cell>
        </row>
        <row r="34">
          <cell r="B34">
            <v>2042</v>
          </cell>
          <cell r="C34">
            <v>185.73899309533664</v>
          </cell>
          <cell r="D34">
            <v>0</v>
          </cell>
          <cell r="E34" t="e">
            <v>#VALUE!</v>
          </cell>
          <cell r="F34">
            <v>0</v>
          </cell>
          <cell r="G34" t="e">
            <v>#VALUE!</v>
          </cell>
        </row>
        <row r="35">
          <cell r="B35">
            <v>2043</v>
          </cell>
          <cell r="C35">
            <v>189.63412571226689</v>
          </cell>
          <cell r="D35">
            <v>0</v>
          </cell>
          <cell r="E35" t="e">
            <v>#VALUE!</v>
          </cell>
          <cell r="F35">
            <v>0</v>
          </cell>
          <cell r="G35" t="e">
            <v>#VALUE!</v>
          </cell>
        </row>
        <row r="36">
          <cell r="B36">
            <v>2044</v>
          </cell>
          <cell r="C36">
            <v>0</v>
          </cell>
          <cell r="D36">
            <v>0</v>
          </cell>
          <cell r="E36" t="e">
            <v>#DIV/0!</v>
          </cell>
          <cell r="F36">
            <v>0</v>
          </cell>
          <cell r="G36" t="e">
            <v>#DIV/0!</v>
          </cell>
        </row>
        <row r="37">
          <cell r="B37">
            <v>2045</v>
          </cell>
          <cell r="C37">
            <v>0</v>
          </cell>
          <cell r="D37">
            <v>0</v>
          </cell>
          <cell r="E37" t="e">
            <v>#DIV/0!</v>
          </cell>
          <cell r="F37">
            <v>0</v>
          </cell>
          <cell r="G37" t="e">
            <v>#DIV/0!</v>
          </cell>
        </row>
        <row r="38">
          <cell r="B38">
            <v>2046</v>
          </cell>
          <cell r="C38">
            <v>0</v>
          </cell>
          <cell r="D38">
            <v>0</v>
          </cell>
          <cell r="E38" t="e">
            <v>#DIV/0!</v>
          </cell>
          <cell r="F38">
            <v>0</v>
          </cell>
          <cell r="G38" t="e">
            <v>#DIV/0!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50">
          <cell r="G50">
            <v>30.22190841165451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3 TransCost"/>
      <sheetName val="Table 3 PV wS UTS_2024"/>
      <sheetName val="Table 3 PV wS UTS_2030"/>
      <sheetName val="Table 3 PV wS UTN_2024"/>
      <sheetName val="Table 3 PV wS JB_2024"/>
      <sheetName val="Table 3 PV wS JB_2029"/>
      <sheetName val="Table 3 PV wS SO_2024"/>
      <sheetName val="Table 3 PV wS YK_2024"/>
      <sheetName val="Table 5"/>
      <sheetName val="Table 3 UT CP Wind_2023"/>
      <sheetName val="Table 3 WYAE Wind_2024"/>
      <sheetName val="Table 3 185 MW (NTN) 2026)"/>
      <sheetName val="Table 3 YK Wind wS_2029"/>
      <sheetName val="Table 3 ID Wind_2030"/>
      <sheetName val="Table 3 ID Wind wS_2032"/>
    </sheetNames>
    <sheetDataSet>
      <sheetData sheetId="0" refreshError="1"/>
      <sheetData sheetId="1">
        <row r="13">
          <cell r="B13">
            <v>2020</v>
          </cell>
        </row>
        <row r="39">
          <cell r="I39">
            <v>6.9199999999999998E-2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6">
          <cell r="M6">
            <v>100</v>
          </cell>
        </row>
        <row r="7">
          <cell r="M7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 5"/>
      <sheetName val="Table3ACsummary"/>
      <sheetName val="Table 3 TransCost"/>
      <sheetName val="Table 3 UT CP Wind_2023"/>
      <sheetName val="Table 3 WYAE Wind_2024"/>
      <sheetName val="Table 3 PV wS UTS_2024"/>
      <sheetName val="Table 3 PV wS UTS_2030"/>
      <sheetName val="Table 3 PV wS UTN_2024"/>
      <sheetName val="Table 3 PV wS JB_2024"/>
      <sheetName val="Table 3 PV wS JB_2029"/>
      <sheetName val="Table 3 PV wS SO_2024"/>
      <sheetName val="Table 3 PV wS YK_2024"/>
      <sheetName val="Table 3 185 MW (NTN) 2026)"/>
      <sheetName val="Table 3 YK Wind wS_2029"/>
      <sheetName val="Table 3 ID Wind_2030"/>
      <sheetName val="Table 3 ID Wind wS_2032"/>
    </sheetNames>
    <sheetDataSet>
      <sheetData sheetId="0" refreshError="1"/>
      <sheetData sheetId="1">
        <row r="39">
          <cell r="I39">
            <v>6.9199999999999998E-2</v>
          </cell>
        </row>
      </sheetData>
      <sheetData sheetId="2" refreshError="1"/>
      <sheetData sheetId="3">
        <row r="5">
          <cell r="H5">
            <v>43738</v>
          </cell>
        </row>
      </sheetData>
      <sheetData sheetId="4">
        <row r="6">
          <cell r="M6">
            <v>69.2</v>
          </cell>
        </row>
      </sheetData>
      <sheetData sheetId="5" refreshError="1"/>
      <sheetData sheetId="6">
        <row r="4">
          <cell r="B4" t="str">
            <v>Aeolus_Wyoming - to - Utah S, Expansion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tPPA_2015"/>
      <sheetName val="Scenario Desc"/>
      <sheetName val="Exhibit 1- Std Base Load"/>
      <sheetName val="Exhibit 2- Std Wind "/>
      <sheetName val="Exhibit 3- Std FixedSolar"/>
      <sheetName val="Exhibit 4- Std TrackingSolar"/>
      <sheetName val="Exhibit 5 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 7 to 8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/>
      <sheetData sheetId="1">
        <row r="6">
          <cell r="B6">
            <v>2.2999999999999998</v>
          </cell>
        </row>
      </sheetData>
      <sheetData sheetId="2"/>
      <sheetData sheetId="3">
        <row r="45">
          <cell r="L45">
            <v>3.06</v>
          </cell>
        </row>
      </sheetData>
      <sheetData sheetId="4">
        <row r="53">
          <cell r="G53">
            <v>0.32200000000000001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3">
          <cell r="AE43">
            <v>6.6600000000000006E-2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8">
          <cell r="J8">
            <v>42370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GridLines="0" tabSelected="1" view="pageBreakPreview" zoomScale="80" zoomScaleNormal="80" zoomScaleSheetLayoutView="80" workbookViewId="0">
      <selection activeCell="B15" sqref="B15"/>
    </sheetView>
  </sheetViews>
  <sheetFormatPr defaultColWidth="9.33203125" defaultRowHeight="12.75"/>
  <cols>
    <col min="1" max="1" width="14" style="53" customWidth="1"/>
    <col min="2" max="2" width="11.6640625" style="53" customWidth="1"/>
    <col min="3" max="11" width="17.5" style="53" customWidth="1"/>
    <col min="12" max="13" width="9.33203125" style="53" customWidth="1"/>
    <col min="14" max="14" width="10.5" style="53" bestFit="1" customWidth="1"/>
    <col min="15" max="16384" width="9.33203125" style="53"/>
  </cols>
  <sheetData>
    <row r="1" spans="2:12" ht="15.75">
      <c r="B1" s="378" t="s">
        <v>248</v>
      </c>
      <c r="C1" s="379"/>
      <c r="D1" s="379"/>
      <c r="E1" s="379"/>
      <c r="F1" s="379"/>
      <c r="G1" s="379"/>
      <c r="H1" s="379"/>
      <c r="I1" s="380"/>
      <c r="J1" s="380"/>
      <c r="K1" s="380"/>
    </row>
    <row r="2" spans="2:12" ht="5.25" customHeight="1">
      <c r="B2" s="378"/>
      <c r="C2" s="379"/>
      <c r="D2" s="379"/>
      <c r="E2" s="379"/>
      <c r="F2" s="379"/>
      <c r="G2" s="379"/>
      <c r="H2" s="379"/>
      <c r="I2" s="380"/>
      <c r="J2" s="380"/>
      <c r="K2" s="380"/>
    </row>
    <row r="3" spans="2:12" ht="15.75">
      <c r="B3" s="381" t="s">
        <v>233</v>
      </c>
      <c r="C3" s="381"/>
      <c r="D3" s="381"/>
      <c r="E3" s="381"/>
      <c r="F3" s="381"/>
      <c r="G3" s="381"/>
      <c r="H3" s="381"/>
      <c r="I3" s="378"/>
      <c r="J3" s="378"/>
      <c r="K3" s="378"/>
    </row>
    <row r="4" spans="2:12" ht="15.75">
      <c r="B4" s="382" t="s">
        <v>234</v>
      </c>
      <c r="C4" s="381"/>
      <c r="D4" s="381"/>
      <c r="E4" s="381"/>
      <c r="F4" s="381"/>
      <c r="G4" s="381"/>
      <c r="H4" s="381"/>
      <c r="I4" s="378"/>
      <c r="J4" s="378"/>
      <c r="K4" s="378"/>
    </row>
    <row r="5" spans="2:12" ht="25.5" customHeight="1">
      <c r="C5" s="383" t="s">
        <v>235</v>
      </c>
      <c r="D5" s="383" t="s">
        <v>236</v>
      </c>
      <c r="E5" s="384" t="s">
        <v>237</v>
      </c>
      <c r="F5" s="383" t="s">
        <v>235</v>
      </c>
      <c r="G5" s="383" t="s">
        <v>236</v>
      </c>
      <c r="H5" s="384" t="s">
        <v>237</v>
      </c>
      <c r="I5" s="383" t="str">
        <f>C5</f>
        <v>Thermal</v>
      </c>
      <c r="J5" s="383" t="str">
        <f>D5</f>
        <v>Solar Tracking</v>
      </c>
      <c r="K5" s="384" t="str">
        <f>E5</f>
        <v>Wind (Defers UT W)</v>
      </c>
    </row>
    <row r="6" spans="2:12">
      <c r="B6" s="383" t="s">
        <v>0</v>
      </c>
      <c r="C6" s="385" t="s">
        <v>238</v>
      </c>
      <c r="D6" s="385" t="s">
        <v>238</v>
      </c>
      <c r="E6" s="385" t="s">
        <v>238</v>
      </c>
      <c r="F6" s="385" t="s">
        <v>239</v>
      </c>
      <c r="G6" s="385" t="s">
        <v>239</v>
      </c>
      <c r="H6" s="385" t="s">
        <v>239</v>
      </c>
      <c r="I6" s="386"/>
      <c r="J6" s="386"/>
      <c r="K6" s="386"/>
      <c r="L6" s="387"/>
    </row>
    <row r="7" spans="2:12">
      <c r="B7" s="383"/>
      <c r="C7" s="388" t="s">
        <v>240</v>
      </c>
      <c r="D7" s="388" t="s">
        <v>241</v>
      </c>
      <c r="E7" s="388" t="s">
        <v>242</v>
      </c>
      <c r="F7" s="388" t="s">
        <v>240</v>
      </c>
      <c r="G7" s="388" t="s">
        <v>241</v>
      </c>
      <c r="H7" s="388" t="s">
        <v>242</v>
      </c>
      <c r="I7" s="383" t="s">
        <v>243</v>
      </c>
      <c r="J7" s="383" t="s">
        <v>243</v>
      </c>
      <c r="K7" s="383" t="s">
        <v>243</v>
      </c>
    </row>
    <row r="8" spans="2:12" hidden="1">
      <c r="B8" s="389"/>
      <c r="C8" s="390"/>
      <c r="D8" s="390"/>
      <c r="E8" s="390"/>
      <c r="F8" s="390"/>
      <c r="G8" s="390"/>
      <c r="H8" s="390"/>
      <c r="I8" s="390"/>
      <c r="J8" s="390"/>
      <c r="K8" s="391"/>
      <c r="L8" s="392"/>
    </row>
    <row r="9" spans="2:12">
      <c r="B9" s="389">
        <f>'[13]Table 1'!B13</f>
        <v>2021</v>
      </c>
      <c r="C9" s="390">
        <f>VLOOKUP($B9,'[14]Table 1'!$B$13:$G$40,6,FALSE)</f>
        <v>20.32567169349986</v>
      </c>
      <c r="D9" s="390">
        <f ca="1">VLOOKUP($B9,'Table 1'!$B$13:$G$39,6,FALSE)</f>
        <v>16.87226312752971</v>
      </c>
      <c r="E9" s="390">
        <f>VLOOKUP($B9,'[15]Table 1'!$B$13:$G$39,6,FALSE)</f>
        <v>18.597845248115053</v>
      </c>
      <c r="F9" s="390">
        <f>VLOOKUP($B9,'[13]Table 1'!$B$13:$G$38,6,FALSE)</f>
        <v>20.688577543059612</v>
      </c>
      <c r="G9" s="390">
        <f>VLOOKUP($B9,'[16]Table 1'!$B$13:$H$39,6,FALSE)</f>
        <v>17.205838340269519</v>
      </c>
      <c r="H9" s="390">
        <f>VLOOKUP($B9,'[17]Table 1'!$B$13:$G$39,6,FALSE)</f>
        <v>17.532661278055567</v>
      </c>
      <c r="I9" s="390">
        <f t="shared" ref="I9:K23" si="0">C9-F9</f>
        <v>-0.36290584955975191</v>
      </c>
      <c r="J9" s="390">
        <f t="shared" ca="1" si="0"/>
        <v>-0.3335752127398095</v>
      </c>
      <c r="K9" s="391">
        <f t="shared" si="0"/>
        <v>1.0651839700594863</v>
      </c>
      <c r="L9" s="392"/>
    </row>
    <row r="10" spans="2:12">
      <c r="B10" s="393">
        <f>B9+1</f>
        <v>2022</v>
      </c>
      <c r="C10" s="394">
        <f>VLOOKUP($B10,'[14]Table 1'!$B$13:$G$40,6,FALSE)</f>
        <v>21.18341598743697</v>
      </c>
      <c r="D10" s="394">
        <f ca="1">VLOOKUP($B10,'Table 1'!$B$13:$G$39,6,FALSE)</f>
        <v>17.447416560191382</v>
      </c>
      <c r="E10" s="394">
        <f>VLOOKUP($B10,'[15]Table 1'!$B$13:$G$39,6,FALSE)</f>
        <v>19.632077482883851</v>
      </c>
      <c r="F10" s="394">
        <f>VLOOKUP($B10,'[13]Table 1'!$B$13:$G$38,6,FALSE)</f>
        <v>20.404122613211115</v>
      </c>
      <c r="G10" s="394">
        <f>VLOOKUP($B10,'[16]Table 1'!$B$13:$H$39,6,FALSE)</f>
        <v>17.07632097828553</v>
      </c>
      <c r="H10" s="394">
        <f>VLOOKUP($B10,'[17]Table 1'!$B$13:$G$39,6,FALSE)</f>
        <v>17.955458546283424</v>
      </c>
      <c r="I10" s="394">
        <f t="shared" si="0"/>
        <v>0.77929337422585476</v>
      </c>
      <c r="J10" s="394">
        <f t="shared" ca="1" si="0"/>
        <v>0.3710955819058519</v>
      </c>
      <c r="K10" s="395">
        <f t="shared" si="0"/>
        <v>1.6766189366004269</v>
      </c>
      <c r="L10" s="392"/>
    </row>
    <row r="11" spans="2:12">
      <c r="B11" s="393">
        <f t="shared" ref="B11:B23" si="1">B10+1</f>
        <v>2023</v>
      </c>
      <c r="C11" s="394">
        <f>VLOOKUP($B11,'[14]Table 1'!$B$13:$G$40,6,FALSE)</f>
        <v>20.145294409367029</v>
      </c>
      <c r="D11" s="394">
        <f ca="1">VLOOKUP($B11,'Table 1'!$B$13:$G$39,6,FALSE)</f>
        <v>16.676787043388639</v>
      </c>
      <c r="E11" s="394">
        <f>VLOOKUP($B11,'[15]Table 1'!$B$13:$G$39,6,FALSE)</f>
        <v>26.048785659495863</v>
      </c>
      <c r="F11" s="394">
        <f>VLOOKUP($B11,'[13]Table 1'!$B$13:$G$38,6,FALSE)</f>
        <v>19.585938357845407</v>
      </c>
      <c r="G11" s="394">
        <f>VLOOKUP($B11,'[16]Table 1'!$B$13:$H$39,6,FALSE)</f>
        <v>16.060396255294638</v>
      </c>
      <c r="H11" s="394">
        <f>VLOOKUP($B11,'[17]Table 1'!$B$13:$G$39,6,FALSE)</f>
        <v>25.279776592998939</v>
      </c>
      <c r="I11" s="394">
        <f t="shared" si="0"/>
        <v>0.55935605152162182</v>
      </c>
      <c r="J11" s="394">
        <f t="shared" ca="1" si="0"/>
        <v>0.61639078809400161</v>
      </c>
      <c r="K11" s="395">
        <f t="shared" si="0"/>
        <v>0.76900906649692402</v>
      </c>
      <c r="L11" s="392"/>
    </row>
    <row r="12" spans="2:12">
      <c r="B12" s="393">
        <f t="shared" si="1"/>
        <v>2024</v>
      </c>
      <c r="C12" s="394">
        <f>VLOOKUP($B12,'[14]Table 1'!$B$13:$G$40,6,FALSE)</f>
        <v>17.273119242281751</v>
      </c>
      <c r="D12" s="394">
        <f ca="1">VLOOKUP($B12,'Table 1'!$B$13:$G$39,6,FALSE)</f>
        <v>15.770914205393098</v>
      </c>
      <c r="E12" s="394">
        <f>VLOOKUP($B12,'[15]Table 1'!$B$13:$G$39,6,FALSE)</f>
        <v>27.002620181003124</v>
      </c>
      <c r="F12" s="394">
        <f>VLOOKUP($B12,'[13]Table 1'!$B$13:$G$38,6,FALSE)</f>
        <v>15.824972804120923</v>
      </c>
      <c r="G12" s="394">
        <f>VLOOKUP($B12,'[16]Table 1'!$B$13:$H$39,6,FALSE)</f>
        <v>14.685980500864757</v>
      </c>
      <c r="H12" s="394">
        <f>VLOOKUP($B12,'[17]Table 1'!$B$13:$G$39,6,FALSE)</f>
        <v>26.33411054405024</v>
      </c>
      <c r="I12" s="394">
        <f t="shared" si="0"/>
        <v>1.448146438160828</v>
      </c>
      <c r="J12" s="394">
        <f t="shared" ca="1" si="0"/>
        <v>1.0849337045283409</v>
      </c>
      <c r="K12" s="395">
        <f t="shared" si="0"/>
        <v>0.66850963695288357</v>
      </c>
      <c r="L12" s="392"/>
    </row>
    <row r="13" spans="2:12">
      <c r="B13" s="393">
        <f t="shared" si="1"/>
        <v>2025</v>
      </c>
      <c r="C13" s="394">
        <f>VLOOKUP($B13,'[14]Table 1'!$B$13:$G$40,6,FALSE)</f>
        <v>20.44254098918459</v>
      </c>
      <c r="D13" s="394">
        <f ca="1">VLOOKUP($B13,'Table 1'!$B$13:$G$39,6,FALSE)</f>
        <v>17.426597323375361</v>
      </c>
      <c r="E13" s="394">
        <f>VLOOKUP($B13,'[15]Table 1'!$B$13:$G$39,6,FALSE)</f>
        <v>27.386261689341055</v>
      </c>
      <c r="F13" s="394">
        <f>VLOOKUP($B13,'[13]Table 1'!$B$13:$G$38,6,FALSE)</f>
        <v>17.924587980231976</v>
      </c>
      <c r="G13" s="394">
        <f>VLOOKUP($B13,'[16]Table 1'!$B$13:$H$39,6,FALSE)</f>
        <v>15.810926659472941</v>
      </c>
      <c r="H13" s="394">
        <f>VLOOKUP($B13,'[17]Table 1'!$B$13:$G$39,6,FALSE)</f>
        <v>26.550917576614413</v>
      </c>
      <c r="I13" s="394">
        <f t="shared" si="0"/>
        <v>2.5179530089526132</v>
      </c>
      <c r="J13" s="394">
        <f t="shared" ca="1" si="0"/>
        <v>1.6156706639024208</v>
      </c>
      <c r="K13" s="395">
        <f t="shared" si="0"/>
        <v>0.83534411272664144</v>
      </c>
      <c r="L13" s="392"/>
    </row>
    <row r="14" spans="2:12">
      <c r="B14" s="393">
        <f t="shared" si="1"/>
        <v>2026</v>
      </c>
      <c r="C14" s="394">
        <f>VLOOKUP($B14,'[14]Table 1'!$B$13:$G$40,6,FALSE)</f>
        <v>34.188959470153158</v>
      </c>
      <c r="D14" s="394">
        <f ca="1">VLOOKUP($B14,'Table 1'!$B$13:$G$39,6,FALSE)</f>
        <v>17.645317306504033</v>
      </c>
      <c r="E14" s="394">
        <f>VLOOKUP($B14,'[15]Table 1'!$B$13:$G$39,6,FALSE)</f>
        <v>28.620395189768146</v>
      </c>
      <c r="F14" s="394">
        <f>VLOOKUP($B14,'[13]Table 1'!$B$13:$G$38,6,FALSE)</f>
        <v>33.007195593663326</v>
      </c>
      <c r="G14" s="394">
        <f>VLOOKUP($B14,'[16]Table 1'!$B$13:$H$39,6,FALSE)</f>
        <v>16.427126119091657</v>
      </c>
      <c r="H14" s="394">
        <f>VLOOKUP($B14,'[17]Table 1'!$B$13:$G$39,6,FALSE)</f>
        <v>27.700852089496511</v>
      </c>
      <c r="I14" s="394">
        <f t="shared" si="0"/>
        <v>1.1817638764898319</v>
      </c>
      <c r="J14" s="394">
        <f t="shared" ca="1" si="0"/>
        <v>1.2181911874123763</v>
      </c>
      <c r="K14" s="395">
        <f t="shared" si="0"/>
        <v>0.91954310027163544</v>
      </c>
      <c r="L14" s="392"/>
    </row>
    <row r="15" spans="2:12">
      <c r="B15" s="393">
        <f t="shared" si="1"/>
        <v>2027</v>
      </c>
      <c r="C15" s="394">
        <f>VLOOKUP($B15,'[14]Table 1'!$B$13:$G$40,6,FALSE)</f>
        <v>35.832633817873926</v>
      </c>
      <c r="D15" s="394">
        <f ca="1">VLOOKUP($B15,'Table 1'!$B$13:$G$39,6,FALSE)</f>
        <v>18.869197203604671</v>
      </c>
      <c r="E15" s="394">
        <f>VLOOKUP($B15,'[15]Table 1'!$B$13:$G$39,6,FALSE)</f>
        <v>29.381430033193233</v>
      </c>
      <c r="F15" s="394">
        <f>VLOOKUP($B15,'[13]Table 1'!$B$13:$G$38,6,FALSE)</f>
        <v>34.233326746027501</v>
      </c>
      <c r="G15" s="394">
        <f>VLOOKUP($B15,'[16]Table 1'!$B$13:$H$39,6,FALSE)</f>
        <v>17.415466775941056</v>
      </c>
      <c r="H15" s="394">
        <f>VLOOKUP($B15,'[17]Table 1'!$B$13:$G$39,6,FALSE)</f>
        <v>28.202436915820446</v>
      </c>
      <c r="I15" s="394">
        <f t="shared" si="0"/>
        <v>1.5993070718464253</v>
      </c>
      <c r="J15" s="394">
        <f t="shared" ca="1" si="0"/>
        <v>1.4537304276636149</v>
      </c>
      <c r="K15" s="395">
        <f t="shared" si="0"/>
        <v>1.1789931173727872</v>
      </c>
      <c r="L15" s="392"/>
    </row>
    <row r="16" spans="2:12">
      <c r="B16" s="393">
        <f t="shared" si="1"/>
        <v>2028</v>
      </c>
      <c r="C16" s="394">
        <f>VLOOKUP($B16,'[14]Table 1'!$B$13:$G$40,6,FALSE)</f>
        <v>39.222586209081534</v>
      </c>
      <c r="D16" s="394">
        <f ca="1">VLOOKUP($B16,'Table 1'!$B$13:$G$39,6,FALSE)</f>
        <v>21.928227155563935</v>
      </c>
      <c r="E16" s="394">
        <f>VLOOKUP($B16,'[15]Table 1'!$B$13:$G$39,6,FALSE)</f>
        <v>30.773445242061193</v>
      </c>
      <c r="F16" s="394">
        <f>VLOOKUP($B16,'[13]Table 1'!$B$13:$G$38,6,FALSE)</f>
        <v>38.144901559398171</v>
      </c>
      <c r="G16" s="394">
        <f>VLOOKUP($B16,'[16]Table 1'!$B$13:$H$39,6,FALSE)</f>
        <v>20.617011555001081</v>
      </c>
      <c r="H16" s="394">
        <f>VLOOKUP($B16,'[17]Table 1'!$B$13:$G$39,6,FALSE)</f>
        <v>29.090954835122965</v>
      </c>
      <c r="I16" s="394">
        <f t="shared" si="0"/>
        <v>1.0776846496833627</v>
      </c>
      <c r="J16" s="394">
        <f t="shared" ca="1" si="0"/>
        <v>1.3112156005628535</v>
      </c>
      <c r="K16" s="395">
        <f t="shared" si="0"/>
        <v>1.6824904069382285</v>
      </c>
      <c r="L16" s="392"/>
    </row>
    <row r="17" spans="1:12">
      <c r="B17" s="393">
        <f t="shared" si="1"/>
        <v>2029</v>
      </c>
      <c r="C17" s="394">
        <f>VLOOKUP($B17,'[14]Table 1'!$B$13:$G$40,6,FALSE)</f>
        <v>41.625181212688965</v>
      </c>
      <c r="D17" s="394">
        <f ca="1">VLOOKUP($B17,'Table 1'!$B$13:$G$39,6,FALSE)</f>
        <v>23.682705025756423</v>
      </c>
      <c r="E17" s="394">
        <f>VLOOKUP($B17,'[15]Table 1'!$B$13:$G$39,6,FALSE)</f>
        <v>31.501885026964892</v>
      </c>
      <c r="F17" s="394">
        <f>VLOOKUP($B17,'[13]Table 1'!$B$13:$G$38,6,FALSE)</f>
        <v>40.394949366605353</v>
      </c>
      <c r="G17" s="394">
        <f>VLOOKUP($B17,'[16]Table 1'!$B$13:$H$39,6,FALSE)</f>
        <v>22.189565184212363</v>
      </c>
      <c r="H17" s="394">
        <f>VLOOKUP($B17,'[17]Table 1'!$B$13:$G$39,6,FALSE)</f>
        <v>29.764384888372096</v>
      </c>
      <c r="I17" s="394">
        <f t="shared" si="0"/>
        <v>1.2302318460836119</v>
      </c>
      <c r="J17" s="394">
        <f t="shared" ca="1" si="0"/>
        <v>1.4931398415440604</v>
      </c>
      <c r="K17" s="395">
        <f t="shared" si="0"/>
        <v>1.7375001385927966</v>
      </c>
      <c r="L17" s="392"/>
    </row>
    <row r="18" spans="1:12">
      <c r="B18" s="393">
        <f t="shared" si="1"/>
        <v>2030</v>
      </c>
      <c r="C18" s="394">
        <f>VLOOKUP($B18,'[14]Table 1'!$B$13:$G$40,6,FALSE)</f>
        <v>40.633015341039993</v>
      </c>
      <c r="D18" s="394">
        <f ca="1">VLOOKUP($B18,'Table 1'!$B$13:$G$39,6,FALSE)</f>
        <v>21.607552493418538</v>
      </c>
      <c r="E18" s="394">
        <f>VLOOKUP($B18,'[15]Table 1'!$B$13:$G$39,6,FALSE)</f>
        <v>32.305650225487263</v>
      </c>
      <c r="F18" s="394">
        <f>VLOOKUP($B18,'[13]Table 1'!$B$13:$G$38,6,FALSE)</f>
        <v>40.420310288319314</v>
      </c>
      <c r="G18" s="394">
        <f>VLOOKUP($B18,'[16]Table 1'!$B$13:$H$39,6,FALSE)</f>
        <v>20.719878888688669</v>
      </c>
      <c r="H18" s="394">
        <f>VLOOKUP($B18,'[17]Table 1'!$B$13:$G$39,6,FALSE)</f>
        <v>30.19369956580325</v>
      </c>
      <c r="I18" s="394">
        <f t="shared" si="0"/>
        <v>0.21270505272067908</v>
      </c>
      <c r="J18" s="394">
        <f t="shared" ca="1" si="0"/>
        <v>0.88767360472986923</v>
      </c>
      <c r="K18" s="395">
        <f t="shared" si="0"/>
        <v>2.1119506596840125</v>
      </c>
      <c r="L18" s="392"/>
    </row>
    <row r="19" spans="1:12">
      <c r="B19" s="393">
        <f t="shared" si="1"/>
        <v>2031</v>
      </c>
      <c r="C19" s="394">
        <f>VLOOKUP($B19,'[14]Table 1'!$B$13:$G$40,6,FALSE)</f>
        <v>42.475622941691746</v>
      </c>
      <c r="D19" s="394">
        <f ca="1">VLOOKUP($B19,'Table 1'!$B$13:$G$39,6,FALSE)</f>
        <v>22.832846983599275</v>
      </c>
      <c r="E19" s="394">
        <f>VLOOKUP($B19,'[15]Table 1'!$B$13:$G$39,6,FALSE)</f>
        <v>33.504689414653562</v>
      </c>
      <c r="F19" s="394">
        <f>VLOOKUP($B19,'[13]Table 1'!$B$13:$G$38,6,FALSE)</f>
        <v>43.002043317678421</v>
      </c>
      <c r="G19" s="394">
        <f>VLOOKUP($B19,'[16]Table 1'!$B$13:$H$39,6,FALSE)</f>
        <v>22.251973785691952</v>
      </c>
      <c r="H19" s="394">
        <f>VLOOKUP($B19,'[17]Table 1'!$B$13:$G$39,6,FALSE)</f>
        <v>31.732478044933544</v>
      </c>
      <c r="I19" s="394">
        <f t="shared" si="0"/>
        <v>-0.52642037598667457</v>
      </c>
      <c r="J19" s="394">
        <f t="shared" ca="1" si="0"/>
        <v>0.58087319790732295</v>
      </c>
      <c r="K19" s="395">
        <f t="shared" si="0"/>
        <v>1.7722113697200186</v>
      </c>
      <c r="L19" s="392"/>
    </row>
    <row r="20" spans="1:12">
      <c r="B20" s="393">
        <f t="shared" si="1"/>
        <v>2032</v>
      </c>
      <c r="C20" s="394">
        <f>VLOOKUP($B20,'[14]Table 1'!$B$13:$G$40,6,FALSE)</f>
        <v>44.703086693891883</v>
      </c>
      <c r="D20" s="394">
        <f ca="1">VLOOKUP($B20,'Table 1'!$B$13:$G$39,6,FALSE)</f>
        <v>23.976556799533775</v>
      </c>
      <c r="E20" s="394">
        <f>VLOOKUP($B20,'[15]Table 1'!$B$13:$G$39,6,FALSE)</f>
        <v>34.508961420526958</v>
      </c>
      <c r="F20" s="394">
        <f>VLOOKUP($B20,'[13]Table 1'!$B$13:$G$38,6,FALSE)</f>
        <v>44.710067773776643</v>
      </c>
      <c r="G20" s="394">
        <f>VLOOKUP($B20,'[16]Table 1'!$B$13:$H$39,6,FALSE)</f>
        <v>22.744197438068596</v>
      </c>
      <c r="H20" s="394">
        <f>VLOOKUP($B20,'[17]Table 1'!$B$13:$G$39,6,FALSE)</f>
        <v>32.478324857608634</v>
      </c>
      <c r="I20" s="394">
        <f t="shared" si="0"/>
        <v>-6.9810798847598221E-3</v>
      </c>
      <c r="J20" s="394">
        <f t="shared" ca="1" si="0"/>
        <v>1.2323593614651784</v>
      </c>
      <c r="K20" s="395">
        <f t="shared" si="0"/>
        <v>2.0306365629183247</v>
      </c>
      <c r="L20" s="392"/>
    </row>
    <row r="21" spans="1:12">
      <c r="B21" s="393">
        <f t="shared" si="1"/>
        <v>2033</v>
      </c>
      <c r="C21" s="394">
        <f>VLOOKUP($B21,'[14]Table 1'!$B$13:$G$40,6,FALSE)</f>
        <v>45.657814068937519</v>
      </c>
      <c r="D21" s="394">
        <f ca="1">VLOOKUP($B21,'Table 1'!$B$13:$G$39,6,FALSE)</f>
        <v>24.14505656784096</v>
      </c>
      <c r="E21" s="394">
        <f>VLOOKUP($B21,'[15]Table 1'!$B$13:$G$39,6,FALSE)</f>
        <v>62.094665233928161</v>
      </c>
      <c r="F21" s="394">
        <f>VLOOKUP($B21,'[13]Table 1'!$B$13:$G$38,6,FALSE)</f>
        <v>45.877965675514311</v>
      </c>
      <c r="G21" s="394">
        <f>VLOOKUP($B21,'[16]Table 1'!$B$13:$H$39,6,FALSE)</f>
        <v>23.141959161421617</v>
      </c>
      <c r="H21" s="394">
        <f>VLOOKUP($B21,'[17]Table 1'!$B$13:$G$39,6,FALSE)</f>
        <v>59.321210778624753</v>
      </c>
      <c r="I21" s="394">
        <f t="shared" si="0"/>
        <v>-0.22015160657679189</v>
      </c>
      <c r="J21" s="394">
        <f t="shared" ca="1" si="0"/>
        <v>1.003097406419343</v>
      </c>
      <c r="K21" s="395">
        <f t="shared" si="0"/>
        <v>2.7734544553034084</v>
      </c>
      <c r="L21" s="392"/>
    </row>
    <row r="22" spans="1:12">
      <c r="B22" s="393">
        <f t="shared" si="1"/>
        <v>2034</v>
      </c>
      <c r="C22" s="394">
        <f>VLOOKUP($B22,'[14]Table 1'!$B$13:$G$40,6,FALSE)</f>
        <v>47.363921191747281</v>
      </c>
      <c r="D22" s="394">
        <f ca="1">VLOOKUP($B22,'Table 1'!$B$13:$G$39,6,FALSE)</f>
        <v>25.685694724407579</v>
      </c>
      <c r="E22" s="394">
        <f>VLOOKUP($B22,'[15]Table 1'!$B$13:$G$39,6,FALSE)</f>
        <v>63.636869015931765</v>
      </c>
      <c r="F22" s="394">
        <f>VLOOKUP($B22,'[13]Table 1'!$B$13:$G$38,6,FALSE)</f>
        <v>47.54239289822781</v>
      </c>
      <c r="G22" s="394">
        <f>VLOOKUP($B22,'[16]Table 1'!$B$13:$H$39,6,FALSE)</f>
        <v>24.325434604619097</v>
      </c>
      <c r="H22" s="394">
        <f>VLOOKUP($B22,'[17]Table 1'!$B$13:$G$39,6,FALSE)</f>
        <v>60.529264026526292</v>
      </c>
      <c r="I22" s="394">
        <f t="shared" si="0"/>
        <v>-0.17847170648052924</v>
      </c>
      <c r="J22" s="394">
        <f t="shared" ca="1" si="0"/>
        <v>1.3602601197884816</v>
      </c>
      <c r="K22" s="395">
        <f t="shared" si="0"/>
        <v>3.1076049894054734</v>
      </c>
      <c r="L22" s="392"/>
    </row>
    <row r="23" spans="1:12">
      <c r="B23" s="396">
        <f t="shared" si="1"/>
        <v>2035</v>
      </c>
      <c r="C23" s="397">
        <f>VLOOKUP($B23,'[14]Table 1'!$B$13:$G$40,6,FALSE)</f>
        <v>49.26327046862</v>
      </c>
      <c r="D23" s="397">
        <f ca="1">VLOOKUP($B23,'Table 1'!$B$13:$G$39,6,FALSE)</f>
        <v>26.575456267388091</v>
      </c>
      <c r="E23" s="397">
        <f>VLOOKUP($B23,'[15]Table 1'!$B$13:$G$39,6,FALSE)</f>
        <v>65.797558302641804</v>
      </c>
      <c r="F23" s="397">
        <f>VLOOKUP($B23,'[13]Table 1'!$B$13:$G$38,6,FALSE)</f>
        <v>49.068184346124973</v>
      </c>
      <c r="G23" s="397">
        <f>VLOOKUP($B23,'[16]Table 1'!$B$13:$H$39,6,FALSE)</f>
        <v>25.045984357751507</v>
      </c>
      <c r="H23" s="397">
        <f>VLOOKUP($B23,'[17]Table 1'!$B$13:$G$39,6,FALSE)</f>
        <v>61.813730493718424</v>
      </c>
      <c r="I23" s="397">
        <f t="shared" si="0"/>
        <v>0.19508612249502733</v>
      </c>
      <c r="J23" s="397">
        <f t="shared" ca="1" si="0"/>
        <v>1.5294719096365839</v>
      </c>
      <c r="K23" s="398">
        <f t="shared" si="0"/>
        <v>3.9838278089233796</v>
      </c>
      <c r="L23" s="392"/>
    </row>
    <row r="25" spans="1:12">
      <c r="B25" s="399" t="s">
        <v>244</v>
      </c>
      <c r="L25" s="400"/>
    </row>
    <row r="26" spans="1:12">
      <c r="A26" t="s">
        <v>245</v>
      </c>
      <c r="B26" s="401" t="s">
        <v>31</v>
      </c>
      <c r="C26" s="394">
        <f>ROUND('[14]Table 1'!$G$50,2)</f>
        <v>31.63</v>
      </c>
      <c r="D26" s="394">
        <f ca="1">ROUND('Table 1'!$G$50,2)</f>
        <v>19.72</v>
      </c>
      <c r="E26" s="394">
        <f>ROUND('[15]Table 1'!$G$50,2)</f>
        <v>31.76</v>
      </c>
      <c r="F26" s="394">
        <f>ROUND('[13]Table 1'!$G$50,2)</f>
        <v>30.92</v>
      </c>
      <c r="G26" s="394">
        <f>ROUND('[16]Table 1'!$G$50,2)</f>
        <v>18.79</v>
      </c>
      <c r="H26" s="394">
        <f>ROUND('[17]Table 1'!$G$50,2)</f>
        <v>30.22</v>
      </c>
      <c r="I26" s="394">
        <f>C26-F26</f>
        <v>0.7099999999999973</v>
      </c>
      <c r="J26" s="394">
        <f ca="1">D26-G26</f>
        <v>0.92999999999999972</v>
      </c>
      <c r="K26" s="394">
        <f>E26-H26</f>
        <v>1.5400000000000027</v>
      </c>
      <c r="L26" s="402"/>
    </row>
    <row r="27" spans="1:12" ht="17.25" customHeight="1">
      <c r="B27" s="403"/>
      <c r="C27" s="394"/>
      <c r="D27" s="394"/>
      <c r="E27" s="394"/>
      <c r="F27" s="394"/>
      <c r="G27" s="394"/>
      <c r="H27" s="394"/>
      <c r="I27" s="404">
        <f>I26/F26</f>
        <v>2.296248382923665E-2</v>
      </c>
      <c r="J27" s="404">
        <f ca="1">J26/G26</f>
        <v>4.9494411921234688E-2</v>
      </c>
      <c r="K27" s="404">
        <f>K26/H26</f>
        <v>5.0959629384513656E-2</v>
      </c>
    </row>
    <row r="28" spans="1:12" ht="10.5" customHeight="1">
      <c r="B28" s="401"/>
      <c r="C28" s="394"/>
      <c r="D28" s="394"/>
      <c r="E28" s="394"/>
      <c r="F28" s="394"/>
      <c r="G28" s="394"/>
      <c r="H28" s="394"/>
      <c r="I28" s="394"/>
      <c r="J28" s="394"/>
      <c r="K28" s="394"/>
    </row>
    <row r="29" spans="1:12" ht="5.25" customHeight="1">
      <c r="F29" s="405"/>
      <c r="G29" s="405"/>
      <c r="H29" s="405"/>
    </row>
    <row r="30" spans="1:12">
      <c r="B30" s="53" t="s">
        <v>246</v>
      </c>
      <c r="C30" s="406"/>
      <c r="D30" s="406"/>
      <c r="E30" s="406"/>
      <c r="F30" s="407"/>
      <c r="G30" s="407"/>
      <c r="H30" s="407"/>
      <c r="I30" s="407"/>
      <c r="J30" s="407"/>
      <c r="K30" s="407"/>
    </row>
    <row r="31" spans="1:12">
      <c r="B31" s="408" t="s">
        <v>247</v>
      </c>
      <c r="C31" s="406"/>
      <c r="D31" s="406"/>
      <c r="E31" s="406"/>
      <c r="F31" s="407"/>
      <c r="G31" s="407"/>
      <c r="H31" s="407"/>
      <c r="I31" s="407"/>
      <c r="J31" s="407"/>
      <c r="K31" s="407"/>
    </row>
    <row r="32" spans="1:12">
      <c r="B32" s="408" t="str">
        <f>"(2)   Total Avoided Costs with Capacity, based on stated CF"</f>
        <v>(2)   Total Avoided Costs with Capacity, based on stated CF</v>
      </c>
    </row>
    <row r="33" spans="2:11">
      <c r="B33" s="53" t="str">
        <f>"(3)   15-Years: "&amp;B9&amp;" - "&amp;B23&amp;", levelized monthly"</f>
        <v>(3)   15-Years: 2021 - 2035, levelized monthly</v>
      </c>
    </row>
    <row r="34" spans="2:11">
      <c r="B34" s="409"/>
    </row>
    <row r="35" spans="2:11">
      <c r="B35" s="409"/>
    </row>
    <row r="36" spans="2:11">
      <c r="B36" s="409"/>
    </row>
    <row r="37" spans="2:11" hidden="1"/>
    <row r="38" spans="2:11">
      <c r="C38" s="394"/>
      <c r="D38" s="394"/>
      <c r="E38" s="394"/>
      <c r="F38" s="394"/>
      <c r="G38" s="394"/>
      <c r="H38" s="394"/>
    </row>
    <row r="40" spans="2:11">
      <c r="C40" s="405"/>
      <c r="D40" s="405"/>
      <c r="E40" s="405"/>
      <c r="F40" s="405"/>
      <c r="G40" s="405"/>
      <c r="H40" s="405"/>
      <c r="I40" s="405"/>
      <c r="J40" s="405"/>
      <c r="K40" s="405"/>
    </row>
  </sheetData>
  <conditionalFormatting sqref="I8:J21">
    <cfRule type="expression" dxfId="3" priority="3">
      <formula>ISNA(N8)</formula>
    </cfRule>
  </conditionalFormatting>
  <conditionalFormatting sqref="I23:J23">
    <cfRule type="expression" dxfId="2" priority="2">
      <formula>ISNA(N23)</formula>
    </cfRule>
  </conditionalFormatting>
  <conditionalFormatting sqref="I22:J22">
    <cfRule type="expression" dxfId="1" priority="1">
      <formula>ISNA(N22)</formula>
    </cfRule>
  </conditionalFormatting>
  <printOptions horizontalCentered="1"/>
  <pageMargins left="0.25" right="0.25" top="0.75" bottom="0.75" header="0.3" footer="0.3"/>
  <pageSetup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D102"/>
  <sheetViews>
    <sheetView zoomScale="70" zoomScaleNormal="70" workbookViewId="0">
      <selection activeCell="K23" sqref="K23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332031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106</v>
      </c>
      <c r="C2" s="116"/>
      <c r="D2" s="116"/>
      <c r="E2" s="116"/>
      <c r="F2" s="116"/>
      <c r="G2" s="116"/>
      <c r="H2" s="116"/>
      <c r="I2" s="116"/>
      <c r="J2" s="116"/>
    </row>
    <row r="3" spans="2:27" ht="15.75">
      <c r="B3" s="115" t="str">
        <f>TEXT($C$63,"0%")&amp;" Capacity Factor"</f>
        <v>33%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01"/>
      <c r="N5" s="201"/>
      <c r="P5" s="201"/>
      <c r="R5" s="263"/>
      <c r="S5" s="119"/>
      <c r="T5" s="119"/>
      <c r="U5" s="119"/>
      <c r="V5" s="119"/>
      <c r="W5" s="119"/>
      <c r="X5" s="119"/>
      <c r="Y5" s="369"/>
      <c r="Z5" s="369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64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2019 IRP Utah South Solar with Storage - 33%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S12" s="119"/>
      <c r="T12" s="164"/>
      <c r="U12" s="160"/>
      <c r="V12" s="160"/>
      <c r="W12" s="119"/>
      <c r="X12" s="119"/>
      <c r="Y12" s="160"/>
      <c r="Z12" s="160"/>
      <c r="AA12" s="119"/>
    </row>
    <row r="13" spans="2:27">
      <c r="B13" s="135">
        <f t="shared" si="0"/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S13" s="119"/>
      <c r="T13" s="119"/>
      <c r="U13" s="119"/>
      <c r="V13" s="160"/>
      <c r="W13" s="119"/>
      <c r="X13" s="119"/>
      <c r="Y13" s="160"/>
      <c r="Z13" s="160"/>
      <c r="AA13" s="119"/>
    </row>
    <row r="14" spans="2:27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S14" s="119"/>
      <c r="T14" s="119"/>
      <c r="U14" s="119"/>
      <c r="V14" s="160"/>
      <c r="W14" s="119"/>
      <c r="X14" s="119"/>
      <c r="Y14" s="160"/>
      <c r="Z14" s="160"/>
      <c r="AA14" s="119"/>
    </row>
    <row r="15" spans="2:27">
      <c r="B15" s="135">
        <f t="shared" si="0"/>
        <v>2021</v>
      </c>
      <c r="C15" s="136"/>
      <c r="D15" s="128"/>
      <c r="E15" s="128">
        <f t="shared" si="1"/>
        <v>25.79</v>
      </c>
      <c r="F15" s="128"/>
      <c r="G15" s="130"/>
      <c r="H15" s="128">
        <f t="shared" si="2"/>
        <v>0</v>
      </c>
      <c r="I15" s="130"/>
      <c r="J15" s="130"/>
      <c r="K15" s="128">
        <f t="shared" si="3"/>
        <v>25.79</v>
      </c>
      <c r="L15" s="119"/>
      <c r="N15" s="117"/>
      <c r="O15" s="259"/>
      <c r="P15" s="133"/>
      <c r="Q15" s="134"/>
      <c r="R15" s="119"/>
      <c r="S15" s="119"/>
      <c r="T15" s="119"/>
      <c r="U15" s="119"/>
      <c r="V15" s="160"/>
      <c r="W15" s="119"/>
      <c r="X15" s="119"/>
      <c r="Y15" s="160"/>
      <c r="Z15" s="160"/>
      <c r="AA15" s="119"/>
    </row>
    <row r="16" spans="2:27">
      <c r="B16" s="135">
        <f t="shared" si="0"/>
        <v>2022</v>
      </c>
      <c r="C16" s="136"/>
      <c r="D16" s="128"/>
      <c r="E16" s="128">
        <f t="shared" si="1"/>
        <v>26.36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26.36</v>
      </c>
      <c r="L16" s="119"/>
      <c r="N16" s="117"/>
      <c r="R16" s="119"/>
      <c r="S16" s="119"/>
      <c r="T16" s="119"/>
      <c r="U16" s="119"/>
      <c r="V16" s="160"/>
      <c r="W16" s="119"/>
      <c r="X16" s="119"/>
      <c r="Y16" s="160"/>
      <c r="Z16" s="160"/>
      <c r="AA16" s="119"/>
    </row>
    <row r="17" spans="2:28">
      <c r="B17" s="135">
        <f t="shared" si="0"/>
        <v>2023</v>
      </c>
      <c r="C17" s="136"/>
      <c r="D17" s="128"/>
      <c r="E17" s="128">
        <f t="shared" si="1"/>
        <v>26.89</v>
      </c>
      <c r="F17" s="128"/>
      <c r="G17" s="130"/>
      <c r="H17" s="128">
        <f t="shared" si="2"/>
        <v>0</v>
      </c>
      <c r="I17" s="130"/>
      <c r="J17" s="130"/>
      <c r="K17" s="128">
        <f t="shared" si="3"/>
        <v>26.89</v>
      </c>
      <c r="L17" s="119"/>
      <c r="N17" s="117"/>
      <c r="O17" s="132"/>
      <c r="R17" s="119"/>
      <c r="S17" s="119"/>
      <c r="T17" s="119"/>
      <c r="U17" s="119"/>
      <c r="V17" s="160"/>
      <c r="W17" s="119"/>
      <c r="X17" s="119"/>
      <c r="Y17" s="160"/>
      <c r="Z17" s="160"/>
      <c r="AA17" s="119"/>
    </row>
    <row r="18" spans="2:28">
      <c r="B18" s="135">
        <f t="shared" si="0"/>
        <v>2024</v>
      </c>
      <c r="C18" s="335">
        <v>1230.021663778163</v>
      </c>
      <c r="D18" s="128">
        <f>C18*$C$62</f>
        <v>62.546601603119584</v>
      </c>
      <c r="E18" s="128">
        <f t="shared" si="1"/>
        <v>27.43</v>
      </c>
      <c r="F18" s="128">
        <f>C60*(1+INDEX($D$66:$D$74,MATCH(B18,$C$66:$C$74,0),1))</f>
        <v>1.4973863179530464</v>
      </c>
      <c r="G18" s="130">
        <f>(D18+E18+F18)/(8.76*$C$63)</f>
        <v>32.129957120151957</v>
      </c>
      <c r="H18" s="128">
        <f t="shared" si="2"/>
        <v>0</v>
      </c>
      <c r="I18" s="130">
        <f>(G18+H18)</f>
        <v>32.129957120151957</v>
      </c>
      <c r="J18" s="130">
        <f t="shared" ref="J18:J32" si="4">ROUND(I18*$C$63*8.76,2)</f>
        <v>91.47</v>
      </c>
      <c r="K18" s="128">
        <f t="shared" si="3"/>
        <v>91.47398792107262</v>
      </c>
      <c r="L18" s="119"/>
      <c r="N18" s="117"/>
      <c r="P18" s="268"/>
      <c r="Q18" s="153"/>
      <c r="R18" s="119"/>
      <c r="S18" s="119"/>
      <c r="T18" s="164"/>
      <c r="U18" s="160"/>
      <c r="V18" s="160"/>
      <c r="W18" s="119"/>
      <c r="X18" s="160"/>
      <c r="Y18" s="160"/>
      <c r="Z18" s="160"/>
      <c r="AA18" s="374"/>
      <c r="AB18" s="267"/>
    </row>
    <row r="19" spans="2:28">
      <c r="B19" s="135">
        <f t="shared" si="0"/>
        <v>2025</v>
      </c>
      <c r="C19" s="136"/>
      <c r="D19" s="128">
        <f t="shared" ref="D19:F37" si="5">ROUND(D18*(1+(IFERROR(INDEX($D$66:$D$74,MATCH($B19,$C$66:$C$74,0),1),0)+IFERROR(INDEX($G$66:$G$74,MATCH($B19,$F$66:$F$74,0),1),0)+IFERROR(INDEX($J$66:$J$74,MATCH($B19,$I$66:$I$74,0),1),0))),2)</f>
        <v>63.86</v>
      </c>
      <c r="E19" s="128">
        <f t="shared" si="1"/>
        <v>28.01</v>
      </c>
      <c r="F19" s="128">
        <f t="shared" si="5"/>
        <v>1.53</v>
      </c>
      <c r="G19" s="130">
        <f t="shared" ref="G19:G37" si="6">(D19+E19+F19)/(8.76*$C$63)</f>
        <v>32.806462943449247</v>
      </c>
      <c r="H19" s="128">
        <f t="shared" si="2"/>
        <v>0</v>
      </c>
      <c r="I19" s="130">
        <f t="shared" ref="I19:I37" si="7">(G19+H19)</f>
        <v>32.806462943449247</v>
      </c>
      <c r="J19" s="130">
        <f t="shared" si="4"/>
        <v>93.4</v>
      </c>
      <c r="K19" s="128">
        <f t="shared" si="3"/>
        <v>93.4</v>
      </c>
      <c r="L19" s="119"/>
      <c r="N19" s="117"/>
      <c r="R19" s="119"/>
      <c r="S19" s="119"/>
      <c r="T19" s="164"/>
      <c r="U19" s="160"/>
      <c r="V19" s="160"/>
      <c r="W19" s="119"/>
      <c r="X19" s="160"/>
      <c r="Y19" s="160"/>
      <c r="Z19" s="160"/>
      <c r="AA19" s="119"/>
    </row>
    <row r="20" spans="2:28">
      <c r="B20" s="135">
        <f t="shared" si="0"/>
        <v>2026</v>
      </c>
      <c r="C20" s="136"/>
      <c r="D20" s="128">
        <f t="shared" si="5"/>
        <v>65.260000000000005</v>
      </c>
      <c r="E20" s="128">
        <f t="shared" si="1"/>
        <v>28.63</v>
      </c>
      <c r="F20" s="128">
        <f t="shared" si="5"/>
        <v>1.56</v>
      </c>
      <c r="G20" s="130">
        <f t="shared" si="6"/>
        <v>33.526519142957497</v>
      </c>
      <c r="H20" s="128">
        <f t="shared" si="2"/>
        <v>0</v>
      </c>
      <c r="I20" s="130">
        <f t="shared" si="7"/>
        <v>33.526519142957497</v>
      </c>
      <c r="J20" s="130">
        <f t="shared" si="4"/>
        <v>95.45</v>
      </c>
      <c r="K20" s="128">
        <f t="shared" si="3"/>
        <v>95.45</v>
      </c>
      <c r="L20" s="119"/>
      <c r="N20" s="117"/>
      <c r="R20" s="160"/>
      <c r="S20" s="119"/>
      <c r="T20" s="164"/>
      <c r="U20" s="160"/>
      <c r="V20" s="160"/>
      <c r="W20" s="119"/>
      <c r="X20" s="160"/>
      <c r="Y20" s="160"/>
      <c r="Z20" s="160"/>
      <c r="AA20" s="119"/>
    </row>
    <row r="21" spans="2:28">
      <c r="B21" s="135">
        <f t="shared" si="0"/>
        <v>2027</v>
      </c>
      <c r="C21" s="136"/>
      <c r="D21" s="128">
        <f t="shared" si="5"/>
        <v>66.760000000000005</v>
      </c>
      <c r="E21" s="128">
        <f t="shared" si="1"/>
        <v>29.29</v>
      </c>
      <c r="F21" s="128">
        <f t="shared" si="5"/>
        <v>1.6</v>
      </c>
      <c r="G21" s="130">
        <f t="shared" si="6"/>
        <v>34.299262381454163</v>
      </c>
      <c r="H21" s="128">
        <f t="shared" si="2"/>
        <v>0</v>
      </c>
      <c r="I21" s="130">
        <f t="shared" si="7"/>
        <v>34.299262381454163</v>
      </c>
      <c r="J21" s="130">
        <f t="shared" si="4"/>
        <v>97.65</v>
      </c>
      <c r="K21" s="128">
        <f t="shared" si="3"/>
        <v>97.65</v>
      </c>
      <c r="L21" s="119"/>
      <c r="N21" s="117"/>
      <c r="R21" s="160"/>
      <c r="S21" s="119"/>
      <c r="T21" s="164"/>
      <c r="U21" s="160"/>
      <c r="V21" s="160"/>
      <c r="W21" s="119"/>
      <c r="X21" s="160"/>
      <c r="Y21" s="160"/>
      <c r="Z21" s="160"/>
      <c r="AA21" s="119"/>
    </row>
    <row r="22" spans="2:28">
      <c r="B22" s="135">
        <f t="shared" si="0"/>
        <v>2028</v>
      </c>
      <c r="C22" s="136"/>
      <c r="D22" s="128">
        <f t="shared" si="5"/>
        <v>68.3</v>
      </c>
      <c r="E22" s="128">
        <f t="shared" si="1"/>
        <v>29.96</v>
      </c>
      <c r="F22" s="128">
        <f t="shared" si="5"/>
        <v>1.64</v>
      </c>
      <c r="G22" s="130">
        <f t="shared" si="6"/>
        <v>35.089567966280292</v>
      </c>
      <c r="H22" s="128">
        <f t="shared" si="2"/>
        <v>0</v>
      </c>
      <c r="I22" s="130">
        <f t="shared" si="7"/>
        <v>35.089567966280292</v>
      </c>
      <c r="J22" s="130">
        <f t="shared" si="4"/>
        <v>99.9</v>
      </c>
      <c r="K22" s="128">
        <f t="shared" si="3"/>
        <v>99.899999999999991</v>
      </c>
      <c r="L22" s="119"/>
      <c r="N22" s="117"/>
      <c r="R22" s="160"/>
      <c r="S22" s="119"/>
      <c r="T22" s="164"/>
      <c r="U22" s="160"/>
      <c r="V22" s="160"/>
      <c r="W22" s="119"/>
      <c r="X22" s="160"/>
      <c r="Y22" s="160"/>
      <c r="Z22" s="160"/>
      <c r="AA22" s="119"/>
    </row>
    <row r="23" spans="2:28">
      <c r="B23" s="135">
        <f t="shared" si="0"/>
        <v>2029</v>
      </c>
      <c r="C23" s="136"/>
      <c r="D23" s="128">
        <f t="shared" si="5"/>
        <v>69.87</v>
      </c>
      <c r="E23" s="128">
        <f t="shared" si="1"/>
        <v>30.65</v>
      </c>
      <c r="F23" s="128">
        <f t="shared" si="5"/>
        <v>1.68</v>
      </c>
      <c r="G23" s="130">
        <f t="shared" si="6"/>
        <v>35.897435897435905</v>
      </c>
      <c r="H23" s="128">
        <f t="shared" si="2"/>
        <v>0</v>
      </c>
      <c r="I23" s="130">
        <f t="shared" si="7"/>
        <v>35.897435897435905</v>
      </c>
      <c r="J23" s="130">
        <f t="shared" si="4"/>
        <v>102.2</v>
      </c>
      <c r="K23" s="128">
        <f t="shared" si="3"/>
        <v>102.20000000000002</v>
      </c>
      <c r="L23" s="119"/>
      <c r="N23" s="117"/>
      <c r="R23" s="160"/>
      <c r="S23" s="119"/>
      <c r="T23" s="164"/>
      <c r="U23" s="160"/>
      <c r="V23" s="160"/>
      <c r="W23" s="119"/>
      <c r="X23" s="160"/>
      <c r="Y23" s="160"/>
      <c r="Z23" s="160"/>
      <c r="AA23" s="119"/>
    </row>
    <row r="24" spans="2:28">
      <c r="B24" s="135">
        <f t="shared" si="0"/>
        <v>2030</v>
      </c>
      <c r="C24" s="136"/>
      <c r="D24" s="128">
        <f t="shared" si="5"/>
        <v>71.48</v>
      </c>
      <c r="E24" s="128">
        <f t="shared" si="1"/>
        <v>31.35</v>
      </c>
      <c r="F24" s="128">
        <f t="shared" si="5"/>
        <v>1.72</v>
      </c>
      <c r="G24" s="130">
        <f t="shared" si="6"/>
        <v>36.722866174920973</v>
      </c>
      <c r="H24" s="128">
        <f t="shared" si="2"/>
        <v>0</v>
      </c>
      <c r="I24" s="130">
        <f t="shared" si="7"/>
        <v>36.722866174920973</v>
      </c>
      <c r="J24" s="130">
        <f t="shared" si="4"/>
        <v>104.55</v>
      </c>
      <c r="K24" s="128">
        <f t="shared" si="3"/>
        <v>104.55000000000001</v>
      </c>
      <c r="L24" s="119"/>
      <c r="N24" s="117"/>
      <c r="R24" s="160"/>
      <c r="S24" s="119"/>
      <c r="T24" s="164"/>
      <c r="U24" s="160"/>
      <c r="V24" s="160"/>
      <c r="W24" s="119"/>
      <c r="X24" s="160"/>
      <c r="Y24" s="160"/>
      <c r="Z24" s="160"/>
      <c r="AA24" s="119"/>
    </row>
    <row r="25" spans="2:28">
      <c r="B25" s="135">
        <f t="shared" si="0"/>
        <v>2031</v>
      </c>
      <c r="C25" s="136"/>
      <c r="D25" s="128">
        <f t="shared" si="5"/>
        <v>73.12</v>
      </c>
      <c r="E25" s="128">
        <f t="shared" si="1"/>
        <v>32.07</v>
      </c>
      <c r="F25" s="128">
        <f t="shared" si="5"/>
        <v>1.76</v>
      </c>
      <c r="G25" s="130">
        <f t="shared" si="6"/>
        <v>37.565858798735512</v>
      </c>
      <c r="H25" s="128">
        <f t="shared" si="2"/>
        <v>0</v>
      </c>
      <c r="I25" s="130">
        <f t="shared" si="7"/>
        <v>37.565858798735512</v>
      </c>
      <c r="J25" s="130">
        <f t="shared" si="4"/>
        <v>106.95</v>
      </c>
      <c r="K25" s="128">
        <f t="shared" si="3"/>
        <v>106.95</v>
      </c>
      <c r="L25" s="119"/>
      <c r="N25" s="117"/>
      <c r="R25" s="160"/>
      <c r="S25" s="119"/>
      <c r="T25" s="164"/>
      <c r="U25" s="160"/>
      <c r="V25" s="160"/>
      <c r="W25" s="119"/>
      <c r="X25" s="160"/>
      <c r="Y25" s="160"/>
      <c r="Z25" s="160"/>
      <c r="AA25" s="119"/>
    </row>
    <row r="26" spans="2:28">
      <c r="B26" s="135">
        <f t="shared" si="0"/>
        <v>2032</v>
      </c>
      <c r="C26" s="136"/>
      <c r="D26" s="128">
        <f t="shared" si="5"/>
        <v>74.8</v>
      </c>
      <c r="E26" s="128">
        <f t="shared" si="1"/>
        <v>32.81</v>
      </c>
      <c r="F26" s="128">
        <f t="shared" si="5"/>
        <v>1.8</v>
      </c>
      <c r="G26" s="130">
        <f t="shared" si="6"/>
        <v>38.429926238145413</v>
      </c>
      <c r="H26" s="128">
        <f t="shared" si="2"/>
        <v>0</v>
      </c>
      <c r="I26" s="130">
        <f t="shared" si="7"/>
        <v>38.429926238145413</v>
      </c>
      <c r="J26" s="130">
        <f t="shared" si="4"/>
        <v>109.41</v>
      </c>
      <c r="K26" s="128">
        <f t="shared" si="3"/>
        <v>109.41</v>
      </c>
      <c r="L26" s="119"/>
      <c r="N26" s="117"/>
      <c r="R26" s="160"/>
      <c r="S26" s="119"/>
      <c r="T26" s="164"/>
      <c r="U26" s="160"/>
      <c r="V26" s="160"/>
      <c r="W26" s="119"/>
      <c r="X26" s="160"/>
      <c r="Y26" s="160"/>
      <c r="Z26" s="160"/>
      <c r="AA26" s="119"/>
    </row>
    <row r="27" spans="2:28">
      <c r="B27" s="135">
        <f t="shared" si="0"/>
        <v>2033</v>
      </c>
      <c r="C27" s="136"/>
      <c r="D27" s="128">
        <f t="shared" si="5"/>
        <v>76.52</v>
      </c>
      <c r="E27" s="128">
        <f t="shared" si="1"/>
        <v>33.56</v>
      </c>
      <c r="F27" s="128">
        <f t="shared" si="5"/>
        <v>1.84</v>
      </c>
      <c r="G27" s="130">
        <f t="shared" si="6"/>
        <v>39.311556023884791</v>
      </c>
      <c r="H27" s="128">
        <f t="shared" si="2"/>
        <v>0</v>
      </c>
      <c r="I27" s="130">
        <f t="shared" si="7"/>
        <v>39.311556023884791</v>
      </c>
      <c r="J27" s="130">
        <f t="shared" si="4"/>
        <v>111.92</v>
      </c>
      <c r="K27" s="128">
        <f t="shared" si="3"/>
        <v>111.92</v>
      </c>
      <c r="L27" s="119"/>
      <c r="N27" s="117"/>
      <c r="R27" s="160"/>
      <c r="S27" s="119"/>
      <c r="T27" s="164"/>
      <c r="U27" s="160"/>
      <c r="V27" s="160"/>
      <c r="W27" s="119"/>
      <c r="X27" s="160"/>
      <c r="Y27" s="160"/>
      <c r="Z27" s="160"/>
      <c r="AA27" s="119"/>
    </row>
    <row r="28" spans="2:28">
      <c r="B28" s="135">
        <f t="shared" si="0"/>
        <v>2034</v>
      </c>
      <c r="C28" s="136"/>
      <c r="D28" s="128">
        <f t="shared" si="5"/>
        <v>78.28</v>
      </c>
      <c r="E28" s="128">
        <f t="shared" si="1"/>
        <v>34.33</v>
      </c>
      <c r="F28" s="128">
        <f t="shared" si="5"/>
        <v>1.88</v>
      </c>
      <c r="G28" s="130">
        <f t="shared" si="6"/>
        <v>40.214260625219531</v>
      </c>
      <c r="H28" s="128">
        <f t="shared" si="2"/>
        <v>0</v>
      </c>
      <c r="I28" s="130">
        <f t="shared" si="7"/>
        <v>40.214260625219531</v>
      </c>
      <c r="J28" s="130">
        <f t="shared" si="4"/>
        <v>114.49</v>
      </c>
      <c r="K28" s="128">
        <f t="shared" si="3"/>
        <v>114.49</v>
      </c>
      <c r="L28" s="119"/>
      <c r="N28" s="117"/>
      <c r="R28" s="160"/>
      <c r="S28" s="119"/>
      <c r="T28" s="164"/>
      <c r="U28" s="160"/>
      <c r="V28" s="160"/>
      <c r="W28" s="119"/>
      <c r="X28" s="160"/>
      <c r="Y28" s="160"/>
      <c r="Z28" s="160"/>
      <c r="AA28" s="119"/>
    </row>
    <row r="29" spans="2:28">
      <c r="B29" s="135">
        <f t="shared" si="0"/>
        <v>2035</v>
      </c>
      <c r="C29" s="136"/>
      <c r="D29" s="128">
        <f t="shared" si="5"/>
        <v>80.08</v>
      </c>
      <c r="E29" s="128">
        <f t="shared" si="1"/>
        <v>35.119999999999997</v>
      </c>
      <c r="F29" s="128">
        <f t="shared" si="5"/>
        <v>1.92</v>
      </c>
      <c r="G29" s="130">
        <f t="shared" si="6"/>
        <v>41.138040042149626</v>
      </c>
      <c r="H29" s="128">
        <f t="shared" si="2"/>
        <v>0</v>
      </c>
      <c r="I29" s="130">
        <f t="shared" si="7"/>
        <v>41.138040042149626</v>
      </c>
      <c r="J29" s="130">
        <f t="shared" si="4"/>
        <v>117.12</v>
      </c>
      <c r="K29" s="128">
        <f t="shared" si="3"/>
        <v>117.11999999999999</v>
      </c>
      <c r="L29" s="119"/>
      <c r="N29" s="117"/>
      <c r="R29" s="160"/>
      <c r="S29" s="119"/>
      <c r="T29" s="164"/>
      <c r="U29" s="160"/>
      <c r="V29" s="160"/>
      <c r="W29" s="119"/>
      <c r="X29" s="160"/>
      <c r="Y29" s="160"/>
      <c r="Z29" s="160"/>
      <c r="AA29" s="119"/>
    </row>
    <row r="30" spans="2:28">
      <c r="B30" s="135">
        <f t="shared" si="0"/>
        <v>2036</v>
      </c>
      <c r="C30" s="136"/>
      <c r="D30" s="128">
        <f t="shared" si="5"/>
        <v>81.92</v>
      </c>
      <c r="E30" s="128">
        <f t="shared" si="1"/>
        <v>35.93</v>
      </c>
      <c r="F30" s="128">
        <f t="shared" si="5"/>
        <v>1.96</v>
      </c>
      <c r="G30" s="130">
        <f t="shared" si="6"/>
        <v>42.082894274675091</v>
      </c>
      <c r="H30" s="128">
        <f t="shared" si="2"/>
        <v>0</v>
      </c>
      <c r="I30" s="130">
        <f t="shared" si="7"/>
        <v>42.082894274675091</v>
      </c>
      <c r="J30" s="130">
        <f t="shared" si="4"/>
        <v>119.81</v>
      </c>
      <c r="K30" s="128">
        <f t="shared" si="3"/>
        <v>119.80999999999999</v>
      </c>
      <c r="L30" s="119"/>
      <c r="N30" s="117"/>
      <c r="R30" s="160"/>
      <c r="S30" s="119"/>
      <c r="T30" s="164"/>
      <c r="U30" s="160"/>
      <c r="V30" s="160"/>
      <c r="W30" s="119"/>
      <c r="X30" s="160"/>
      <c r="Y30" s="160"/>
      <c r="Z30" s="160"/>
      <c r="AA30" s="119"/>
    </row>
    <row r="31" spans="2:28">
      <c r="B31" s="135">
        <f t="shared" si="0"/>
        <v>2037</v>
      </c>
      <c r="C31" s="136"/>
      <c r="D31" s="128">
        <f t="shared" si="5"/>
        <v>83.8</v>
      </c>
      <c r="E31" s="128">
        <f t="shared" si="1"/>
        <v>36.76</v>
      </c>
      <c r="F31" s="128">
        <f t="shared" si="5"/>
        <v>2.0099999999999998</v>
      </c>
      <c r="G31" s="130">
        <f t="shared" si="6"/>
        <v>43.052335792061825</v>
      </c>
      <c r="H31" s="128">
        <f t="shared" si="2"/>
        <v>0</v>
      </c>
      <c r="I31" s="130">
        <f t="shared" si="7"/>
        <v>43.052335792061825</v>
      </c>
      <c r="J31" s="130">
        <f t="shared" si="4"/>
        <v>122.57</v>
      </c>
      <c r="K31" s="128">
        <f t="shared" si="3"/>
        <v>122.57000000000001</v>
      </c>
      <c r="L31" s="119"/>
      <c r="N31" s="117"/>
      <c r="R31" s="160"/>
      <c r="S31" s="119"/>
      <c r="T31" s="164"/>
      <c r="U31" s="160"/>
      <c r="V31" s="160"/>
      <c r="W31" s="119"/>
      <c r="X31" s="160"/>
      <c r="Y31" s="160"/>
      <c r="Z31" s="160"/>
      <c r="AA31" s="119"/>
    </row>
    <row r="32" spans="2:28">
      <c r="B32" s="135">
        <f t="shared" si="0"/>
        <v>2038</v>
      </c>
      <c r="C32" s="136"/>
      <c r="D32" s="128">
        <f t="shared" si="5"/>
        <v>85.73</v>
      </c>
      <c r="E32" s="128">
        <f t="shared" si="1"/>
        <v>37.61</v>
      </c>
      <c r="F32" s="128">
        <f t="shared" si="5"/>
        <v>2.06</v>
      </c>
      <c r="G32" s="130">
        <f t="shared" si="6"/>
        <v>44.0463645943098</v>
      </c>
      <c r="H32" s="128">
        <f t="shared" si="2"/>
        <v>0</v>
      </c>
      <c r="I32" s="130">
        <f t="shared" si="7"/>
        <v>44.0463645943098</v>
      </c>
      <c r="J32" s="130">
        <f t="shared" si="4"/>
        <v>125.4</v>
      </c>
      <c r="K32" s="128">
        <f t="shared" si="3"/>
        <v>125.4</v>
      </c>
      <c r="L32" s="119"/>
      <c r="N32" s="117"/>
      <c r="R32" s="160"/>
      <c r="S32" s="119"/>
      <c r="T32" s="164"/>
      <c r="U32" s="160"/>
      <c r="V32" s="160"/>
      <c r="W32" s="119"/>
      <c r="X32" s="160"/>
      <c r="Y32" s="160"/>
      <c r="Z32" s="160"/>
      <c r="AA32" s="119"/>
    </row>
    <row r="33" spans="2:30">
      <c r="B33" s="135">
        <f t="shared" si="0"/>
        <v>2039</v>
      </c>
      <c r="C33" s="136"/>
      <c r="D33" s="128">
        <f t="shared" si="5"/>
        <v>87.7</v>
      </c>
      <c r="E33" s="128">
        <f t="shared" si="1"/>
        <v>38.479999999999997</v>
      </c>
      <c r="F33" s="128">
        <f t="shared" si="5"/>
        <v>2.11</v>
      </c>
      <c r="G33" s="130">
        <f t="shared" si="6"/>
        <v>45.061468212153152</v>
      </c>
      <c r="H33" s="128">
        <f t="shared" si="2"/>
        <v>0</v>
      </c>
      <c r="I33" s="130">
        <f t="shared" si="7"/>
        <v>45.061468212153152</v>
      </c>
      <c r="J33" s="130">
        <f t="shared" ref="J33:J37" si="8">ROUND(I33*$C$63*8.76,2)</f>
        <v>128.29</v>
      </c>
      <c r="K33" s="128">
        <f t="shared" si="3"/>
        <v>128.29000000000002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C33" s="265"/>
    </row>
    <row r="34" spans="2:30">
      <c r="B34" s="135">
        <f t="shared" si="0"/>
        <v>2040</v>
      </c>
      <c r="C34" s="136"/>
      <c r="D34" s="128">
        <f t="shared" si="5"/>
        <v>89.72</v>
      </c>
      <c r="E34" s="128">
        <f t="shared" si="1"/>
        <v>39.369999999999997</v>
      </c>
      <c r="F34" s="128">
        <f t="shared" si="5"/>
        <v>2.16</v>
      </c>
      <c r="G34" s="130">
        <f t="shared" si="6"/>
        <v>46.101159114857744</v>
      </c>
      <c r="H34" s="128">
        <f t="shared" si="2"/>
        <v>0</v>
      </c>
      <c r="I34" s="130">
        <f t="shared" si="7"/>
        <v>46.101159114857744</v>
      </c>
      <c r="J34" s="130">
        <f t="shared" si="8"/>
        <v>131.25</v>
      </c>
      <c r="K34" s="128">
        <f t="shared" si="3"/>
        <v>131.25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C34" s="265"/>
    </row>
    <row r="35" spans="2:30">
      <c r="B35" s="135">
        <f t="shared" si="0"/>
        <v>2041</v>
      </c>
      <c r="C35" s="136"/>
      <c r="D35" s="128">
        <f t="shared" si="5"/>
        <v>91.78</v>
      </c>
      <c r="E35" s="128">
        <f t="shared" si="1"/>
        <v>40.28</v>
      </c>
      <c r="F35" s="128">
        <f t="shared" si="5"/>
        <v>2.21</v>
      </c>
      <c r="G35" s="130">
        <f t="shared" si="6"/>
        <v>47.161924833157713</v>
      </c>
      <c r="H35" s="128">
        <f t="shared" si="2"/>
        <v>0</v>
      </c>
      <c r="I35" s="130">
        <f t="shared" si="7"/>
        <v>47.161924833157713</v>
      </c>
      <c r="J35" s="130">
        <f t="shared" si="8"/>
        <v>134.27000000000001</v>
      </c>
      <c r="K35" s="128">
        <f t="shared" si="3"/>
        <v>134.27000000000001</v>
      </c>
      <c r="L35" s="119"/>
      <c r="N35" s="117"/>
      <c r="R35" s="119"/>
      <c r="AC35" s="265"/>
    </row>
    <row r="36" spans="2:30">
      <c r="B36" s="135">
        <f t="shared" si="0"/>
        <v>2042</v>
      </c>
      <c r="C36" s="136"/>
      <c r="D36" s="128">
        <f t="shared" si="5"/>
        <v>93.89</v>
      </c>
      <c r="E36" s="128">
        <f t="shared" si="1"/>
        <v>41.21</v>
      </c>
      <c r="F36" s="128">
        <f t="shared" si="5"/>
        <v>2.2599999999999998</v>
      </c>
      <c r="G36" s="130">
        <f t="shared" si="6"/>
        <v>48.247277836318929</v>
      </c>
      <c r="H36" s="128">
        <f t="shared" si="2"/>
        <v>0</v>
      </c>
      <c r="I36" s="130">
        <f t="shared" si="7"/>
        <v>48.247277836318929</v>
      </c>
      <c r="J36" s="130">
        <f t="shared" si="8"/>
        <v>137.36000000000001</v>
      </c>
      <c r="K36" s="128">
        <f t="shared" si="3"/>
        <v>137.35999999999999</v>
      </c>
      <c r="L36" s="119"/>
      <c r="N36" s="117"/>
      <c r="R36" s="119"/>
      <c r="AC36" s="265"/>
    </row>
    <row r="37" spans="2:30">
      <c r="B37" s="135">
        <f t="shared" si="0"/>
        <v>2043</v>
      </c>
      <c r="C37" s="136"/>
      <c r="D37" s="128">
        <f t="shared" si="5"/>
        <v>96.14</v>
      </c>
      <c r="E37" s="128">
        <f t="shared" si="1"/>
        <v>42.2</v>
      </c>
      <c r="F37" s="128">
        <f t="shared" si="5"/>
        <v>2.31</v>
      </c>
      <c r="G37" s="130">
        <f t="shared" si="6"/>
        <v>49.402880224798032</v>
      </c>
      <c r="H37" s="128">
        <f t="shared" si="2"/>
        <v>0</v>
      </c>
      <c r="I37" s="130">
        <f t="shared" si="7"/>
        <v>49.402880224798032</v>
      </c>
      <c r="J37" s="130">
        <f t="shared" si="8"/>
        <v>140.65</v>
      </c>
      <c r="K37" s="128">
        <f t="shared" si="3"/>
        <v>140.65</v>
      </c>
      <c r="R37" s="119"/>
      <c r="AC37" s="265"/>
    </row>
    <row r="38" spans="2:30">
      <c r="B38" s="126"/>
      <c r="C38" s="131"/>
      <c r="D38" s="128"/>
      <c r="E38" s="128"/>
      <c r="F38" s="128"/>
      <c r="G38" s="129"/>
      <c r="H38" s="128"/>
      <c r="I38" s="130"/>
      <c r="J38" s="130"/>
      <c r="K38" s="137"/>
      <c r="R38" s="119"/>
      <c r="AC38" s="265"/>
    </row>
    <row r="39" spans="2:30">
      <c r="B39" s="126"/>
      <c r="C39" s="131"/>
      <c r="D39" s="128"/>
      <c r="E39" s="128"/>
      <c r="F39" s="128"/>
      <c r="G39" s="129"/>
      <c r="H39" s="128"/>
      <c r="I39" s="130"/>
      <c r="J39" s="130"/>
      <c r="K39" s="137"/>
      <c r="R39" s="119"/>
      <c r="AC39" s="265"/>
    </row>
    <row r="40" spans="2:30">
      <c r="B40" s="126"/>
      <c r="C40" s="131"/>
      <c r="D40" s="128"/>
      <c r="E40" s="128"/>
      <c r="F40" s="128"/>
      <c r="G40" s="129"/>
      <c r="H40" s="128"/>
      <c r="I40" s="128"/>
      <c r="J40" s="130"/>
      <c r="K40" s="130"/>
      <c r="L40" s="137"/>
      <c r="N40" s="117"/>
      <c r="O40" s="161"/>
      <c r="S40" s="119"/>
      <c r="AD40" s="265"/>
    </row>
    <row r="41" spans="2:30">
      <c r="N41" s="117"/>
      <c r="O41" s="161"/>
      <c r="S41" s="119"/>
      <c r="AD41" s="265"/>
    </row>
    <row r="42" spans="2:30" ht="14.25">
      <c r="B42" s="138" t="s">
        <v>25</v>
      </c>
      <c r="C42" s="139"/>
      <c r="D42" s="139"/>
      <c r="E42" s="139"/>
      <c r="F42" s="139"/>
      <c r="G42" s="139"/>
      <c r="H42" s="139"/>
      <c r="R42" s="119"/>
      <c r="AC42" s="265"/>
    </row>
    <row r="43" spans="2:30">
      <c r="AC43" s="265"/>
    </row>
    <row r="44" spans="2:30">
      <c r="B44" s="117" t="s">
        <v>63</v>
      </c>
      <c r="C44" s="140" t="s">
        <v>64</v>
      </c>
      <c r="D44" s="141" t="s">
        <v>102</v>
      </c>
      <c r="AC44" s="265"/>
    </row>
    <row r="45" spans="2:30">
      <c r="C45" s="140" t="str">
        <f>C7</f>
        <v>(a)</v>
      </c>
      <c r="D45" s="117" t="s">
        <v>65</v>
      </c>
      <c r="AC45" s="265"/>
    </row>
    <row r="46" spans="2:30">
      <c r="C46" s="140" t="str">
        <f>D7</f>
        <v>(b)</v>
      </c>
      <c r="D46" s="130" t="str">
        <f>"= "&amp;C7&amp;" x "&amp;C62</f>
        <v>= (a) x 0.05085</v>
      </c>
      <c r="AC46" s="265"/>
    </row>
    <row r="47" spans="2:30">
      <c r="C47" s="140" t="str">
        <f>F7</f>
        <v>(d)</v>
      </c>
      <c r="D47" s="130" t="str">
        <f>"= ("&amp;$D$7&amp;" + "&amp;$E$7&amp;") /  (8.76 x "&amp;TEXT(C63,"0.0%")&amp;")"</f>
        <v>= ((b) + (c)) /  (8.76 x 32.5%)</v>
      </c>
      <c r="AC47" s="265"/>
    </row>
    <row r="48" spans="2:30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J7</f>
        <v>(h)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Utah South Solar with Storage - 33%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62">
        <v>2024</v>
      </c>
    </row>
    <row r="55" spans="2:25">
      <c r="B55" s="85" t="s">
        <v>101</v>
      </c>
      <c r="C55" s="170">
        <v>1611.5125096665929</v>
      </c>
      <c r="D55" s="117" t="s">
        <v>65</v>
      </c>
      <c r="O55" s="266">
        <v>230.8</v>
      </c>
      <c r="P55" s="117" t="s">
        <v>32</v>
      </c>
      <c r="Q55" s="262" t="s">
        <v>107</v>
      </c>
      <c r="R55" s="262" t="s">
        <v>108</v>
      </c>
      <c r="T55" s="262" t="str">
        <f>$Q$55&amp;"Proposed Station Capital Costs"</f>
        <v>L1.US1_PVSProposed Station Capital Costs</v>
      </c>
    </row>
    <row r="56" spans="2:25">
      <c r="B56" s="85" t="s">
        <v>101</v>
      </c>
      <c r="C56" s="256">
        <v>24.570618817436728</v>
      </c>
      <c r="D56" s="117" t="s">
        <v>68</v>
      </c>
      <c r="R56" s="119"/>
      <c r="T56" s="262" t="str">
        <f>$Q$55&amp;"Proposed Station Fixed Costs"</f>
        <v>L1.US1_PVSProposed Station Fixed Costs</v>
      </c>
    </row>
    <row r="57" spans="2:25" ht="24" customHeight="1">
      <c r="B57" s="85"/>
      <c r="C57" s="258"/>
      <c r="D57" s="117" t="s">
        <v>105</v>
      </c>
      <c r="Q57" s="201" t="str">
        <f>Q55&amp;Q54</f>
        <v>L1.US1_PVS2024</v>
      </c>
      <c r="T57" s="262" t="str">
        <f>$Q$55&amp;"Proposed Station Variable O&amp;M Costs"</f>
        <v>L1.US1_PVSProposed Station Variable O&amp;M Costs</v>
      </c>
    </row>
    <row r="58" spans="2:25">
      <c r="B58" s="85" t="s">
        <v>101</v>
      </c>
      <c r="C58" s="256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263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84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57" t="str">
        <f>LEFT(RIGHT(INDEX('Table 3 TransCost'!$39:$39,1,MATCH(F60,'Table 3 TransCost'!$4:$4,0)),6),5)</f>
        <v>2023$</v>
      </c>
      <c r="C60" s="258">
        <f>INDEX('Table 3 TransCost'!$39:$39,1,MATCH(F60,'Table 3 TransCost'!$4:$4,0)+2)</f>
        <v>1.4680258019147514</v>
      </c>
      <c r="D60" s="117" t="s">
        <v>218</v>
      </c>
      <c r="F60" s="262" t="s">
        <v>221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87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57">
        <v>5.0849999999999999E-2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195">
        <v>0.32500000000000001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December 31, 2020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2.3E-2</v>
      </c>
      <c r="H68" s="41"/>
      <c r="I68" s="87">
        <f t="shared" ref="I68:I74" si="11">I67+1</f>
        <v>2037</v>
      </c>
      <c r="J68" s="41">
        <v>2.3E-2</v>
      </c>
    </row>
    <row r="69" spans="3:14">
      <c r="C69" s="87">
        <f t="shared" si="9"/>
        <v>2020</v>
      </c>
      <c r="D69" s="41">
        <v>1.2E-2</v>
      </c>
      <c r="E69" s="85"/>
      <c r="F69" s="87">
        <f t="shared" si="10"/>
        <v>2029</v>
      </c>
      <c r="G69" s="41">
        <v>2.3E-2</v>
      </c>
      <c r="H69" s="41"/>
      <c r="I69" s="87">
        <f t="shared" si="11"/>
        <v>2038</v>
      </c>
      <c r="J69" s="41">
        <v>2.3E-2</v>
      </c>
    </row>
    <row r="70" spans="3:14">
      <c r="C70" s="87">
        <f t="shared" si="9"/>
        <v>2021</v>
      </c>
      <c r="D70" s="41">
        <v>1.9E-2</v>
      </c>
      <c r="E70" s="85"/>
      <c r="F70" s="87">
        <f t="shared" si="10"/>
        <v>2030</v>
      </c>
      <c r="G70" s="41">
        <v>2.3E-2</v>
      </c>
      <c r="H70" s="41"/>
      <c r="I70" s="87">
        <f t="shared" si="11"/>
        <v>2039</v>
      </c>
      <c r="J70" s="41">
        <v>2.3E-2</v>
      </c>
    </row>
    <row r="71" spans="3:14">
      <c r="C71" s="87">
        <f t="shared" si="9"/>
        <v>2022</v>
      </c>
      <c r="D71" s="41">
        <v>2.1999999999999999E-2</v>
      </c>
      <c r="E71" s="85"/>
      <c r="F71" s="87">
        <f t="shared" si="10"/>
        <v>2031</v>
      </c>
      <c r="G71" s="41">
        <v>2.3E-2</v>
      </c>
      <c r="H71" s="41"/>
      <c r="I71" s="87">
        <f t="shared" si="11"/>
        <v>2040</v>
      </c>
      <c r="J71" s="41">
        <v>2.3E-2</v>
      </c>
    </row>
    <row r="72" spans="3:14" s="119" customFormat="1">
      <c r="C72" s="87">
        <f t="shared" si="9"/>
        <v>2023</v>
      </c>
      <c r="D72" s="41">
        <v>0.02</v>
      </c>
      <c r="E72" s="86"/>
      <c r="F72" s="87">
        <f t="shared" si="10"/>
        <v>2032</v>
      </c>
      <c r="G72" s="41">
        <v>2.3E-2</v>
      </c>
      <c r="H72" s="41"/>
      <c r="I72" s="87">
        <f t="shared" si="11"/>
        <v>2041</v>
      </c>
      <c r="J72" s="41">
        <v>2.3E-2</v>
      </c>
      <c r="N72" s="164"/>
    </row>
    <row r="73" spans="3:14" s="119" customFormat="1">
      <c r="C73" s="87">
        <f t="shared" si="9"/>
        <v>2024</v>
      </c>
      <c r="D73" s="41">
        <v>0.02</v>
      </c>
      <c r="E73" s="86"/>
      <c r="F73" s="87">
        <f t="shared" si="10"/>
        <v>2033</v>
      </c>
      <c r="G73" s="41">
        <v>2.3E-2</v>
      </c>
      <c r="H73" s="41"/>
      <c r="I73" s="87">
        <f t="shared" si="11"/>
        <v>2042</v>
      </c>
      <c r="J73" s="41">
        <v>2.3E-2</v>
      </c>
      <c r="N73" s="164"/>
    </row>
    <row r="74" spans="3:14" s="119" customFormat="1">
      <c r="C74" s="87">
        <f t="shared" si="9"/>
        <v>2025</v>
      </c>
      <c r="D74" s="41">
        <v>2.1000000000000001E-2</v>
      </c>
      <c r="E74" s="86"/>
      <c r="F74" s="87">
        <f t="shared" si="10"/>
        <v>2034</v>
      </c>
      <c r="G74" s="41">
        <v>2.3E-2</v>
      </c>
      <c r="H74" s="41"/>
      <c r="I74" s="87">
        <f t="shared" si="11"/>
        <v>2043</v>
      </c>
      <c r="J74" s="41">
        <v>2.4E-2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D102"/>
  <sheetViews>
    <sheetView zoomScale="80" zoomScaleNormal="80" workbookViewId="0">
      <selection activeCell="K20" sqref="K20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1.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0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0" ht="15.75">
      <c r="B2" s="115" t="s">
        <v>106</v>
      </c>
      <c r="C2" s="116"/>
      <c r="D2" s="116"/>
      <c r="E2" s="116"/>
      <c r="F2" s="116"/>
      <c r="G2" s="116"/>
      <c r="H2" s="116"/>
      <c r="I2" s="116"/>
      <c r="J2" s="116"/>
    </row>
    <row r="3" spans="2:30" ht="15.75">
      <c r="B3" s="115" t="str">
        <f>TEXT($C$63,"0%")&amp;" Capacity Factor"</f>
        <v>33%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</row>
    <row r="4" spans="2:30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</row>
    <row r="5" spans="2:30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01"/>
      <c r="N5" s="201"/>
      <c r="P5" s="201"/>
      <c r="R5" s="263"/>
      <c r="S5" s="119"/>
      <c r="T5" s="119"/>
      <c r="U5" s="119"/>
      <c r="V5" s="119"/>
      <c r="W5" s="119"/>
      <c r="X5" s="119"/>
      <c r="Y5" s="369"/>
      <c r="Z5" s="369"/>
      <c r="AA5" s="119"/>
      <c r="AB5" s="119"/>
      <c r="AC5" s="119"/>
      <c r="AD5" s="119"/>
    </row>
    <row r="6" spans="2:30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64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2:30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</row>
    <row r="8" spans="2:30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</row>
    <row r="9" spans="2:30" ht="15.75">
      <c r="B9" s="43" t="str">
        <f>C52</f>
        <v>2019 IRP Utah South Solar with Storage - 33%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</row>
    <row r="10" spans="2:30">
      <c r="B10" s="126"/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</row>
    <row r="11" spans="2:30">
      <c r="B11" s="126"/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</row>
    <row r="12" spans="2:30">
      <c r="B12" s="135"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S12" s="119"/>
      <c r="T12" s="164"/>
      <c r="U12" s="160"/>
      <c r="V12" s="160"/>
      <c r="W12" s="119"/>
      <c r="X12" s="119"/>
      <c r="Y12" s="160"/>
      <c r="Z12" s="160"/>
      <c r="AA12" s="119"/>
      <c r="AB12" s="119"/>
      <c r="AC12" s="119"/>
      <c r="AD12" s="119"/>
    </row>
    <row r="13" spans="2:30">
      <c r="B13" s="135">
        <f t="shared" ref="B13:B37" si="0">B12+1</f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S13" s="119"/>
      <c r="T13" s="119"/>
      <c r="U13" s="119"/>
      <c r="V13" s="160"/>
      <c r="W13" s="119"/>
      <c r="X13" s="119"/>
      <c r="Y13" s="160"/>
      <c r="Z13" s="160"/>
      <c r="AA13" s="119"/>
      <c r="AB13" s="119"/>
      <c r="AC13" s="119"/>
      <c r="AD13" s="119"/>
    </row>
    <row r="14" spans="2:30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S14" s="119"/>
      <c r="T14" s="119"/>
      <c r="U14" s="119"/>
      <c r="V14" s="160"/>
      <c r="W14" s="119"/>
      <c r="X14" s="119"/>
      <c r="Y14" s="160"/>
      <c r="Z14" s="160"/>
      <c r="AA14" s="119"/>
      <c r="AB14" s="119"/>
      <c r="AC14" s="119"/>
      <c r="AD14" s="119"/>
    </row>
    <row r="15" spans="2:30">
      <c r="B15" s="135">
        <f t="shared" si="0"/>
        <v>2021</v>
      </c>
      <c r="C15" s="136"/>
      <c r="D15" s="128"/>
      <c r="E15" s="128">
        <f t="shared" si="1"/>
        <v>25.79</v>
      </c>
      <c r="F15" s="128"/>
      <c r="G15" s="130"/>
      <c r="H15" s="128">
        <f t="shared" si="2"/>
        <v>0</v>
      </c>
      <c r="I15" s="130"/>
      <c r="J15" s="130"/>
      <c r="K15" s="128">
        <f t="shared" si="3"/>
        <v>25.79</v>
      </c>
      <c r="L15" s="119"/>
      <c r="N15" s="117"/>
      <c r="O15" s="259"/>
      <c r="P15" s="133"/>
      <c r="Q15" s="134"/>
      <c r="R15" s="119"/>
      <c r="S15" s="119"/>
      <c r="T15" s="119"/>
      <c r="U15" s="119"/>
      <c r="V15" s="160"/>
      <c r="W15" s="119"/>
      <c r="X15" s="119"/>
      <c r="Y15" s="160"/>
      <c r="Z15" s="160"/>
      <c r="AA15" s="119"/>
      <c r="AB15" s="119"/>
      <c r="AC15" s="119"/>
      <c r="AD15" s="119"/>
    </row>
    <row r="16" spans="2:30">
      <c r="B16" s="135">
        <f t="shared" si="0"/>
        <v>2022</v>
      </c>
      <c r="C16" s="136"/>
      <c r="D16" s="128"/>
      <c r="E16" s="128">
        <f t="shared" si="1"/>
        <v>26.36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26.36</v>
      </c>
      <c r="L16" s="119"/>
      <c r="N16" s="117"/>
      <c r="R16" s="119"/>
      <c r="S16" s="119"/>
      <c r="T16" s="119"/>
      <c r="U16" s="119"/>
      <c r="V16" s="160"/>
      <c r="W16" s="119"/>
      <c r="X16" s="119"/>
      <c r="Y16" s="160"/>
      <c r="Z16" s="160"/>
      <c r="AA16" s="119"/>
      <c r="AB16" s="119"/>
      <c r="AC16" s="119"/>
      <c r="AD16" s="119"/>
    </row>
    <row r="17" spans="2:30">
      <c r="B17" s="135">
        <f t="shared" si="0"/>
        <v>2023</v>
      </c>
      <c r="C17" s="136"/>
      <c r="D17" s="128"/>
      <c r="E17" s="128">
        <f t="shared" si="1"/>
        <v>26.89</v>
      </c>
      <c r="F17" s="128"/>
      <c r="G17" s="130"/>
      <c r="H17" s="128">
        <f t="shared" si="2"/>
        <v>0</v>
      </c>
      <c r="I17" s="130"/>
      <c r="J17" s="130"/>
      <c r="K17" s="128">
        <f t="shared" si="3"/>
        <v>26.89</v>
      </c>
      <c r="L17" s="119"/>
      <c r="N17" s="117"/>
      <c r="O17" s="132"/>
      <c r="R17" s="119"/>
      <c r="S17" s="119"/>
      <c r="T17" s="119"/>
      <c r="U17" s="119"/>
      <c r="V17" s="160"/>
      <c r="W17" s="119"/>
      <c r="X17" s="119"/>
      <c r="Y17" s="160"/>
      <c r="Z17" s="160"/>
      <c r="AA17" s="119"/>
      <c r="AB17" s="119"/>
      <c r="AC17" s="119"/>
      <c r="AD17" s="119"/>
    </row>
    <row r="18" spans="2:30">
      <c r="B18" s="135">
        <f t="shared" si="0"/>
        <v>2024</v>
      </c>
      <c r="C18" s="136"/>
      <c r="D18" s="128"/>
      <c r="E18" s="128">
        <f t="shared" si="1"/>
        <v>27.43</v>
      </c>
      <c r="F18" s="128"/>
      <c r="G18" s="130"/>
      <c r="H18" s="128">
        <f t="shared" si="2"/>
        <v>0</v>
      </c>
      <c r="I18" s="130"/>
      <c r="J18" s="130"/>
      <c r="K18" s="128">
        <f t="shared" si="3"/>
        <v>27.43</v>
      </c>
      <c r="L18" s="119"/>
      <c r="N18" s="117"/>
      <c r="P18" s="268"/>
      <c r="Q18" s="153"/>
      <c r="R18" s="119"/>
      <c r="S18" s="119"/>
      <c r="T18" s="164"/>
      <c r="U18" s="160"/>
      <c r="V18" s="160"/>
      <c r="W18" s="119"/>
      <c r="X18" s="160"/>
      <c r="Y18" s="160"/>
      <c r="Z18" s="160"/>
      <c r="AA18" s="374"/>
      <c r="AB18" s="374"/>
      <c r="AC18" s="119"/>
      <c r="AD18" s="119"/>
    </row>
    <row r="19" spans="2:30">
      <c r="B19" s="135">
        <f t="shared" si="0"/>
        <v>2025</v>
      </c>
      <c r="C19" s="136"/>
      <c r="D19" s="128"/>
      <c r="E19" s="128">
        <f t="shared" si="1"/>
        <v>28.01</v>
      </c>
      <c r="F19" s="128"/>
      <c r="G19" s="130"/>
      <c r="H19" s="128">
        <f t="shared" si="2"/>
        <v>0</v>
      </c>
      <c r="I19" s="130"/>
      <c r="J19" s="130"/>
      <c r="K19" s="128">
        <f t="shared" si="3"/>
        <v>28.01</v>
      </c>
      <c r="L19" s="119"/>
      <c r="N19" s="117"/>
      <c r="R19" s="119"/>
      <c r="S19" s="119"/>
      <c r="T19" s="164"/>
      <c r="U19" s="160"/>
      <c r="V19" s="160"/>
      <c r="W19" s="119"/>
      <c r="X19" s="160"/>
      <c r="Y19" s="160"/>
      <c r="Z19" s="160"/>
      <c r="AA19" s="119"/>
      <c r="AB19" s="119"/>
      <c r="AC19" s="119"/>
      <c r="AD19" s="119"/>
    </row>
    <row r="20" spans="2:30">
      <c r="B20" s="135">
        <f t="shared" si="0"/>
        <v>2026</v>
      </c>
      <c r="C20" s="136"/>
      <c r="D20" s="128"/>
      <c r="E20" s="128">
        <f t="shared" si="1"/>
        <v>28.63</v>
      </c>
      <c r="F20" s="128"/>
      <c r="G20" s="130"/>
      <c r="H20" s="128">
        <f t="shared" si="2"/>
        <v>0</v>
      </c>
      <c r="I20" s="130"/>
      <c r="J20" s="130"/>
      <c r="K20" s="128">
        <f t="shared" si="3"/>
        <v>28.63</v>
      </c>
      <c r="L20" s="119"/>
      <c r="N20" s="117"/>
      <c r="R20" s="160"/>
      <c r="S20" s="119"/>
      <c r="T20" s="164"/>
      <c r="U20" s="160"/>
      <c r="V20" s="160"/>
      <c r="W20" s="119"/>
      <c r="X20" s="160"/>
      <c r="Y20" s="160"/>
      <c r="Z20" s="160"/>
      <c r="AA20" s="119"/>
      <c r="AB20" s="119"/>
      <c r="AC20" s="119"/>
      <c r="AD20" s="119"/>
    </row>
    <row r="21" spans="2:30">
      <c r="B21" s="135">
        <f t="shared" si="0"/>
        <v>2027</v>
      </c>
      <c r="C21" s="136"/>
      <c r="D21" s="128"/>
      <c r="E21" s="128">
        <f t="shared" si="1"/>
        <v>29.29</v>
      </c>
      <c r="F21" s="128"/>
      <c r="G21" s="130"/>
      <c r="H21" s="128">
        <f t="shared" si="2"/>
        <v>0</v>
      </c>
      <c r="I21" s="130"/>
      <c r="J21" s="130"/>
      <c r="K21" s="128">
        <f t="shared" si="3"/>
        <v>29.29</v>
      </c>
      <c r="L21" s="119"/>
      <c r="N21" s="117"/>
      <c r="R21" s="160"/>
      <c r="S21" s="119"/>
      <c r="T21" s="164"/>
      <c r="U21" s="160"/>
      <c r="V21" s="160"/>
      <c r="W21" s="119"/>
      <c r="X21" s="160"/>
      <c r="Y21" s="160"/>
      <c r="Z21" s="160"/>
      <c r="AA21" s="119"/>
      <c r="AB21" s="119"/>
      <c r="AC21" s="119"/>
      <c r="AD21" s="119"/>
    </row>
    <row r="22" spans="2:30">
      <c r="B22" s="135">
        <f t="shared" si="0"/>
        <v>2028</v>
      </c>
      <c r="C22" s="136"/>
      <c r="D22" s="128"/>
      <c r="E22" s="128">
        <f t="shared" si="1"/>
        <v>29.96</v>
      </c>
      <c r="F22" s="128"/>
      <c r="G22" s="130"/>
      <c r="H22" s="128">
        <f t="shared" si="2"/>
        <v>0</v>
      </c>
      <c r="I22" s="130"/>
      <c r="J22" s="130"/>
      <c r="K22" s="128">
        <f t="shared" si="3"/>
        <v>29.96</v>
      </c>
      <c r="L22" s="119"/>
      <c r="N22" s="117"/>
      <c r="R22" s="160"/>
      <c r="S22" s="119"/>
      <c r="T22" s="164"/>
      <c r="U22" s="160"/>
      <c r="V22" s="160"/>
      <c r="W22" s="119"/>
      <c r="X22" s="160"/>
      <c r="Y22" s="160"/>
      <c r="Z22" s="160"/>
      <c r="AA22" s="119"/>
      <c r="AB22" s="119"/>
      <c r="AC22" s="119"/>
      <c r="AD22" s="119"/>
    </row>
    <row r="23" spans="2:30">
      <c r="B23" s="135">
        <f t="shared" si="0"/>
        <v>2029</v>
      </c>
      <c r="C23" s="136"/>
      <c r="D23" s="128"/>
      <c r="E23" s="128">
        <f t="shared" si="1"/>
        <v>30.65</v>
      </c>
      <c r="F23" s="128"/>
      <c r="G23" s="130"/>
      <c r="H23" s="128">
        <f t="shared" si="2"/>
        <v>0</v>
      </c>
      <c r="I23" s="130"/>
      <c r="J23" s="130"/>
      <c r="K23" s="128">
        <f t="shared" si="3"/>
        <v>30.65</v>
      </c>
      <c r="L23" s="119"/>
      <c r="N23" s="117"/>
      <c r="R23" s="160"/>
      <c r="S23" s="119"/>
      <c r="T23" s="164"/>
      <c r="U23" s="160"/>
      <c r="V23" s="160"/>
      <c r="W23" s="119"/>
      <c r="X23" s="160"/>
      <c r="Y23" s="160"/>
      <c r="Z23" s="160"/>
      <c r="AA23" s="119"/>
      <c r="AB23" s="119"/>
      <c r="AC23" s="119"/>
      <c r="AD23" s="119"/>
    </row>
    <row r="24" spans="2:30">
      <c r="B24" s="135">
        <f t="shared" si="0"/>
        <v>2030</v>
      </c>
      <c r="C24" s="335">
        <v>1208.8</v>
      </c>
      <c r="D24" s="128">
        <f>C24*$C$62</f>
        <v>81.594000000000008</v>
      </c>
      <c r="E24" s="128">
        <f t="shared" si="1"/>
        <v>31.35</v>
      </c>
      <c r="F24" s="128">
        <f>C60</f>
        <v>21.577297145999619</v>
      </c>
      <c r="G24" s="130">
        <f>(D24+E24+F24)/(8.76*$C$63)</f>
        <v>47.250192183350762</v>
      </c>
      <c r="H24" s="128">
        <f t="shared" si="2"/>
        <v>0</v>
      </c>
      <c r="I24" s="130">
        <f>(G24+H24)</f>
        <v>47.250192183350762</v>
      </c>
      <c r="J24" s="130">
        <f t="shared" ref="J24:J32" si="4">ROUND(I24*$C$63*8.76,2)</f>
        <v>134.52000000000001</v>
      </c>
      <c r="K24" s="128">
        <f t="shared" si="3"/>
        <v>134.52129714599963</v>
      </c>
      <c r="L24" s="119"/>
      <c r="N24" s="117"/>
      <c r="R24" s="160"/>
      <c r="S24" s="119"/>
      <c r="T24" s="164"/>
      <c r="U24" s="160"/>
      <c r="V24" s="160"/>
      <c r="W24" s="119"/>
      <c r="X24" s="160"/>
      <c r="Y24" s="160"/>
      <c r="Z24" s="160"/>
      <c r="AA24" s="119"/>
      <c r="AB24" s="119"/>
      <c r="AC24" s="119"/>
      <c r="AD24" s="119"/>
    </row>
    <row r="25" spans="2:30">
      <c r="B25" s="135">
        <f t="shared" si="0"/>
        <v>2031</v>
      </c>
      <c r="C25" s="136"/>
      <c r="D25" s="128">
        <f t="shared" ref="D25:F37" si="5">ROUND(D24*(1+(IFERROR(INDEX($D$66:$D$74,MATCH($B25,$C$66:$C$74,0),1),0)+IFERROR(INDEX($G$66:$G$74,MATCH($B25,$F$66:$F$74,0),1),0)+IFERROR(INDEX($J$66:$J$74,MATCH($B25,$I$66:$I$74,0),1),0))),2)</f>
        <v>83.47</v>
      </c>
      <c r="E25" s="128">
        <f t="shared" si="1"/>
        <v>32.07</v>
      </c>
      <c r="F25" s="128">
        <f t="shared" si="5"/>
        <v>22.07</v>
      </c>
      <c r="G25" s="130">
        <f t="shared" ref="G25:G37" si="6">(D25+E25+F25)/(8.76*$C$63)</f>
        <v>48.335089567966278</v>
      </c>
      <c r="H25" s="128">
        <f t="shared" si="2"/>
        <v>0</v>
      </c>
      <c r="I25" s="130">
        <f t="shared" ref="I25:I37" si="7">(G25+H25)</f>
        <v>48.335089567966278</v>
      </c>
      <c r="J25" s="130">
        <f t="shared" si="4"/>
        <v>137.61000000000001</v>
      </c>
      <c r="K25" s="128">
        <f t="shared" si="3"/>
        <v>137.60999999999999</v>
      </c>
      <c r="L25" s="119"/>
      <c r="N25" s="117"/>
      <c r="R25" s="160"/>
      <c r="S25" s="119"/>
      <c r="T25" s="164"/>
      <c r="U25" s="160"/>
      <c r="V25" s="160"/>
      <c r="W25" s="119"/>
      <c r="X25" s="160"/>
      <c r="Y25" s="160"/>
      <c r="Z25" s="160"/>
      <c r="AA25" s="119"/>
      <c r="AB25" s="119"/>
      <c r="AC25" s="119"/>
      <c r="AD25" s="119"/>
    </row>
    <row r="26" spans="2:30">
      <c r="B26" s="135">
        <f t="shared" si="0"/>
        <v>2032</v>
      </c>
      <c r="C26" s="136"/>
      <c r="D26" s="128">
        <f t="shared" si="5"/>
        <v>85.39</v>
      </c>
      <c r="E26" s="128">
        <f t="shared" si="1"/>
        <v>32.81</v>
      </c>
      <c r="F26" s="128">
        <f t="shared" si="5"/>
        <v>22.58</v>
      </c>
      <c r="G26" s="130">
        <f t="shared" si="6"/>
        <v>49.448542325254657</v>
      </c>
      <c r="H26" s="128">
        <f t="shared" si="2"/>
        <v>0</v>
      </c>
      <c r="I26" s="130">
        <f t="shared" si="7"/>
        <v>49.448542325254657</v>
      </c>
      <c r="J26" s="130">
        <f t="shared" si="4"/>
        <v>140.78</v>
      </c>
      <c r="K26" s="128">
        <f t="shared" si="3"/>
        <v>140.78</v>
      </c>
      <c r="L26" s="119"/>
      <c r="N26" s="117"/>
      <c r="R26" s="160"/>
      <c r="S26" s="119"/>
      <c r="T26" s="164"/>
      <c r="U26" s="160"/>
      <c r="V26" s="160"/>
      <c r="W26" s="119"/>
      <c r="X26" s="160"/>
      <c r="Y26" s="160"/>
      <c r="Z26" s="160"/>
      <c r="AA26" s="119"/>
      <c r="AB26" s="119"/>
      <c r="AC26" s="119"/>
      <c r="AD26" s="119"/>
    </row>
    <row r="27" spans="2:30">
      <c r="B27" s="135">
        <f t="shared" si="0"/>
        <v>2033</v>
      </c>
      <c r="C27" s="136"/>
      <c r="D27" s="128">
        <f t="shared" si="5"/>
        <v>87.35</v>
      </c>
      <c r="E27" s="128">
        <f t="shared" si="1"/>
        <v>33.56</v>
      </c>
      <c r="F27" s="128">
        <f t="shared" si="5"/>
        <v>23.1</v>
      </c>
      <c r="G27" s="130">
        <f t="shared" si="6"/>
        <v>50.58306989813839</v>
      </c>
      <c r="H27" s="128">
        <f t="shared" si="2"/>
        <v>0</v>
      </c>
      <c r="I27" s="130">
        <f t="shared" si="7"/>
        <v>50.58306989813839</v>
      </c>
      <c r="J27" s="130">
        <f t="shared" si="4"/>
        <v>144.01</v>
      </c>
      <c r="K27" s="128">
        <f t="shared" si="3"/>
        <v>144.01</v>
      </c>
      <c r="L27" s="119"/>
      <c r="N27" s="117"/>
      <c r="R27" s="160"/>
      <c r="S27" s="119"/>
      <c r="T27" s="164"/>
      <c r="U27" s="160"/>
      <c r="V27" s="160"/>
      <c r="W27" s="119"/>
      <c r="X27" s="160"/>
      <c r="Y27" s="160"/>
      <c r="Z27" s="160"/>
      <c r="AA27" s="119"/>
      <c r="AB27" s="119"/>
      <c r="AC27" s="119"/>
      <c r="AD27" s="119"/>
    </row>
    <row r="28" spans="2:30">
      <c r="B28" s="135">
        <f t="shared" si="0"/>
        <v>2034</v>
      </c>
      <c r="C28" s="136"/>
      <c r="D28" s="128">
        <f t="shared" si="5"/>
        <v>89.36</v>
      </c>
      <c r="E28" s="128">
        <f t="shared" si="1"/>
        <v>34.33</v>
      </c>
      <c r="F28" s="128">
        <f t="shared" si="5"/>
        <v>23.63</v>
      </c>
      <c r="G28" s="130">
        <f t="shared" si="6"/>
        <v>51.745697225149279</v>
      </c>
      <c r="H28" s="128">
        <f t="shared" si="2"/>
        <v>0</v>
      </c>
      <c r="I28" s="130">
        <f t="shared" si="7"/>
        <v>51.745697225149279</v>
      </c>
      <c r="J28" s="130">
        <f t="shared" si="4"/>
        <v>147.32</v>
      </c>
      <c r="K28" s="128">
        <f t="shared" si="3"/>
        <v>147.32</v>
      </c>
      <c r="L28" s="119"/>
      <c r="N28" s="117"/>
      <c r="R28" s="160"/>
      <c r="S28" s="119"/>
      <c r="T28" s="164"/>
      <c r="U28" s="160"/>
      <c r="V28" s="160"/>
      <c r="W28" s="119"/>
      <c r="X28" s="160"/>
      <c r="Y28" s="160"/>
      <c r="Z28" s="160"/>
      <c r="AA28" s="119"/>
      <c r="AB28" s="119"/>
      <c r="AC28" s="119"/>
      <c r="AD28" s="119"/>
    </row>
    <row r="29" spans="2:30">
      <c r="B29" s="135">
        <f t="shared" si="0"/>
        <v>2035</v>
      </c>
      <c r="C29" s="136"/>
      <c r="D29" s="128">
        <f t="shared" si="5"/>
        <v>91.42</v>
      </c>
      <c r="E29" s="128">
        <f t="shared" si="1"/>
        <v>35.119999999999997</v>
      </c>
      <c r="F29" s="128">
        <f t="shared" si="5"/>
        <v>24.17</v>
      </c>
      <c r="G29" s="130">
        <f t="shared" si="6"/>
        <v>52.936424306287314</v>
      </c>
      <c r="H29" s="128">
        <f t="shared" si="2"/>
        <v>0</v>
      </c>
      <c r="I29" s="130">
        <f t="shared" si="7"/>
        <v>52.936424306287314</v>
      </c>
      <c r="J29" s="130">
        <f t="shared" si="4"/>
        <v>150.71</v>
      </c>
      <c r="K29" s="128">
        <f t="shared" si="3"/>
        <v>150.70999999999998</v>
      </c>
      <c r="L29" s="119"/>
      <c r="N29" s="117"/>
      <c r="R29" s="160"/>
      <c r="S29" s="119"/>
      <c r="T29" s="164"/>
      <c r="U29" s="160"/>
      <c r="V29" s="160"/>
      <c r="W29" s="119"/>
      <c r="X29" s="160"/>
      <c r="Y29" s="160"/>
      <c r="Z29" s="160"/>
      <c r="AA29" s="119"/>
      <c r="AB29" s="119"/>
      <c r="AC29" s="119"/>
      <c r="AD29" s="119"/>
    </row>
    <row r="30" spans="2:30">
      <c r="B30" s="135">
        <f t="shared" si="0"/>
        <v>2036</v>
      </c>
      <c r="C30" s="136"/>
      <c r="D30" s="128">
        <f t="shared" si="5"/>
        <v>93.52</v>
      </c>
      <c r="E30" s="128">
        <f t="shared" si="1"/>
        <v>35.93</v>
      </c>
      <c r="F30" s="128">
        <f t="shared" si="5"/>
        <v>24.73</v>
      </c>
      <c r="G30" s="130">
        <f t="shared" si="6"/>
        <v>54.155251141552505</v>
      </c>
      <c r="H30" s="128">
        <f t="shared" si="2"/>
        <v>0</v>
      </c>
      <c r="I30" s="130">
        <f t="shared" si="7"/>
        <v>54.155251141552505</v>
      </c>
      <c r="J30" s="130">
        <f t="shared" si="4"/>
        <v>154.18</v>
      </c>
      <c r="K30" s="128">
        <f t="shared" si="3"/>
        <v>154.17999999999998</v>
      </c>
      <c r="L30" s="119"/>
      <c r="N30" s="117"/>
      <c r="R30" s="160"/>
      <c r="S30" s="119"/>
      <c r="T30" s="164"/>
      <c r="U30" s="160"/>
      <c r="V30" s="160"/>
      <c r="W30" s="119"/>
      <c r="X30" s="160"/>
      <c r="Y30" s="160"/>
      <c r="Z30" s="160"/>
      <c r="AA30" s="119"/>
      <c r="AB30" s="119"/>
      <c r="AC30" s="119"/>
      <c r="AD30" s="119"/>
    </row>
    <row r="31" spans="2:30">
      <c r="B31" s="135">
        <f t="shared" si="0"/>
        <v>2037</v>
      </c>
      <c r="C31" s="136"/>
      <c r="D31" s="128">
        <f t="shared" si="5"/>
        <v>95.67</v>
      </c>
      <c r="E31" s="128">
        <f t="shared" si="1"/>
        <v>36.76</v>
      </c>
      <c r="F31" s="128">
        <f t="shared" si="5"/>
        <v>25.3</v>
      </c>
      <c r="G31" s="130">
        <f t="shared" si="6"/>
        <v>55.402177730944864</v>
      </c>
      <c r="H31" s="128">
        <f t="shared" si="2"/>
        <v>0</v>
      </c>
      <c r="I31" s="130">
        <f t="shared" si="7"/>
        <v>55.402177730944864</v>
      </c>
      <c r="J31" s="130">
        <f t="shared" si="4"/>
        <v>157.72999999999999</v>
      </c>
      <c r="K31" s="128">
        <f t="shared" si="3"/>
        <v>157.73000000000002</v>
      </c>
      <c r="L31" s="119"/>
      <c r="N31" s="117"/>
      <c r="R31" s="160"/>
      <c r="S31" s="119"/>
      <c r="T31" s="164"/>
      <c r="U31" s="160"/>
      <c r="V31" s="160"/>
      <c r="W31" s="119"/>
      <c r="X31" s="160"/>
      <c r="Y31" s="160"/>
      <c r="Z31" s="160"/>
      <c r="AA31" s="119"/>
      <c r="AB31" s="119"/>
      <c r="AC31" s="119"/>
      <c r="AD31" s="119"/>
    </row>
    <row r="32" spans="2:30">
      <c r="B32" s="135">
        <f t="shared" si="0"/>
        <v>2038</v>
      </c>
      <c r="C32" s="136"/>
      <c r="D32" s="128">
        <f t="shared" si="5"/>
        <v>97.87</v>
      </c>
      <c r="E32" s="128">
        <f t="shared" si="1"/>
        <v>37.61</v>
      </c>
      <c r="F32" s="128">
        <f t="shared" si="5"/>
        <v>25.88</v>
      </c>
      <c r="G32" s="130">
        <f t="shared" si="6"/>
        <v>56.677204074464356</v>
      </c>
      <c r="H32" s="128">
        <f t="shared" si="2"/>
        <v>0</v>
      </c>
      <c r="I32" s="130">
        <f t="shared" si="7"/>
        <v>56.677204074464356</v>
      </c>
      <c r="J32" s="130">
        <f t="shared" si="4"/>
        <v>161.36000000000001</v>
      </c>
      <c r="K32" s="128">
        <f t="shared" si="3"/>
        <v>161.36000000000001</v>
      </c>
      <c r="L32" s="119"/>
      <c r="N32" s="117"/>
      <c r="R32" s="160"/>
      <c r="S32" s="119"/>
      <c r="T32" s="164"/>
      <c r="U32" s="160"/>
      <c r="V32" s="160"/>
      <c r="W32" s="119"/>
      <c r="X32" s="160"/>
      <c r="Y32" s="160"/>
      <c r="Z32" s="160"/>
      <c r="AA32" s="119"/>
      <c r="AB32" s="119"/>
      <c r="AC32" s="119"/>
      <c r="AD32" s="119"/>
    </row>
    <row r="33" spans="2:30">
      <c r="B33" s="135">
        <f t="shared" si="0"/>
        <v>2039</v>
      </c>
      <c r="C33" s="136"/>
      <c r="D33" s="128">
        <f t="shared" si="5"/>
        <v>100.12</v>
      </c>
      <c r="E33" s="128">
        <f t="shared" si="1"/>
        <v>38.479999999999997</v>
      </c>
      <c r="F33" s="128">
        <f t="shared" si="5"/>
        <v>26.48</v>
      </c>
      <c r="G33" s="130">
        <f t="shared" si="6"/>
        <v>57.983842641376881</v>
      </c>
      <c r="H33" s="128">
        <f t="shared" si="2"/>
        <v>0</v>
      </c>
      <c r="I33" s="130">
        <f t="shared" si="7"/>
        <v>57.983842641376881</v>
      </c>
      <c r="J33" s="130">
        <f t="shared" ref="J33:J37" si="8">ROUND(I33*$C$63*8.76,2)</f>
        <v>165.08</v>
      </c>
      <c r="K33" s="128">
        <f t="shared" si="3"/>
        <v>165.07999999999998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</row>
    <row r="34" spans="2:30">
      <c r="B34" s="135">
        <f t="shared" si="0"/>
        <v>2040</v>
      </c>
      <c r="C34" s="136"/>
      <c r="D34" s="128">
        <f t="shared" si="5"/>
        <v>102.42</v>
      </c>
      <c r="E34" s="128">
        <f t="shared" si="1"/>
        <v>39.369999999999997</v>
      </c>
      <c r="F34" s="128">
        <f t="shared" si="5"/>
        <v>27.09</v>
      </c>
      <c r="G34" s="130">
        <f t="shared" si="6"/>
        <v>59.318580962416576</v>
      </c>
      <c r="H34" s="128">
        <f t="shared" si="2"/>
        <v>0</v>
      </c>
      <c r="I34" s="130">
        <f t="shared" si="7"/>
        <v>59.318580962416576</v>
      </c>
      <c r="J34" s="130">
        <f t="shared" si="8"/>
        <v>168.88</v>
      </c>
      <c r="K34" s="128">
        <f t="shared" si="3"/>
        <v>168.88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</row>
    <row r="35" spans="2:30">
      <c r="B35" s="135">
        <f t="shared" si="0"/>
        <v>2041</v>
      </c>
      <c r="C35" s="136"/>
      <c r="D35" s="128">
        <f t="shared" si="5"/>
        <v>104.78</v>
      </c>
      <c r="E35" s="128">
        <f t="shared" si="1"/>
        <v>40.28</v>
      </c>
      <c r="F35" s="128">
        <f t="shared" si="5"/>
        <v>27.71</v>
      </c>
      <c r="G35" s="130">
        <f t="shared" si="6"/>
        <v>60.684931506849317</v>
      </c>
      <c r="H35" s="128">
        <f t="shared" si="2"/>
        <v>0</v>
      </c>
      <c r="I35" s="130">
        <f t="shared" si="7"/>
        <v>60.684931506849317</v>
      </c>
      <c r="J35" s="130">
        <f t="shared" si="8"/>
        <v>172.77</v>
      </c>
      <c r="K35" s="128">
        <f t="shared" si="3"/>
        <v>172.77</v>
      </c>
      <c r="L35" s="119"/>
      <c r="N35" s="117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</row>
    <row r="36" spans="2:30">
      <c r="B36" s="135">
        <f t="shared" si="0"/>
        <v>2042</v>
      </c>
      <c r="C36" s="136"/>
      <c r="D36" s="128">
        <f t="shared" si="5"/>
        <v>107.19</v>
      </c>
      <c r="E36" s="128">
        <f t="shared" si="1"/>
        <v>41.21</v>
      </c>
      <c r="F36" s="128">
        <f t="shared" si="5"/>
        <v>28.35</v>
      </c>
      <c r="G36" s="130">
        <f t="shared" si="6"/>
        <v>62.082894274675098</v>
      </c>
      <c r="H36" s="128">
        <f t="shared" si="2"/>
        <v>0</v>
      </c>
      <c r="I36" s="130">
        <f t="shared" si="7"/>
        <v>62.082894274675098</v>
      </c>
      <c r="J36" s="130">
        <f t="shared" si="8"/>
        <v>176.75</v>
      </c>
      <c r="K36" s="128">
        <f t="shared" si="3"/>
        <v>176.75</v>
      </c>
      <c r="L36" s="119"/>
      <c r="N36" s="117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</row>
    <row r="37" spans="2:30">
      <c r="B37" s="135">
        <f t="shared" si="0"/>
        <v>2043</v>
      </c>
      <c r="C37" s="131"/>
      <c r="D37" s="128">
        <f t="shared" si="5"/>
        <v>109.76</v>
      </c>
      <c r="E37" s="128">
        <f t="shared" si="1"/>
        <v>42.2</v>
      </c>
      <c r="F37" s="128">
        <f t="shared" si="5"/>
        <v>29.03</v>
      </c>
      <c r="G37" s="130">
        <f t="shared" si="6"/>
        <v>63.572181243414121</v>
      </c>
      <c r="H37" s="128">
        <f t="shared" si="2"/>
        <v>0</v>
      </c>
      <c r="I37" s="130">
        <f t="shared" si="7"/>
        <v>63.572181243414121</v>
      </c>
      <c r="J37" s="130">
        <f t="shared" si="8"/>
        <v>180.99</v>
      </c>
      <c r="K37" s="128">
        <f t="shared" si="3"/>
        <v>180.99</v>
      </c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</row>
    <row r="38" spans="2:30">
      <c r="B38" s="126"/>
      <c r="C38" s="131"/>
      <c r="D38" s="128"/>
      <c r="E38" s="128"/>
      <c r="F38" s="129"/>
      <c r="G38" s="128"/>
      <c r="H38" s="128"/>
      <c r="I38" s="130"/>
      <c r="J38" s="130"/>
      <c r="K38" s="137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</row>
    <row r="39" spans="2:30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</row>
    <row r="40" spans="2:30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</row>
    <row r="41" spans="2:30"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</row>
    <row r="42" spans="2:30" ht="14.25">
      <c r="B42" s="138" t="s">
        <v>25</v>
      </c>
      <c r="C42" s="139"/>
      <c r="D42" s="139"/>
      <c r="E42" s="139"/>
      <c r="F42" s="139"/>
      <c r="G42" s="139"/>
      <c r="H42" s="13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</row>
    <row r="43" spans="2:30"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</row>
    <row r="44" spans="2:30">
      <c r="B44" s="117" t="s">
        <v>63</v>
      </c>
      <c r="C44" s="140" t="s">
        <v>64</v>
      </c>
      <c r="D44" s="141" t="s">
        <v>102</v>
      </c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</row>
    <row r="45" spans="2:30">
      <c r="C45" s="140" t="str">
        <f>C7</f>
        <v>(a)</v>
      </c>
      <c r="D45" s="117" t="s">
        <v>65</v>
      </c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</row>
    <row r="46" spans="2:30">
      <c r="C46" s="140" t="str">
        <f>D7</f>
        <v>(b)</v>
      </c>
      <c r="D46" s="130" t="str">
        <f>"= "&amp;C7&amp;" x "&amp;C62</f>
        <v>= (a) x 0.0675</v>
      </c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</row>
    <row r="47" spans="2:30">
      <c r="C47" s="140" t="str">
        <f>G7</f>
        <v>(e)</v>
      </c>
      <c r="D47" s="130" t="str">
        <f>"= ("&amp;$D$7&amp;" + "&amp;$E$7&amp;") /  (8.76 x "&amp;TEXT(C63,"0.0%")&amp;")"</f>
        <v>= ((b) + (c)) /  (8.76 x 32.5%)</v>
      </c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</row>
    <row r="48" spans="2:30">
      <c r="C48" s="140" t="str">
        <f>I7</f>
        <v>(g)</v>
      </c>
      <c r="D48" s="130" t="str">
        <f>"= "&amp;$G$7&amp;" + "&amp;$H$7</f>
        <v>= (e) + (f)</v>
      </c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Utah South Solar with Storage - 33%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62">
        <v>2030</v>
      </c>
    </row>
    <row r="55" spans="2:25">
      <c r="B55" s="85" t="s">
        <v>101</v>
      </c>
      <c r="C55" s="170">
        <v>1611.5125096665929</v>
      </c>
      <c r="D55" s="117" t="s">
        <v>65</v>
      </c>
      <c r="O55" s="266">
        <v>500</v>
      </c>
      <c r="P55" s="117" t="s">
        <v>32</v>
      </c>
      <c r="Q55" s="262" t="s">
        <v>174</v>
      </c>
      <c r="R55" s="262" t="s">
        <v>175</v>
      </c>
      <c r="T55" s="262" t="str">
        <f>$Q$55&amp;"Proposed Station Capital Costs"</f>
        <v>L_.US4_PVSProposed Station Capital Costs</v>
      </c>
    </row>
    <row r="56" spans="2:25">
      <c r="B56" s="85" t="s">
        <v>101</v>
      </c>
      <c r="C56" s="256">
        <v>24.570618817436728</v>
      </c>
      <c r="D56" s="117" t="s">
        <v>68</v>
      </c>
      <c r="R56" s="119"/>
      <c r="T56" s="262" t="str">
        <f>$Q$55&amp;"Proposed Station Fixed Costs"</f>
        <v>L_.US4_PVSProposed Station Fixed Costs</v>
      </c>
    </row>
    <row r="57" spans="2:25" ht="24" customHeight="1">
      <c r="B57" s="85"/>
      <c r="C57" s="258"/>
      <c r="D57" s="117" t="s">
        <v>105</v>
      </c>
      <c r="Q57" s="201" t="str">
        <f>Q55&amp;Q54</f>
        <v>L_.US4_PVS2030</v>
      </c>
      <c r="T57" s="262" t="str">
        <f>$Q$55&amp;"Proposed Station Variable O&amp;M Costs"</f>
        <v>L_.US4_PVSProposed Station Variable O&amp;M Costs</v>
      </c>
    </row>
    <row r="58" spans="2:25">
      <c r="B58" s="85" t="s">
        <v>101</v>
      </c>
      <c r="C58" s="256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263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84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57" t="str">
        <f>LEFT(RIGHT(INDEX('Table 3 TransCost'!$39:$39,1,MATCH(F60,'Table 3 TransCost'!$4:$4,0)),6),5)</f>
        <v>2030$</v>
      </c>
      <c r="C60" s="258">
        <f>INDEX('Table 3 TransCost'!$39:$39,1,MATCH(F60,'Table 3 TransCost'!$4:$4,0)+2)</f>
        <v>21.577297145999619</v>
      </c>
      <c r="D60" s="117" t="s">
        <v>218</v>
      </c>
      <c r="F60" s="262" t="s">
        <v>222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87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57">
        <v>6.7500000000000004E-2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195">
        <v>0.32500000000000001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December 31, 2020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2.3E-2</v>
      </c>
      <c r="H68" s="41"/>
      <c r="I68" s="87">
        <f t="shared" ref="I68:I74" si="11">I67+1</f>
        <v>2037</v>
      </c>
      <c r="J68" s="41">
        <v>2.3E-2</v>
      </c>
    </row>
    <row r="69" spans="3:14">
      <c r="C69" s="87">
        <f t="shared" si="9"/>
        <v>2020</v>
      </c>
      <c r="D69" s="41">
        <v>1.2E-2</v>
      </c>
      <c r="E69" s="85"/>
      <c r="F69" s="87">
        <f t="shared" si="10"/>
        <v>2029</v>
      </c>
      <c r="G69" s="41">
        <v>2.3E-2</v>
      </c>
      <c r="H69" s="41"/>
      <c r="I69" s="87">
        <f t="shared" si="11"/>
        <v>2038</v>
      </c>
      <c r="J69" s="41">
        <v>2.3E-2</v>
      </c>
    </row>
    <row r="70" spans="3:14">
      <c r="C70" s="87">
        <f t="shared" si="9"/>
        <v>2021</v>
      </c>
      <c r="D70" s="41">
        <v>1.9E-2</v>
      </c>
      <c r="E70" s="85"/>
      <c r="F70" s="87">
        <f t="shared" si="10"/>
        <v>2030</v>
      </c>
      <c r="G70" s="41">
        <v>2.3E-2</v>
      </c>
      <c r="H70" s="41"/>
      <c r="I70" s="87">
        <f t="shared" si="11"/>
        <v>2039</v>
      </c>
      <c r="J70" s="41">
        <v>2.3E-2</v>
      </c>
    </row>
    <row r="71" spans="3:14">
      <c r="C71" s="87">
        <f t="shared" si="9"/>
        <v>2022</v>
      </c>
      <c r="D71" s="41">
        <v>2.1999999999999999E-2</v>
      </c>
      <c r="E71" s="85"/>
      <c r="F71" s="87">
        <f t="shared" si="10"/>
        <v>2031</v>
      </c>
      <c r="G71" s="41">
        <v>2.3E-2</v>
      </c>
      <c r="H71" s="41"/>
      <c r="I71" s="87">
        <f t="shared" si="11"/>
        <v>2040</v>
      </c>
      <c r="J71" s="41">
        <v>2.3E-2</v>
      </c>
    </row>
    <row r="72" spans="3:14" s="119" customFormat="1">
      <c r="C72" s="87">
        <f t="shared" si="9"/>
        <v>2023</v>
      </c>
      <c r="D72" s="41">
        <v>0.02</v>
      </c>
      <c r="E72" s="86"/>
      <c r="F72" s="87">
        <f t="shared" si="10"/>
        <v>2032</v>
      </c>
      <c r="G72" s="41">
        <v>2.3E-2</v>
      </c>
      <c r="H72" s="41"/>
      <c r="I72" s="87">
        <f t="shared" si="11"/>
        <v>2041</v>
      </c>
      <c r="J72" s="41">
        <v>2.3E-2</v>
      </c>
      <c r="N72" s="164"/>
    </row>
    <row r="73" spans="3:14" s="119" customFormat="1">
      <c r="C73" s="87">
        <f t="shared" si="9"/>
        <v>2024</v>
      </c>
      <c r="D73" s="41">
        <v>0.02</v>
      </c>
      <c r="E73" s="86"/>
      <c r="F73" s="87">
        <f t="shared" si="10"/>
        <v>2033</v>
      </c>
      <c r="G73" s="41">
        <v>2.3E-2</v>
      </c>
      <c r="H73" s="41"/>
      <c r="I73" s="87">
        <f t="shared" si="11"/>
        <v>2042</v>
      </c>
      <c r="J73" s="41">
        <v>2.3E-2</v>
      </c>
      <c r="N73" s="164"/>
    </row>
    <row r="74" spans="3:14" s="119" customFormat="1">
      <c r="C74" s="87">
        <f t="shared" si="9"/>
        <v>2025</v>
      </c>
      <c r="D74" s="41">
        <v>2.1000000000000001E-2</v>
      </c>
      <c r="E74" s="86"/>
      <c r="F74" s="87">
        <f t="shared" si="10"/>
        <v>2034</v>
      </c>
      <c r="G74" s="41">
        <v>2.3E-2</v>
      </c>
      <c r="H74" s="41"/>
      <c r="I74" s="87">
        <f t="shared" si="11"/>
        <v>2043</v>
      </c>
      <c r="J74" s="41">
        <v>2.4E-2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102"/>
  <sheetViews>
    <sheetView zoomScale="70" zoomScaleNormal="70" workbookViewId="0">
      <selection activeCell="K20" sqref="K20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0.6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4" width="9.33203125" style="117"/>
    <col min="25" max="25" width="12" style="117" bestFit="1" customWidth="1"/>
    <col min="26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2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2" ht="15.75">
      <c r="B2" s="115" t="s">
        <v>147</v>
      </c>
      <c r="C2" s="116"/>
      <c r="D2" s="116"/>
      <c r="E2" s="116"/>
      <c r="F2" s="116"/>
      <c r="G2" s="116"/>
      <c r="H2" s="116"/>
      <c r="I2" s="116"/>
      <c r="J2" s="116"/>
      <c r="R2" s="119"/>
      <c r="S2" s="119"/>
      <c r="T2" s="119"/>
      <c r="U2" s="119"/>
      <c r="V2" s="119"/>
      <c r="W2" s="119"/>
      <c r="X2" s="119"/>
      <c r="Y2" s="119"/>
    </row>
    <row r="3" spans="2:32" ht="15.75">
      <c r="B3" s="115" t="str">
        <f>TEXT($C$63,"0%")&amp;"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</row>
    <row r="4" spans="2:32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</row>
    <row r="5" spans="2:32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01"/>
      <c r="N5" s="201"/>
      <c r="P5" s="201"/>
      <c r="R5" s="263"/>
      <c r="S5" s="119"/>
      <c r="T5" s="119"/>
      <c r="U5" s="119"/>
      <c r="V5" s="119"/>
      <c r="W5" s="119"/>
      <c r="X5" s="119"/>
      <c r="Y5" s="369"/>
      <c r="Z5" s="201"/>
    </row>
    <row r="6" spans="2:32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64"/>
      <c r="S6" s="119"/>
      <c r="T6" s="119"/>
      <c r="U6" s="119"/>
      <c r="V6" s="119"/>
      <c r="W6" s="119"/>
      <c r="X6" s="119"/>
      <c r="Y6" s="119"/>
    </row>
    <row r="7" spans="2:32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</row>
    <row r="8" spans="2:32" ht="6" customHeight="1">
      <c r="K8" s="119"/>
      <c r="R8" s="119"/>
      <c r="S8" s="119"/>
      <c r="T8" s="119"/>
      <c r="U8" s="119"/>
      <c r="V8" s="119"/>
      <c r="W8" s="119"/>
      <c r="X8" s="119"/>
      <c r="Y8" s="119"/>
    </row>
    <row r="9" spans="2:32" ht="15.75">
      <c r="B9" s="43" t="str">
        <f>C52</f>
        <v>2019 IRP Jim Bridger Solar with Storage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</row>
    <row r="10" spans="2:32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</row>
    <row r="11" spans="2:32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</row>
    <row r="12" spans="2:32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T12" s="161"/>
      <c r="U12" s="153"/>
      <c r="V12" s="153"/>
      <c r="W12" s="266"/>
      <c r="Y12" s="153"/>
      <c r="Z12" s="153"/>
      <c r="AF12" s="153"/>
    </row>
    <row r="13" spans="2:32">
      <c r="B13" s="135">
        <f t="shared" si="0"/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Y13" s="153"/>
      <c r="Z13" s="153"/>
      <c r="AF13" s="153"/>
    </row>
    <row r="14" spans="2:32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V14" s="153"/>
      <c r="Y14" s="153"/>
      <c r="Z14" s="153"/>
      <c r="AF14" s="153"/>
    </row>
    <row r="15" spans="2:32">
      <c r="B15" s="135">
        <f t="shared" si="0"/>
        <v>2021</v>
      </c>
      <c r="C15" s="136"/>
      <c r="D15" s="128"/>
      <c r="E15" s="128">
        <f t="shared" si="1"/>
        <v>25.79</v>
      </c>
      <c r="F15" s="128"/>
      <c r="G15" s="130"/>
      <c r="H15" s="128">
        <f t="shared" si="2"/>
        <v>0</v>
      </c>
      <c r="I15" s="130"/>
      <c r="J15" s="130"/>
      <c r="K15" s="128">
        <f t="shared" si="3"/>
        <v>25.79</v>
      </c>
      <c r="L15" s="119"/>
      <c r="N15" s="117"/>
      <c r="O15" s="259"/>
      <c r="P15" s="133"/>
      <c r="Q15" s="134"/>
      <c r="R15" s="119"/>
      <c r="V15" s="153"/>
      <c r="Y15" s="153"/>
      <c r="Z15" s="153"/>
      <c r="AF15" s="153"/>
    </row>
    <row r="16" spans="2:32">
      <c r="B16" s="135">
        <f t="shared" si="0"/>
        <v>2022</v>
      </c>
      <c r="C16" s="136"/>
      <c r="D16" s="128"/>
      <c r="E16" s="128">
        <f t="shared" si="1"/>
        <v>26.36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26.36</v>
      </c>
      <c r="L16" s="119"/>
      <c r="N16" s="117"/>
      <c r="O16" s="336"/>
      <c r="R16" s="119"/>
      <c r="V16" s="153"/>
      <c r="Y16" s="153"/>
      <c r="Z16" s="153"/>
      <c r="AF16" s="153"/>
    </row>
    <row r="17" spans="2:32">
      <c r="B17" s="135">
        <f t="shared" si="0"/>
        <v>2023</v>
      </c>
      <c r="C17" s="136"/>
      <c r="D17" s="128"/>
      <c r="E17" s="128">
        <f t="shared" si="1"/>
        <v>26.89</v>
      </c>
      <c r="F17" s="128"/>
      <c r="G17" s="130"/>
      <c r="H17" s="128">
        <f t="shared" si="2"/>
        <v>0</v>
      </c>
      <c r="I17" s="130"/>
      <c r="J17" s="130"/>
      <c r="K17" s="128">
        <f t="shared" si="3"/>
        <v>26.89</v>
      </c>
      <c r="L17" s="119"/>
      <c r="N17" s="117"/>
      <c r="O17" s="185"/>
      <c r="R17" s="119"/>
      <c r="V17" s="153"/>
      <c r="Y17" s="153"/>
      <c r="Z17" s="153"/>
      <c r="AF17" s="153"/>
    </row>
    <row r="18" spans="2:32">
      <c r="B18" s="135">
        <f t="shared" si="0"/>
        <v>2024</v>
      </c>
      <c r="C18" s="335">
        <v>1227.9632768361582</v>
      </c>
      <c r="D18" s="128">
        <f>C18*$C$62</f>
        <v>62.441932627118646</v>
      </c>
      <c r="E18" s="128">
        <f t="shared" si="1"/>
        <v>27.43</v>
      </c>
      <c r="F18" s="128">
        <f>C60</f>
        <v>0</v>
      </c>
      <c r="G18" s="130">
        <f>(D18+E18+F18)/(8.76*$C$63)</f>
        <v>34.084229367526298</v>
      </c>
      <c r="H18" s="128">
        <f t="shared" si="2"/>
        <v>0</v>
      </c>
      <c r="I18" s="130">
        <f>(G18+H18)</f>
        <v>34.084229367526298</v>
      </c>
      <c r="J18" s="130">
        <f t="shared" ref="J18:J32" si="4">ROUND(I18*$C$63*8.76,2)</f>
        <v>89.87</v>
      </c>
      <c r="K18" s="128">
        <f t="shared" si="3"/>
        <v>89.871932627118639</v>
      </c>
      <c r="L18" s="119"/>
      <c r="N18" s="117"/>
      <c r="O18" s="337"/>
      <c r="Q18" s="153"/>
      <c r="R18" s="119"/>
      <c r="T18" s="161"/>
      <c r="U18" s="153"/>
      <c r="V18" s="153"/>
      <c r="W18" s="153"/>
      <c r="X18" s="153"/>
      <c r="Y18" s="153"/>
      <c r="Z18" s="153"/>
      <c r="AA18" s="268"/>
      <c r="AB18" s="267"/>
      <c r="AF18" s="153"/>
    </row>
    <row r="19" spans="2:32">
      <c r="B19" s="135">
        <f t="shared" si="0"/>
        <v>2025</v>
      </c>
      <c r="C19" s="136"/>
      <c r="D19" s="128">
        <f t="shared" ref="D19:F37" si="5">ROUND(D18*(1+(IFERROR(INDEX($D$66:$D$74,MATCH($B19,$C$66:$C$74,0),1),0)+IFERROR(INDEX($G$66:$G$74,MATCH($B19,$F$66:$F$74,0),1),0)+IFERROR(INDEX($J$66:$J$74,MATCH($B19,$I$66:$I$74,0),1),0))),2)</f>
        <v>63.75</v>
      </c>
      <c r="E19" s="128">
        <f t="shared" si="1"/>
        <v>28.01</v>
      </c>
      <c r="F19" s="128">
        <f t="shared" si="5"/>
        <v>0</v>
      </c>
      <c r="G19" s="130">
        <f t="shared" ref="G19:G37" si="6">(D19+E19+F19)/(8.76*$C$63)</f>
        <v>34.800285198501193</v>
      </c>
      <c r="H19" s="128">
        <f t="shared" si="2"/>
        <v>0</v>
      </c>
      <c r="I19" s="130">
        <f t="shared" ref="I19:I37" si="7">(G19+H19)</f>
        <v>34.800285198501193</v>
      </c>
      <c r="J19" s="130">
        <f t="shared" si="4"/>
        <v>91.76</v>
      </c>
      <c r="K19" s="128">
        <f t="shared" si="3"/>
        <v>91.76</v>
      </c>
      <c r="L19" s="119"/>
      <c r="N19" s="117"/>
      <c r="R19" s="119"/>
      <c r="T19" s="161"/>
      <c r="U19" s="153"/>
      <c r="V19" s="153"/>
      <c r="W19" s="153"/>
      <c r="X19" s="153"/>
      <c r="Y19" s="153"/>
      <c r="Z19" s="153"/>
      <c r="AF19" s="153"/>
    </row>
    <row r="20" spans="2:32">
      <c r="B20" s="135">
        <f t="shared" si="0"/>
        <v>2026</v>
      </c>
      <c r="C20" s="136"/>
      <c r="D20" s="128">
        <f t="shared" si="5"/>
        <v>65.150000000000006</v>
      </c>
      <c r="E20" s="128">
        <f t="shared" si="1"/>
        <v>28.63</v>
      </c>
      <c r="F20" s="128">
        <f t="shared" si="5"/>
        <v>0</v>
      </c>
      <c r="G20" s="130">
        <f t="shared" si="6"/>
        <v>35.566376917125567</v>
      </c>
      <c r="H20" s="128">
        <f t="shared" si="2"/>
        <v>0</v>
      </c>
      <c r="I20" s="130">
        <f t="shared" si="7"/>
        <v>35.566376917125567</v>
      </c>
      <c r="J20" s="130">
        <f t="shared" si="4"/>
        <v>93.78</v>
      </c>
      <c r="K20" s="128">
        <f t="shared" si="3"/>
        <v>93.78</v>
      </c>
      <c r="L20" s="119"/>
      <c r="N20" s="117"/>
      <c r="R20" s="160"/>
      <c r="T20" s="161"/>
      <c r="U20" s="153"/>
      <c r="V20" s="153"/>
      <c r="W20" s="153"/>
      <c r="X20" s="153"/>
      <c r="Y20" s="153"/>
      <c r="Z20" s="153"/>
      <c r="AF20" s="153"/>
    </row>
    <row r="21" spans="2:32">
      <c r="B21" s="135">
        <f t="shared" si="0"/>
        <v>2027</v>
      </c>
      <c r="C21" s="136"/>
      <c r="D21" s="128">
        <f t="shared" si="5"/>
        <v>66.650000000000006</v>
      </c>
      <c r="E21" s="128">
        <f t="shared" si="1"/>
        <v>29.29</v>
      </c>
      <c r="F21" s="128">
        <f t="shared" si="5"/>
        <v>0</v>
      </c>
      <c r="G21" s="130">
        <f t="shared" si="6"/>
        <v>36.385564101397172</v>
      </c>
      <c r="H21" s="128">
        <f t="shared" si="2"/>
        <v>0</v>
      </c>
      <c r="I21" s="130">
        <f t="shared" si="7"/>
        <v>36.385564101397172</v>
      </c>
      <c r="J21" s="130">
        <f t="shared" si="4"/>
        <v>95.94</v>
      </c>
      <c r="K21" s="128">
        <f t="shared" si="3"/>
        <v>95.94</v>
      </c>
      <c r="L21" s="119"/>
      <c r="N21" s="117"/>
      <c r="R21" s="160"/>
      <c r="T21" s="161"/>
      <c r="U21" s="153"/>
      <c r="V21" s="153"/>
      <c r="W21" s="153"/>
      <c r="X21" s="153"/>
      <c r="Y21" s="153"/>
      <c r="Z21" s="153"/>
      <c r="AF21" s="153"/>
    </row>
    <row r="22" spans="2:32">
      <c r="B22" s="135">
        <f t="shared" si="0"/>
        <v>2028</v>
      </c>
      <c r="C22" s="136"/>
      <c r="D22" s="128">
        <f t="shared" si="5"/>
        <v>68.180000000000007</v>
      </c>
      <c r="E22" s="128">
        <f t="shared" si="1"/>
        <v>29.96</v>
      </c>
      <c r="F22" s="128">
        <f t="shared" si="5"/>
        <v>0</v>
      </c>
      <c r="G22" s="130">
        <f t="shared" si="6"/>
        <v>37.219921418710854</v>
      </c>
      <c r="H22" s="128">
        <f t="shared" si="2"/>
        <v>0</v>
      </c>
      <c r="I22" s="130">
        <f t="shared" si="7"/>
        <v>37.219921418710854</v>
      </c>
      <c r="J22" s="130">
        <f t="shared" si="4"/>
        <v>98.14</v>
      </c>
      <c r="K22" s="128">
        <f t="shared" si="3"/>
        <v>98.140000000000015</v>
      </c>
      <c r="L22" s="119"/>
      <c r="N22" s="117"/>
      <c r="R22" s="160"/>
      <c r="T22" s="161"/>
      <c r="U22" s="153"/>
      <c r="V22" s="153"/>
      <c r="W22" s="153"/>
      <c r="X22" s="153"/>
      <c r="Y22" s="153"/>
      <c r="Z22" s="153"/>
      <c r="AF22" s="153"/>
    </row>
    <row r="23" spans="2:32">
      <c r="B23" s="135">
        <f t="shared" si="0"/>
        <v>2029</v>
      </c>
      <c r="C23" s="136"/>
      <c r="D23" s="128">
        <f t="shared" si="5"/>
        <v>69.75</v>
      </c>
      <c r="E23" s="128">
        <f t="shared" si="1"/>
        <v>30.65</v>
      </c>
      <c r="F23" s="128">
        <f t="shared" si="5"/>
        <v>0</v>
      </c>
      <c r="G23" s="130">
        <f t="shared" si="6"/>
        <v>38.077033935587622</v>
      </c>
      <c r="H23" s="128">
        <f t="shared" si="2"/>
        <v>0</v>
      </c>
      <c r="I23" s="130">
        <f t="shared" si="7"/>
        <v>38.077033935587622</v>
      </c>
      <c r="J23" s="130">
        <f t="shared" si="4"/>
        <v>100.4</v>
      </c>
      <c r="K23" s="128">
        <f t="shared" si="3"/>
        <v>100.4</v>
      </c>
      <c r="L23" s="119"/>
      <c r="N23" s="117"/>
      <c r="R23" s="160"/>
      <c r="T23" s="161"/>
      <c r="U23" s="153"/>
      <c r="V23" s="153"/>
      <c r="W23" s="153"/>
      <c r="X23" s="153"/>
      <c r="Y23" s="153"/>
      <c r="Z23" s="153"/>
      <c r="AF23" s="153"/>
    </row>
    <row r="24" spans="2:32">
      <c r="B24" s="135">
        <f t="shared" si="0"/>
        <v>2030</v>
      </c>
      <c r="C24" s="136"/>
      <c r="D24" s="128">
        <f t="shared" si="5"/>
        <v>71.349999999999994</v>
      </c>
      <c r="E24" s="128">
        <f t="shared" si="1"/>
        <v>31.35</v>
      </c>
      <c r="F24" s="128">
        <f t="shared" si="5"/>
        <v>0</v>
      </c>
      <c r="G24" s="130">
        <f t="shared" si="6"/>
        <v>38.949316585506452</v>
      </c>
      <c r="H24" s="128">
        <f t="shared" si="2"/>
        <v>0</v>
      </c>
      <c r="I24" s="130">
        <f t="shared" si="7"/>
        <v>38.949316585506452</v>
      </c>
      <c r="J24" s="130">
        <f t="shared" si="4"/>
        <v>102.7</v>
      </c>
      <c r="K24" s="128">
        <f t="shared" si="3"/>
        <v>102.69999999999999</v>
      </c>
      <c r="L24" s="119"/>
      <c r="N24" s="117"/>
      <c r="R24" s="160"/>
      <c r="T24" s="161"/>
      <c r="U24" s="153"/>
      <c r="V24" s="153"/>
      <c r="W24" s="153"/>
      <c r="X24" s="153"/>
      <c r="Y24" s="153"/>
      <c r="Z24" s="153"/>
      <c r="AF24" s="153"/>
    </row>
    <row r="25" spans="2:32">
      <c r="B25" s="135">
        <f t="shared" si="0"/>
        <v>2031</v>
      </c>
      <c r="C25" s="136"/>
      <c r="D25" s="128">
        <f t="shared" si="5"/>
        <v>72.989999999999995</v>
      </c>
      <c r="E25" s="128">
        <f t="shared" si="1"/>
        <v>32.07</v>
      </c>
      <c r="F25" s="128">
        <f t="shared" si="5"/>
        <v>0</v>
      </c>
      <c r="G25" s="130">
        <f t="shared" si="6"/>
        <v>39.844354434988396</v>
      </c>
      <c r="H25" s="128">
        <f t="shared" si="2"/>
        <v>0</v>
      </c>
      <c r="I25" s="130">
        <f t="shared" si="7"/>
        <v>39.844354434988396</v>
      </c>
      <c r="J25" s="130">
        <f t="shared" si="4"/>
        <v>105.06</v>
      </c>
      <c r="K25" s="128">
        <f t="shared" si="3"/>
        <v>105.06</v>
      </c>
      <c r="L25" s="119"/>
      <c r="N25" s="117"/>
      <c r="R25" s="160"/>
      <c r="T25" s="161"/>
      <c r="U25" s="153"/>
      <c r="V25" s="153"/>
      <c r="W25" s="153"/>
      <c r="X25" s="153"/>
      <c r="Y25" s="153"/>
      <c r="Z25" s="153"/>
      <c r="AF25" s="153"/>
    </row>
    <row r="26" spans="2:32">
      <c r="B26" s="135">
        <f t="shared" si="0"/>
        <v>2032</v>
      </c>
      <c r="C26" s="136"/>
      <c r="D26" s="128">
        <f t="shared" si="5"/>
        <v>74.67</v>
      </c>
      <c r="E26" s="128">
        <f t="shared" si="1"/>
        <v>32.81</v>
      </c>
      <c r="F26" s="128">
        <f t="shared" si="5"/>
        <v>0</v>
      </c>
      <c r="G26" s="130">
        <f t="shared" si="6"/>
        <v>40.762147484033441</v>
      </c>
      <c r="H26" s="128">
        <f t="shared" si="2"/>
        <v>0</v>
      </c>
      <c r="I26" s="130">
        <f t="shared" si="7"/>
        <v>40.762147484033441</v>
      </c>
      <c r="J26" s="130">
        <f t="shared" si="4"/>
        <v>107.48</v>
      </c>
      <c r="K26" s="128">
        <f t="shared" si="3"/>
        <v>107.48</v>
      </c>
      <c r="L26" s="119"/>
      <c r="N26" s="117"/>
      <c r="R26" s="160"/>
      <c r="T26" s="161"/>
      <c r="U26" s="153"/>
      <c r="V26" s="153"/>
      <c r="W26" s="153"/>
      <c r="X26" s="153"/>
      <c r="Y26" s="153"/>
      <c r="Z26" s="153"/>
      <c r="AF26" s="153"/>
    </row>
    <row r="27" spans="2:32">
      <c r="B27" s="135">
        <f t="shared" si="0"/>
        <v>2033</v>
      </c>
      <c r="C27" s="136"/>
      <c r="D27" s="128">
        <f t="shared" si="5"/>
        <v>76.39</v>
      </c>
      <c r="E27" s="128">
        <f t="shared" si="1"/>
        <v>33.56</v>
      </c>
      <c r="F27" s="128">
        <f t="shared" si="5"/>
        <v>0</v>
      </c>
      <c r="G27" s="130">
        <f t="shared" si="6"/>
        <v>41.698903199381064</v>
      </c>
      <c r="H27" s="128">
        <f t="shared" si="2"/>
        <v>0</v>
      </c>
      <c r="I27" s="130">
        <f t="shared" si="7"/>
        <v>41.698903199381064</v>
      </c>
      <c r="J27" s="130">
        <f t="shared" si="4"/>
        <v>109.95</v>
      </c>
      <c r="K27" s="128">
        <f t="shared" si="3"/>
        <v>109.95</v>
      </c>
      <c r="L27" s="119"/>
      <c r="N27" s="117"/>
      <c r="R27" s="160"/>
      <c r="T27" s="161"/>
      <c r="U27" s="153"/>
      <c r="V27" s="153"/>
      <c r="W27" s="153"/>
      <c r="X27" s="153"/>
      <c r="Y27" s="153"/>
      <c r="Z27" s="153"/>
      <c r="AF27" s="153"/>
    </row>
    <row r="28" spans="2:32">
      <c r="B28" s="135">
        <f t="shared" si="0"/>
        <v>2034</v>
      </c>
      <c r="C28" s="136"/>
      <c r="D28" s="128">
        <f t="shared" si="5"/>
        <v>78.150000000000006</v>
      </c>
      <c r="E28" s="128">
        <f t="shared" si="1"/>
        <v>34.33</v>
      </c>
      <c r="F28" s="128">
        <f t="shared" si="5"/>
        <v>0</v>
      </c>
      <c r="G28" s="130">
        <f t="shared" si="6"/>
        <v>42.658414114291787</v>
      </c>
      <c r="H28" s="128">
        <f t="shared" si="2"/>
        <v>0</v>
      </c>
      <c r="I28" s="130">
        <f t="shared" si="7"/>
        <v>42.658414114291787</v>
      </c>
      <c r="J28" s="130">
        <f t="shared" si="4"/>
        <v>112.48</v>
      </c>
      <c r="K28" s="128">
        <f t="shared" si="3"/>
        <v>112.48</v>
      </c>
      <c r="L28" s="119"/>
      <c r="N28" s="117"/>
      <c r="R28" s="160"/>
      <c r="T28" s="161"/>
      <c r="U28" s="153"/>
      <c r="V28" s="153"/>
      <c r="W28" s="153"/>
      <c r="X28" s="153"/>
      <c r="Y28" s="153"/>
      <c r="Z28" s="153"/>
      <c r="AF28" s="153"/>
    </row>
    <row r="29" spans="2:32">
      <c r="B29" s="135">
        <f t="shared" si="0"/>
        <v>2035</v>
      </c>
      <c r="C29" s="136"/>
      <c r="D29" s="128">
        <f t="shared" si="5"/>
        <v>79.95</v>
      </c>
      <c r="E29" s="128">
        <f t="shared" si="1"/>
        <v>35.119999999999997</v>
      </c>
      <c r="F29" s="128">
        <f t="shared" si="5"/>
        <v>0</v>
      </c>
      <c r="G29" s="130">
        <f t="shared" si="6"/>
        <v>43.640680228765611</v>
      </c>
      <c r="H29" s="128">
        <f t="shared" si="2"/>
        <v>0</v>
      </c>
      <c r="I29" s="130">
        <f t="shared" si="7"/>
        <v>43.640680228765611</v>
      </c>
      <c r="J29" s="130">
        <f t="shared" si="4"/>
        <v>115.07</v>
      </c>
      <c r="K29" s="128">
        <f t="shared" si="3"/>
        <v>115.07</v>
      </c>
      <c r="L29" s="119"/>
      <c r="N29" s="117"/>
      <c r="R29" s="160"/>
      <c r="T29" s="161"/>
      <c r="U29" s="153"/>
      <c r="V29" s="153"/>
      <c r="W29" s="153"/>
      <c r="X29" s="153"/>
      <c r="Y29" s="153"/>
      <c r="Z29" s="153"/>
      <c r="AF29" s="153"/>
    </row>
    <row r="30" spans="2:32">
      <c r="B30" s="135">
        <f t="shared" si="0"/>
        <v>2036</v>
      </c>
      <c r="C30" s="136"/>
      <c r="D30" s="128">
        <f t="shared" si="5"/>
        <v>81.790000000000006</v>
      </c>
      <c r="E30" s="128">
        <f t="shared" si="1"/>
        <v>35.93</v>
      </c>
      <c r="F30" s="128">
        <f t="shared" si="5"/>
        <v>0</v>
      </c>
      <c r="G30" s="130">
        <f t="shared" si="6"/>
        <v>44.645701542802534</v>
      </c>
      <c r="H30" s="128">
        <f t="shared" si="2"/>
        <v>0</v>
      </c>
      <c r="I30" s="130">
        <f t="shared" si="7"/>
        <v>44.645701542802534</v>
      </c>
      <c r="J30" s="130">
        <f t="shared" si="4"/>
        <v>117.72</v>
      </c>
      <c r="K30" s="128">
        <f t="shared" si="3"/>
        <v>117.72</v>
      </c>
      <c r="L30" s="119"/>
      <c r="N30" s="117"/>
      <c r="R30" s="160"/>
      <c r="T30" s="161"/>
      <c r="U30" s="153"/>
      <c r="V30" s="153"/>
      <c r="W30" s="153"/>
      <c r="X30" s="153"/>
      <c r="Y30" s="153"/>
      <c r="Z30" s="153"/>
      <c r="AF30" s="153"/>
    </row>
    <row r="31" spans="2:32">
      <c r="B31" s="135">
        <f t="shared" si="0"/>
        <v>2037</v>
      </c>
      <c r="C31" s="136"/>
      <c r="D31" s="128">
        <f t="shared" si="5"/>
        <v>83.67</v>
      </c>
      <c r="E31" s="128">
        <f t="shared" si="1"/>
        <v>36.76</v>
      </c>
      <c r="F31" s="128">
        <f t="shared" si="5"/>
        <v>0</v>
      </c>
      <c r="G31" s="130">
        <f t="shared" si="6"/>
        <v>45.673478056402558</v>
      </c>
      <c r="H31" s="128">
        <f t="shared" si="2"/>
        <v>0</v>
      </c>
      <c r="I31" s="130">
        <f t="shared" si="7"/>
        <v>45.673478056402558</v>
      </c>
      <c r="J31" s="130">
        <f t="shared" si="4"/>
        <v>120.43</v>
      </c>
      <c r="K31" s="128">
        <f t="shared" si="3"/>
        <v>120.43</v>
      </c>
      <c r="L31" s="119"/>
      <c r="N31" s="117"/>
      <c r="R31" s="160"/>
      <c r="T31" s="161"/>
      <c r="U31" s="153"/>
      <c r="V31" s="153"/>
      <c r="W31" s="153"/>
      <c r="X31" s="153"/>
      <c r="Y31" s="153"/>
      <c r="Z31" s="153"/>
      <c r="AF31" s="153"/>
    </row>
    <row r="32" spans="2:32">
      <c r="B32" s="135">
        <f t="shared" si="0"/>
        <v>2038</v>
      </c>
      <c r="C32" s="136"/>
      <c r="D32" s="128">
        <f t="shared" si="5"/>
        <v>85.59</v>
      </c>
      <c r="E32" s="128">
        <f t="shared" si="1"/>
        <v>37.61</v>
      </c>
      <c r="F32" s="128">
        <f t="shared" si="5"/>
        <v>0</v>
      </c>
      <c r="G32" s="130">
        <f t="shared" si="6"/>
        <v>46.724009769565683</v>
      </c>
      <c r="H32" s="128">
        <f t="shared" si="2"/>
        <v>0</v>
      </c>
      <c r="I32" s="130">
        <f t="shared" si="7"/>
        <v>46.724009769565683</v>
      </c>
      <c r="J32" s="130">
        <f t="shared" si="4"/>
        <v>123.2</v>
      </c>
      <c r="K32" s="128">
        <f t="shared" si="3"/>
        <v>123.2</v>
      </c>
      <c r="L32" s="119"/>
      <c r="N32" s="117"/>
      <c r="R32" s="160"/>
      <c r="T32" s="161"/>
      <c r="U32" s="153"/>
      <c r="V32" s="153"/>
      <c r="W32" s="153"/>
      <c r="X32" s="153"/>
      <c r="Y32" s="153"/>
      <c r="Z32" s="153"/>
      <c r="AF32" s="153"/>
    </row>
    <row r="33" spans="2:32">
      <c r="B33" s="135">
        <f t="shared" si="0"/>
        <v>2039</v>
      </c>
      <c r="C33" s="136"/>
      <c r="D33" s="128">
        <f t="shared" si="5"/>
        <v>87.56</v>
      </c>
      <c r="E33" s="128">
        <f t="shared" si="1"/>
        <v>38.479999999999997</v>
      </c>
      <c r="F33" s="128">
        <f t="shared" si="5"/>
        <v>0</v>
      </c>
      <c r="G33" s="130">
        <f t="shared" si="6"/>
        <v>47.801089215552423</v>
      </c>
      <c r="H33" s="128">
        <f t="shared" si="2"/>
        <v>0</v>
      </c>
      <c r="I33" s="130">
        <f t="shared" si="7"/>
        <v>47.801089215552423</v>
      </c>
      <c r="J33" s="130">
        <f t="shared" ref="J33:J37" si="8">ROUND(I33*$C$63*8.76,2)</f>
        <v>126.04</v>
      </c>
      <c r="K33" s="128">
        <f t="shared" si="3"/>
        <v>126.03999999999999</v>
      </c>
      <c r="L33" s="119"/>
      <c r="N33" s="117"/>
      <c r="R33" s="160"/>
      <c r="T33" s="161"/>
      <c r="U33" s="153"/>
      <c r="V33" s="153"/>
      <c r="W33" s="153"/>
      <c r="X33" s="153"/>
      <c r="Y33" s="153"/>
      <c r="Z33" s="153"/>
      <c r="AF33" s="153"/>
    </row>
    <row r="34" spans="2:32">
      <c r="B34" s="135">
        <f t="shared" si="0"/>
        <v>2040</v>
      </c>
      <c r="C34" s="136"/>
      <c r="D34" s="128">
        <f t="shared" si="5"/>
        <v>89.57</v>
      </c>
      <c r="E34" s="128">
        <f t="shared" si="1"/>
        <v>39.369999999999997</v>
      </c>
      <c r="F34" s="128">
        <f t="shared" si="5"/>
        <v>0</v>
      </c>
      <c r="G34" s="130">
        <f t="shared" si="6"/>
        <v>48.900923861102264</v>
      </c>
      <c r="H34" s="128">
        <f t="shared" si="2"/>
        <v>0</v>
      </c>
      <c r="I34" s="130">
        <f t="shared" si="7"/>
        <v>48.900923861102264</v>
      </c>
      <c r="J34" s="130">
        <f t="shared" si="8"/>
        <v>128.94</v>
      </c>
      <c r="K34" s="128">
        <f t="shared" si="3"/>
        <v>128.94</v>
      </c>
      <c r="L34" s="119"/>
      <c r="N34" s="117"/>
      <c r="R34" s="160"/>
      <c r="T34" s="161"/>
      <c r="U34" s="153"/>
      <c r="V34" s="153"/>
      <c r="W34" s="153"/>
      <c r="X34" s="153"/>
      <c r="Y34" s="153"/>
      <c r="Z34" s="153"/>
      <c r="AF34" s="153"/>
    </row>
    <row r="35" spans="2:32">
      <c r="B35" s="135">
        <f t="shared" si="0"/>
        <v>2041</v>
      </c>
      <c r="C35" s="136"/>
      <c r="D35" s="128">
        <f t="shared" si="5"/>
        <v>91.63</v>
      </c>
      <c r="E35" s="128">
        <f t="shared" si="1"/>
        <v>40.28</v>
      </c>
      <c r="F35" s="128">
        <f t="shared" si="5"/>
        <v>0</v>
      </c>
      <c r="G35" s="130">
        <f t="shared" si="6"/>
        <v>50.02730623947572</v>
      </c>
      <c r="H35" s="128">
        <f t="shared" si="2"/>
        <v>0</v>
      </c>
      <c r="I35" s="130">
        <f t="shared" si="7"/>
        <v>50.02730623947572</v>
      </c>
      <c r="J35" s="130">
        <f t="shared" si="8"/>
        <v>131.91</v>
      </c>
      <c r="K35" s="128">
        <f t="shared" si="3"/>
        <v>131.91</v>
      </c>
      <c r="L35" s="119"/>
      <c r="N35" s="117"/>
      <c r="R35" s="160"/>
      <c r="T35" s="161"/>
      <c r="U35" s="153"/>
      <c r="V35" s="153"/>
      <c r="W35" s="153"/>
      <c r="X35" s="153"/>
      <c r="Y35" s="153"/>
      <c r="Z35" s="153"/>
      <c r="AF35" s="153"/>
    </row>
    <row r="36" spans="2:32">
      <c r="B36" s="135">
        <f t="shared" si="0"/>
        <v>2042</v>
      </c>
      <c r="C36" s="136"/>
      <c r="D36" s="128">
        <f t="shared" si="5"/>
        <v>93.74</v>
      </c>
      <c r="E36" s="128">
        <f t="shared" si="1"/>
        <v>41.21</v>
      </c>
      <c r="F36" s="128">
        <f t="shared" si="5"/>
        <v>0</v>
      </c>
      <c r="G36" s="130">
        <f t="shared" si="6"/>
        <v>51.180236350672793</v>
      </c>
      <c r="H36" s="128">
        <f t="shared" si="2"/>
        <v>0</v>
      </c>
      <c r="I36" s="130">
        <f t="shared" si="7"/>
        <v>51.180236350672793</v>
      </c>
      <c r="J36" s="130">
        <f t="shared" si="8"/>
        <v>134.94999999999999</v>
      </c>
      <c r="K36" s="128">
        <f t="shared" si="3"/>
        <v>134.94999999999999</v>
      </c>
      <c r="L36" s="119"/>
      <c r="N36" s="117"/>
      <c r="R36" s="160"/>
      <c r="T36" s="161"/>
      <c r="U36" s="153"/>
      <c r="V36" s="153"/>
      <c r="W36" s="153"/>
      <c r="X36" s="153"/>
      <c r="Y36" s="153"/>
      <c r="Z36" s="153"/>
      <c r="AF36" s="153"/>
    </row>
    <row r="37" spans="2:32">
      <c r="B37" s="135">
        <f t="shared" si="0"/>
        <v>2043</v>
      </c>
      <c r="C37" s="136"/>
      <c r="D37" s="128">
        <f t="shared" si="5"/>
        <v>95.99</v>
      </c>
      <c r="E37" s="128">
        <f t="shared" si="1"/>
        <v>42.2</v>
      </c>
      <c r="F37" s="128">
        <f t="shared" si="5"/>
        <v>0</v>
      </c>
      <c r="G37" s="130">
        <f t="shared" si="6"/>
        <v>52.409017127080212</v>
      </c>
      <c r="H37" s="128">
        <f t="shared" si="2"/>
        <v>0</v>
      </c>
      <c r="I37" s="130">
        <f t="shared" si="7"/>
        <v>52.409017127080212</v>
      </c>
      <c r="J37" s="130">
        <f t="shared" si="8"/>
        <v>138.19</v>
      </c>
      <c r="K37" s="128">
        <f t="shared" si="3"/>
        <v>138.19</v>
      </c>
      <c r="L37" s="119"/>
      <c r="N37" s="117"/>
      <c r="R37" s="160"/>
      <c r="T37" s="161"/>
      <c r="U37" s="153"/>
      <c r="V37" s="153"/>
      <c r="W37" s="153"/>
      <c r="X37" s="153"/>
      <c r="Y37" s="153"/>
      <c r="Z37" s="153"/>
      <c r="AF37" s="153"/>
    </row>
    <row r="38" spans="2:32">
      <c r="B38" s="126"/>
      <c r="C38" s="131"/>
      <c r="D38" s="128"/>
      <c r="E38" s="128"/>
      <c r="F38" s="129"/>
      <c r="G38" s="128"/>
      <c r="H38" s="128"/>
      <c r="I38" s="130"/>
      <c r="J38" s="130"/>
      <c r="K38" s="137"/>
      <c r="R38" s="119"/>
    </row>
    <row r="39" spans="2:32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</row>
    <row r="40" spans="2:32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</row>
    <row r="41" spans="2:32">
      <c r="R41" s="119"/>
    </row>
    <row r="42" spans="2:32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32">
      <c r="B44" s="117" t="s">
        <v>63</v>
      </c>
      <c r="C44" s="140" t="s">
        <v>64</v>
      </c>
      <c r="D44" s="141" t="s">
        <v>102</v>
      </c>
    </row>
    <row r="45" spans="2:32">
      <c r="C45" s="140" t="str">
        <f>C7</f>
        <v>(a)</v>
      </c>
      <c r="D45" s="117" t="s">
        <v>65</v>
      </c>
    </row>
    <row r="46" spans="2:32">
      <c r="C46" s="140" t="str">
        <f>D7</f>
        <v>(b)</v>
      </c>
      <c r="D46" s="130" t="str">
        <f>"= "&amp;C7&amp;" x "&amp;C62</f>
        <v>= (a) x 0.05085</v>
      </c>
    </row>
    <row r="47" spans="2:32">
      <c r="C47" s="140" t="str">
        <f>G7</f>
        <v>(e)</v>
      </c>
      <c r="D47" s="130" t="str">
        <f>"= ("&amp;$D$7&amp;" + "&amp;$E$7&amp;") /  (8.76 x "&amp;TEXT(C63,"0.0%")&amp;")"</f>
        <v>= ((b) + (c)) /  (8.76 x 30.1%)</v>
      </c>
    </row>
    <row r="48" spans="2:32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Jim Bridger Solar with Storage - 30%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62">
        <v>2024</v>
      </c>
    </row>
    <row r="55" spans="2:25">
      <c r="B55" s="85" t="s">
        <v>101</v>
      </c>
      <c r="C55" s="170">
        <v>1608.8221683005897</v>
      </c>
      <c r="D55" s="117" t="s">
        <v>65</v>
      </c>
      <c r="O55" s="270">
        <v>354</v>
      </c>
      <c r="P55" s="117" t="s">
        <v>32</v>
      </c>
      <c r="Q55" s="262" t="s">
        <v>144</v>
      </c>
      <c r="R55" s="262" t="s">
        <v>108</v>
      </c>
      <c r="T55" s="262" t="str">
        <f>$Q$55&amp;"Proposed Station Capital Costs"</f>
        <v>L1.JBB_PVSProposed Station Capital Costs</v>
      </c>
    </row>
    <row r="56" spans="2:25">
      <c r="B56" s="85" t="s">
        <v>101</v>
      </c>
      <c r="C56" s="256">
        <v>24.570618817436728</v>
      </c>
      <c r="D56" s="117" t="s">
        <v>68</v>
      </c>
      <c r="R56" s="119"/>
      <c r="T56" s="262" t="str">
        <f>$Q$55&amp;"Proposed Station Fixed Costs"</f>
        <v>L1.JBB_PVSProposed Station Fixed Costs</v>
      </c>
    </row>
    <row r="57" spans="2:25" ht="24" customHeight="1">
      <c r="B57" s="85"/>
      <c r="C57" s="258"/>
      <c r="D57" s="117" t="s">
        <v>105</v>
      </c>
      <c r="Q57" s="334" t="str">
        <f>Q55&amp;Q54</f>
        <v>L1.JBB_PVS2024</v>
      </c>
      <c r="T57" s="262" t="str">
        <f>$Q$55&amp;"Proposed Station Variable O&amp;M Costs"</f>
        <v>L1.JBB_PVSProposed Station Variable O&amp;M Costs</v>
      </c>
    </row>
    <row r="58" spans="2:25">
      <c r="B58" s="85" t="s">
        <v>101</v>
      </c>
      <c r="C58" s="256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263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84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57" t="str">
        <f>LEFT(RIGHT(INDEX('Table 3 TransCost'!$39:$39,1,MATCH(F60,'Table 3 TransCost'!$4:$4,0)),6),5)</f>
        <v>2024$</v>
      </c>
      <c r="C60" s="258">
        <f>INDEX('Table 3 TransCost'!$39:$39,1,MATCH(F60,'Table 3 TransCost'!$4:$4,0)+2)</f>
        <v>0</v>
      </c>
      <c r="D60" s="117" t="s">
        <v>218</v>
      </c>
      <c r="F60" s="262" t="s">
        <v>220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87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57">
        <v>5.0849999999999999E-2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195">
        <v>0.30099999999999999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December 31, 2020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2.3E-2</v>
      </c>
      <c r="H68" s="41"/>
      <c r="I68" s="87">
        <f t="shared" ref="I68:I74" si="11">I67+1</f>
        <v>2037</v>
      </c>
      <c r="J68" s="41">
        <v>2.3E-2</v>
      </c>
    </row>
    <row r="69" spans="3:14">
      <c r="C69" s="87">
        <f t="shared" si="9"/>
        <v>2020</v>
      </c>
      <c r="D69" s="41">
        <v>1.2E-2</v>
      </c>
      <c r="E69" s="85"/>
      <c r="F69" s="87">
        <f t="shared" si="10"/>
        <v>2029</v>
      </c>
      <c r="G69" s="41">
        <v>2.3E-2</v>
      </c>
      <c r="H69" s="41"/>
      <c r="I69" s="87">
        <f t="shared" si="11"/>
        <v>2038</v>
      </c>
      <c r="J69" s="41">
        <v>2.3E-2</v>
      </c>
    </row>
    <row r="70" spans="3:14">
      <c r="C70" s="87">
        <f t="shared" si="9"/>
        <v>2021</v>
      </c>
      <c r="D70" s="41">
        <v>1.9E-2</v>
      </c>
      <c r="E70" s="85"/>
      <c r="F70" s="87">
        <f t="shared" si="10"/>
        <v>2030</v>
      </c>
      <c r="G70" s="41">
        <v>2.3E-2</v>
      </c>
      <c r="H70" s="41"/>
      <c r="I70" s="87">
        <f t="shared" si="11"/>
        <v>2039</v>
      </c>
      <c r="J70" s="41">
        <v>2.3E-2</v>
      </c>
    </row>
    <row r="71" spans="3:14">
      <c r="C71" s="87">
        <f t="shared" si="9"/>
        <v>2022</v>
      </c>
      <c r="D71" s="41">
        <v>2.1999999999999999E-2</v>
      </c>
      <c r="E71" s="85"/>
      <c r="F71" s="87">
        <f t="shared" si="10"/>
        <v>2031</v>
      </c>
      <c r="G71" s="41">
        <v>2.3E-2</v>
      </c>
      <c r="H71" s="41"/>
      <c r="I71" s="87">
        <f t="shared" si="11"/>
        <v>2040</v>
      </c>
      <c r="J71" s="41">
        <v>2.3E-2</v>
      </c>
    </row>
    <row r="72" spans="3:14" s="119" customFormat="1">
      <c r="C72" s="87">
        <f t="shared" si="9"/>
        <v>2023</v>
      </c>
      <c r="D72" s="41">
        <v>0.02</v>
      </c>
      <c r="E72" s="86"/>
      <c r="F72" s="87">
        <f t="shared" si="10"/>
        <v>2032</v>
      </c>
      <c r="G72" s="41">
        <v>2.3E-2</v>
      </c>
      <c r="H72" s="41"/>
      <c r="I72" s="87">
        <f t="shared" si="11"/>
        <v>2041</v>
      </c>
      <c r="J72" s="41">
        <v>2.3E-2</v>
      </c>
      <c r="N72" s="164"/>
    </row>
    <row r="73" spans="3:14" s="119" customFormat="1">
      <c r="C73" s="87">
        <f t="shared" si="9"/>
        <v>2024</v>
      </c>
      <c r="D73" s="41">
        <v>0.02</v>
      </c>
      <c r="E73" s="86"/>
      <c r="F73" s="87">
        <f t="shared" si="10"/>
        <v>2033</v>
      </c>
      <c r="G73" s="41">
        <v>2.3E-2</v>
      </c>
      <c r="H73" s="41"/>
      <c r="I73" s="87">
        <f t="shared" si="11"/>
        <v>2042</v>
      </c>
      <c r="J73" s="41">
        <v>2.3E-2</v>
      </c>
      <c r="N73" s="164"/>
    </row>
    <row r="74" spans="3:14" s="119" customFormat="1">
      <c r="C74" s="87">
        <f t="shared" si="9"/>
        <v>2025</v>
      </c>
      <c r="D74" s="41">
        <v>2.1000000000000001E-2</v>
      </c>
      <c r="E74" s="86"/>
      <c r="F74" s="87">
        <f t="shared" si="10"/>
        <v>2034</v>
      </c>
      <c r="G74" s="41">
        <v>2.3E-2</v>
      </c>
      <c r="H74" s="41"/>
      <c r="I74" s="87">
        <f t="shared" si="11"/>
        <v>2043</v>
      </c>
      <c r="J74" s="41">
        <v>2.4E-2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102"/>
  <sheetViews>
    <sheetView zoomScale="80" zoomScaleNormal="80" workbookViewId="0">
      <selection activeCell="K24" sqref="K24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11.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1.832031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4" width="9.33203125" style="117"/>
    <col min="25" max="25" width="12" style="117" bestFit="1" customWidth="1"/>
    <col min="26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2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2" ht="15.75">
      <c r="B2" s="115" t="s">
        <v>147</v>
      </c>
      <c r="C2" s="116"/>
      <c r="D2" s="116"/>
      <c r="E2" s="116"/>
      <c r="F2" s="116"/>
      <c r="G2" s="116"/>
      <c r="H2" s="116"/>
      <c r="I2" s="116"/>
      <c r="J2" s="116"/>
    </row>
    <row r="3" spans="2:32" ht="15.75">
      <c r="B3" s="115" t="str">
        <f>TEXT($C$63,"0%")&amp;"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Q3" s="119"/>
      <c r="R3" s="119"/>
      <c r="S3" s="119"/>
      <c r="T3" s="119"/>
      <c r="U3" s="119"/>
      <c r="V3" s="119"/>
      <c r="W3" s="119"/>
      <c r="X3" s="119"/>
      <c r="Y3" s="119"/>
      <c r="Z3" s="119"/>
    </row>
    <row r="4" spans="2:32">
      <c r="B4" s="118"/>
      <c r="C4" s="118"/>
      <c r="D4" s="118"/>
      <c r="E4" s="118"/>
      <c r="F4" s="118"/>
      <c r="G4" s="118"/>
      <c r="H4" s="118"/>
      <c r="I4" s="119"/>
      <c r="J4" s="119"/>
      <c r="K4" s="119"/>
      <c r="Q4" s="119"/>
      <c r="R4" s="119"/>
      <c r="S4" s="119"/>
      <c r="T4" s="119"/>
      <c r="U4" s="119"/>
      <c r="V4" s="119"/>
      <c r="W4" s="119"/>
      <c r="X4" s="119"/>
      <c r="Y4" s="119"/>
      <c r="Z4" s="119"/>
    </row>
    <row r="5" spans="2:32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01"/>
      <c r="N5" s="201"/>
      <c r="P5" s="201"/>
      <c r="Q5" s="119"/>
      <c r="R5" s="263"/>
      <c r="S5" s="119"/>
      <c r="T5" s="119"/>
      <c r="U5" s="119"/>
      <c r="V5" s="119"/>
      <c r="W5" s="119"/>
      <c r="X5" s="119"/>
      <c r="Y5" s="369"/>
      <c r="Z5" s="369"/>
    </row>
    <row r="6" spans="2:32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Q6" s="119"/>
      <c r="R6" s="264"/>
      <c r="S6" s="119"/>
      <c r="T6" s="119"/>
      <c r="U6" s="119"/>
      <c r="V6" s="119"/>
      <c r="W6" s="119"/>
      <c r="X6" s="119"/>
      <c r="Y6" s="119"/>
      <c r="Z6" s="119"/>
    </row>
    <row r="7" spans="2:32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Q7" s="119"/>
      <c r="R7" s="119"/>
      <c r="S7" s="119"/>
      <c r="T7" s="119"/>
      <c r="U7" s="119"/>
      <c r="V7" s="119"/>
      <c r="W7" s="119"/>
      <c r="X7" s="119"/>
      <c r="Y7" s="119"/>
      <c r="Z7" s="119"/>
    </row>
    <row r="8" spans="2:32" ht="6" customHeight="1">
      <c r="K8" s="119"/>
      <c r="Q8" s="119"/>
      <c r="R8" s="119"/>
      <c r="S8" s="119"/>
      <c r="T8" s="119"/>
      <c r="U8" s="119"/>
      <c r="V8" s="119"/>
      <c r="W8" s="119"/>
      <c r="X8" s="119"/>
      <c r="Y8" s="119"/>
      <c r="Z8" s="119"/>
    </row>
    <row r="9" spans="2:32" ht="15.75">
      <c r="B9" s="43" t="str">
        <f>C52</f>
        <v>2019 IRP Jim Bridger Solar with Storage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Q9" s="119"/>
      <c r="R9" s="119"/>
      <c r="S9" s="119"/>
      <c r="T9" s="119"/>
      <c r="U9" s="119"/>
      <c r="V9" s="119"/>
      <c r="W9" s="119"/>
      <c r="X9" s="119"/>
      <c r="Y9" s="119"/>
      <c r="Z9" s="119"/>
    </row>
    <row r="10" spans="2:32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Q10" s="119"/>
      <c r="R10" s="119"/>
      <c r="S10" s="119"/>
      <c r="T10" s="119"/>
      <c r="U10" s="119"/>
      <c r="V10" s="119"/>
      <c r="W10" s="119"/>
      <c r="X10" s="119"/>
      <c r="Y10" s="119"/>
      <c r="Z10" s="119"/>
    </row>
    <row r="11" spans="2:32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Q11" s="119"/>
      <c r="R11" s="119"/>
      <c r="S11" s="119"/>
      <c r="T11" s="119"/>
      <c r="U11" s="119"/>
      <c r="V11" s="119"/>
      <c r="W11" s="119"/>
      <c r="X11" s="119"/>
      <c r="Y11" s="119"/>
      <c r="Z11" s="119"/>
    </row>
    <row r="12" spans="2:32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Q12" s="119"/>
      <c r="R12" s="119"/>
      <c r="S12" s="119"/>
      <c r="T12" s="164"/>
      <c r="U12" s="160"/>
      <c r="V12" s="160"/>
      <c r="W12" s="119"/>
      <c r="X12" s="119"/>
      <c r="Y12" s="160"/>
      <c r="Z12" s="160"/>
      <c r="AF12" s="153"/>
    </row>
    <row r="13" spans="2:32">
      <c r="B13" s="135">
        <f t="shared" si="0"/>
        <v>2019</v>
      </c>
      <c r="C13" s="136"/>
      <c r="D13" s="128"/>
      <c r="E13" s="128">
        <f t="shared" ref="E13:E22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Y13" s="153"/>
      <c r="Z13" s="153"/>
      <c r="AF13" s="153"/>
    </row>
    <row r="14" spans="2:32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V14" s="153"/>
      <c r="Y14" s="153"/>
      <c r="Z14" s="153"/>
      <c r="AF14" s="153"/>
    </row>
    <row r="15" spans="2:32">
      <c r="B15" s="135">
        <f t="shared" si="0"/>
        <v>2021</v>
      </c>
      <c r="C15" s="136"/>
      <c r="D15" s="128"/>
      <c r="E15" s="128">
        <f t="shared" si="1"/>
        <v>25.79</v>
      </c>
      <c r="F15" s="128"/>
      <c r="G15" s="130"/>
      <c r="H15" s="128">
        <f t="shared" si="2"/>
        <v>0</v>
      </c>
      <c r="I15" s="130"/>
      <c r="J15" s="130"/>
      <c r="K15" s="128">
        <f t="shared" si="3"/>
        <v>25.79</v>
      </c>
      <c r="L15" s="119"/>
      <c r="N15" s="117"/>
      <c r="O15" s="259"/>
      <c r="P15" s="133"/>
      <c r="Q15" s="134"/>
      <c r="R15" s="119"/>
      <c r="V15" s="153"/>
      <c r="Y15" s="153"/>
      <c r="Z15" s="153"/>
      <c r="AF15" s="153"/>
    </row>
    <row r="16" spans="2:32">
      <c r="B16" s="135">
        <f t="shared" si="0"/>
        <v>2022</v>
      </c>
      <c r="C16" s="136"/>
      <c r="D16" s="128"/>
      <c r="E16" s="128">
        <f t="shared" si="1"/>
        <v>26.36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26.36</v>
      </c>
      <c r="L16" s="119"/>
      <c r="N16" s="117"/>
      <c r="O16" s="336"/>
      <c r="R16" s="119"/>
      <c r="V16" s="153"/>
      <c r="Y16" s="153"/>
      <c r="Z16" s="153"/>
      <c r="AF16" s="153"/>
    </row>
    <row r="17" spans="2:32">
      <c r="B17" s="135">
        <f t="shared" si="0"/>
        <v>2023</v>
      </c>
      <c r="C17" s="136"/>
      <c r="D17" s="128"/>
      <c r="E17" s="128">
        <f t="shared" si="1"/>
        <v>26.89</v>
      </c>
      <c r="F17" s="128"/>
      <c r="G17" s="130"/>
      <c r="H17" s="128">
        <f t="shared" si="2"/>
        <v>0</v>
      </c>
      <c r="I17" s="130"/>
      <c r="J17" s="130"/>
      <c r="K17" s="128">
        <f t="shared" si="3"/>
        <v>26.89</v>
      </c>
      <c r="L17" s="119"/>
      <c r="N17" s="117"/>
      <c r="O17" s="185"/>
      <c r="R17" s="119"/>
      <c r="V17" s="153"/>
      <c r="Y17" s="153"/>
      <c r="Z17" s="153"/>
      <c r="AF17" s="153"/>
    </row>
    <row r="18" spans="2:32">
      <c r="B18" s="135">
        <f t="shared" si="0"/>
        <v>2024</v>
      </c>
      <c r="C18" s="136"/>
      <c r="D18" s="128"/>
      <c r="E18" s="128">
        <f t="shared" si="1"/>
        <v>27.43</v>
      </c>
      <c r="F18" s="128"/>
      <c r="G18" s="130"/>
      <c r="H18" s="128">
        <f t="shared" si="2"/>
        <v>0</v>
      </c>
      <c r="I18" s="130"/>
      <c r="J18" s="130"/>
      <c r="K18" s="128">
        <f t="shared" si="3"/>
        <v>27.43</v>
      </c>
      <c r="L18" s="119"/>
      <c r="N18" s="117"/>
      <c r="O18" s="337"/>
      <c r="Q18" s="153"/>
      <c r="R18" s="119"/>
      <c r="T18" s="161"/>
      <c r="U18" s="153"/>
      <c r="V18" s="153"/>
      <c r="X18" s="153"/>
      <c r="Y18" s="153"/>
      <c r="Z18" s="153"/>
      <c r="AA18" s="268"/>
      <c r="AB18" s="267"/>
      <c r="AF18" s="153"/>
    </row>
    <row r="19" spans="2:32">
      <c r="B19" s="135">
        <f t="shared" si="0"/>
        <v>2025</v>
      </c>
      <c r="C19" s="136"/>
      <c r="D19" s="128"/>
      <c r="E19" s="128">
        <f t="shared" si="1"/>
        <v>28.01</v>
      </c>
      <c r="F19" s="128"/>
      <c r="G19" s="130"/>
      <c r="H19" s="128">
        <f t="shared" si="2"/>
        <v>0</v>
      </c>
      <c r="I19" s="130"/>
      <c r="J19" s="130"/>
      <c r="K19" s="128">
        <f t="shared" si="3"/>
        <v>28.01</v>
      </c>
      <c r="L19" s="119"/>
      <c r="N19" s="117"/>
      <c r="R19" s="119"/>
      <c r="T19" s="161"/>
      <c r="U19" s="153"/>
      <c r="V19" s="153"/>
      <c r="X19" s="153"/>
      <c r="Y19" s="153"/>
      <c r="Z19" s="153"/>
      <c r="AF19" s="153"/>
    </row>
    <row r="20" spans="2:32">
      <c r="B20" s="135">
        <f t="shared" si="0"/>
        <v>2026</v>
      </c>
      <c r="C20" s="136"/>
      <c r="D20" s="128"/>
      <c r="E20" s="128">
        <f t="shared" si="1"/>
        <v>28.63</v>
      </c>
      <c r="F20" s="128"/>
      <c r="G20" s="130"/>
      <c r="H20" s="128">
        <f t="shared" si="2"/>
        <v>0</v>
      </c>
      <c r="I20" s="130"/>
      <c r="J20" s="130"/>
      <c r="K20" s="128">
        <f t="shared" si="3"/>
        <v>28.63</v>
      </c>
      <c r="L20" s="119"/>
      <c r="N20" s="117"/>
      <c r="R20" s="160"/>
      <c r="T20" s="161"/>
      <c r="U20" s="153"/>
      <c r="V20" s="153"/>
      <c r="X20" s="153"/>
      <c r="Y20" s="153"/>
      <c r="Z20" s="153"/>
      <c r="AF20" s="153"/>
    </row>
    <row r="21" spans="2:32">
      <c r="B21" s="135">
        <f t="shared" si="0"/>
        <v>2027</v>
      </c>
      <c r="C21" s="136"/>
      <c r="D21" s="128"/>
      <c r="E21" s="128">
        <f t="shared" si="1"/>
        <v>29.29</v>
      </c>
      <c r="F21" s="128"/>
      <c r="G21" s="130"/>
      <c r="H21" s="128">
        <f t="shared" si="2"/>
        <v>0</v>
      </c>
      <c r="I21" s="130"/>
      <c r="J21" s="130"/>
      <c r="K21" s="128">
        <f t="shared" si="3"/>
        <v>29.29</v>
      </c>
      <c r="L21" s="119"/>
      <c r="N21" s="117"/>
      <c r="R21" s="160"/>
      <c r="T21" s="161"/>
      <c r="U21" s="153"/>
      <c r="V21" s="153"/>
      <c r="X21" s="153"/>
      <c r="Y21" s="153"/>
      <c r="Z21" s="153"/>
      <c r="AF21" s="153"/>
    </row>
    <row r="22" spans="2:32">
      <c r="B22" s="135">
        <f t="shared" si="0"/>
        <v>2028</v>
      </c>
      <c r="C22" s="136"/>
      <c r="D22" s="128"/>
      <c r="E22" s="128">
        <f t="shared" si="1"/>
        <v>29.96</v>
      </c>
      <c r="F22" s="128"/>
      <c r="G22" s="130"/>
      <c r="H22" s="128">
        <f t="shared" si="2"/>
        <v>0</v>
      </c>
      <c r="I22" s="130"/>
      <c r="J22" s="130"/>
      <c r="K22" s="128">
        <f t="shared" si="3"/>
        <v>29.96</v>
      </c>
      <c r="L22" s="119"/>
      <c r="N22" s="117"/>
      <c r="R22" s="160"/>
      <c r="T22" s="161"/>
      <c r="U22" s="153"/>
      <c r="V22" s="153"/>
      <c r="X22" s="153"/>
      <c r="Y22" s="153"/>
      <c r="Z22" s="153"/>
      <c r="AF22" s="153"/>
    </row>
    <row r="23" spans="2:32">
      <c r="B23" s="135">
        <f t="shared" si="0"/>
        <v>2029</v>
      </c>
      <c r="C23" s="335">
        <v>1210.0083472454089</v>
      </c>
      <c r="D23" s="128">
        <f>C23*$C$62</f>
        <v>61.528924457429042</v>
      </c>
      <c r="E23" s="128">
        <f t="shared" ref="E23:E37" si="4">ROUND(E22*(1+(IFERROR(INDEX($D$66:$D$74,MATCH($B23,$C$66:$C$74,0),1),0)+IFERROR(INDEX($G$66:$G$74,MATCH($B23,$F$66:$F$74,0),1),0)+IFERROR(INDEX($J$66:$J$74,MATCH($B23,$I$66:$I$74,0),1),0))),2)</f>
        <v>30.65</v>
      </c>
      <c r="F23" s="128">
        <f>C60</f>
        <v>0</v>
      </c>
      <c r="G23" s="130">
        <f>(D23+E23+F23)/(8.76*$C$63)</f>
        <v>34.959163692345548</v>
      </c>
      <c r="H23" s="128">
        <f t="shared" si="2"/>
        <v>0</v>
      </c>
      <c r="I23" s="130">
        <f>(G23+H23)</f>
        <v>34.959163692345548</v>
      </c>
      <c r="J23" s="130">
        <f t="shared" ref="J23" si="5">ROUND(I23*$C$63*8.76,2)</f>
        <v>92.18</v>
      </c>
      <c r="K23" s="128">
        <f t="shared" si="3"/>
        <v>92.178924457429048</v>
      </c>
      <c r="L23" s="119"/>
      <c r="N23" s="117"/>
      <c r="R23" s="160"/>
      <c r="T23" s="161"/>
      <c r="U23" s="153"/>
      <c r="V23" s="153"/>
      <c r="X23" s="153"/>
      <c r="Y23" s="153"/>
      <c r="Z23" s="153"/>
      <c r="AF23" s="153"/>
    </row>
    <row r="24" spans="2:32">
      <c r="B24" s="135">
        <f t="shared" si="0"/>
        <v>2030</v>
      </c>
      <c r="C24" s="335"/>
      <c r="D24" s="128">
        <f t="shared" ref="D24:F37" si="6">ROUND(D23*(1+(IFERROR(INDEX($D$66:$D$74,MATCH($B24,$C$66:$C$74,0),1),0)+IFERROR(INDEX($G$66:$G$74,MATCH($B24,$F$66:$F$74,0),1),0)+IFERROR(INDEX($J$66:$J$74,MATCH($B24,$I$66:$I$74,0),1),0))),2)</f>
        <v>62.94</v>
      </c>
      <c r="E24" s="128">
        <f t="shared" si="4"/>
        <v>31.35</v>
      </c>
      <c r="F24" s="128">
        <f t="shared" si="6"/>
        <v>0</v>
      </c>
      <c r="G24" s="130">
        <f t="shared" ref="G24:G37" si="7">(D24+E24+F24)/(8.76*$C$63)</f>
        <v>35.759796113411916</v>
      </c>
      <c r="H24" s="128">
        <f t="shared" si="2"/>
        <v>0</v>
      </c>
      <c r="I24" s="130">
        <f t="shared" ref="I24:I37" si="8">(G24+H24)</f>
        <v>35.759796113411916</v>
      </c>
      <c r="J24" s="130">
        <f t="shared" ref="J24:J32" si="9">ROUND(I24*$C$63*8.76,2)</f>
        <v>94.29</v>
      </c>
      <c r="K24" s="128">
        <f t="shared" si="3"/>
        <v>94.289999999999992</v>
      </c>
      <c r="L24" s="119"/>
      <c r="N24" s="117"/>
      <c r="R24" s="160"/>
      <c r="T24" s="161"/>
      <c r="U24" s="153"/>
      <c r="V24" s="153"/>
      <c r="X24" s="153"/>
      <c r="Y24" s="153"/>
      <c r="Z24" s="153"/>
      <c r="AF24" s="153"/>
    </row>
    <row r="25" spans="2:32">
      <c r="B25" s="135">
        <f t="shared" si="0"/>
        <v>2031</v>
      </c>
      <c r="C25" s="136"/>
      <c r="D25" s="128">
        <f t="shared" si="6"/>
        <v>64.39</v>
      </c>
      <c r="E25" s="128">
        <f t="shared" si="4"/>
        <v>32.07</v>
      </c>
      <c r="F25" s="128">
        <f t="shared" si="6"/>
        <v>0</v>
      </c>
      <c r="G25" s="130">
        <f t="shared" si="7"/>
        <v>36.582775830944044</v>
      </c>
      <c r="H25" s="128">
        <f t="shared" si="2"/>
        <v>0</v>
      </c>
      <c r="I25" s="130">
        <f t="shared" si="8"/>
        <v>36.582775830944044</v>
      </c>
      <c r="J25" s="130">
        <f t="shared" si="9"/>
        <v>96.46</v>
      </c>
      <c r="K25" s="128">
        <f t="shared" si="3"/>
        <v>96.460000000000008</v>
      </c>
      <c r="L25" s="119"/>
      <c r="N25" s="117"/>
      <c r="R25" s="160"/>
      <c r="T25" s="161"/>
      <c r="U25" s="153"/>
      <c r="V25" s="153"/>
      <c r="X25" s="153"/>
      <c r="Y25" s="153"/>
      <c r="Z25" s="153"/>
      <c r="AF25" s="153"/>
    </row>
    <row r="26" spans="2:32">
      <c r="B26" s="135">
        <f t="shared" si="0"/>
        <v>2032</v>
      </c>
      <c r="C26" s="136"/>
      <c r="D26" s="128">
        <f t="shared" si="6"/>
        <v>65.87</v>
      </c>
      <c r="E26" s="128">
        <f t="shared" si="4"/>
        <v>32.81</v>
      </c>
      <c r="F26" s="128">
        <f t="shared" si="6"/>
        <v>0</v>
      </c>
      <c r="G26" s="130">
        <f t="shared" si="7"/>
        <v>37.42471821477875</v>
      </c>
      <c r="H26" s="128">
        <f t="shared" si="2"/>
        <v>0</v>
      </c>
      <c r="I26" s="130">
        <f t="shared" si="8"/>
        <v>37.42471821477875</v>
      </c>
      <c r="J26" s="130">
        <f t="shared" si="9"/>
        <v>98.68</v>
      </c>
      <c r="K26" s="128">
        <f t="shared" si="3"/>
        <v>98.68</v>
      </c>
      <c r="L26" s="119"/>
      <c r="N26" s="117"/>
      <c r="R26" s="160"/>
      <c r="T26" s="161"/>
      <c r="U26" s="153"/>
      <c r="V26" s="153"/>
      <c r="X26" s="153"/>
      <c r="Y26" s="153"/>
      <c r="Z26" s="153"/>
      <c r="AF26" s="153"/>
    </row>
    <row r="27" spans="2:32">
      <c r="B27" s="135">
        <f t="shared" si="0"/>
        <v>2033</v>
      </c>
      <c r="C27" s="136"/>
      <c r="D27" s="128">
        <f t="shared" si="6"/>
        <v>67.39</v>
      </c>
      <c r="E27" s="128">
        <f t="shared" si="4"/>
        <v>33.56</v>
      </c>
      <c r="F27" s="128">
        <f t="shared" si="6"/>
        <v>0</v>
      </c>
      <c r="G27" s="130">
        <f t="shared" si="7"/>
        <v>38.28562326491604</v>
      </c>
      <c r="H27" s="128">
        <f t="shared" si="2"/>
        <v>0</v>
      </c>
      <c r="I27" s="130">
        <f t="shared" si="8"/>
        <v>38.28562326491604</v>
      </c>
      <c r="J27" s="130">
        <f t="shared" si="9"/>
        <v>100.95</v>
      </c>
      <c r="K27" s="128">
        <f t="shared" si="3"/>
        <v>100.95</v>
      </c>
      <c r="L27" s="119"/>
      <c r="N27" s="117"/>
      <c r="R27" s="160"/>
      <c r="T27" s="161"/>
      <c r="U27" s="153"/>
      <c r="V27" s="153"/>
      <c r="X27" s="153"/>
      <c r="Y27" s="153"/>
      <c r="Z27" s="153"/>
      <c r="AF27" s="153"/>
    </row>
    <row r="28" spans="2:32">
      <c r="B28" s="135">
        <f t="shared" si="0"/>
        <v>2034</v>
      </c>
      <c r="C28" s="136"/>
      <c r="D28" s="128">
        <f t="shared" si="6"/>
        <v>68.94</v>
      </c>
      <c r="E28" s="128">
        <f t="shared" si="4"/>
        <v>34.33</v>
      </c>
      <c r="F28" s="128">
        <f t="shared" si="6"/>
        <v>0</v>
      </c>
      <c r="G28" s="130">
        <f t="shared" si="7"/>
        <v>39.165490981355909</v>
      </c>
      <c r="H28" s="128">
        <f t="shared" si="2"/>
        <v>0</v>
      </c>
      <c r="I28" s="130">
        <f t="shared" si="8"/>
        <v>39.165490981355909</v>
      </c>
      <c r="J28" s="130">
        <f t="shared" si="9"/>
        <v>103.27</v>
      </c>
      <c r="K28" s="128">
        <f t="shared" si="3"/>
        <v>103.27</v>
      </c>
      <c r="L28" s="119"/>
      <c r="N28" s="117"/>
      <c r="R28" s="160"/>
      <c r="T28" s="161"/>
      <c r="U28" s="153"/>
      <c r="V28" s="153"/>
      <c r="X28" s="153"/>
      <c r="Y28" s="153"/>
      <c r="Z28" s="153"/>
      <c r="AF28" s="153"/>
    </row>
    <row r="29" spans="2:32">
      <c r="B29" s="135">
        <f t="shared" si="0"/>
        <v>2035</v>
      </c>
      <c r="C29" s="136"/>
      <c r="D29" s="128">
        <f t="shared" si="6"/>
        <v>70.53</v>
      </c>
      <c r="E29" s="128">
        <f t="shared" si="4"/>
        <v>35.119999999999997</v>
      </c>
      <c r="F29" s="128">
        <f t="shared" si="6"/>
        <v>0</v>
      </c>
      <c r="G29" s="130">
        <f t="shared" si="7"/>
        <v>40.068113897358884</v>
      </c>
      <c r="H29" s="128">
        <f t="shared" si="2"/>
        <v>0</v>
      </c>
      <c r="I29" s="130">
        <f t="shared" si="8"/>
        <v>40.068113897358884</v>
      </c>
      <c r="J29" s="130">
        <f t="shared" si="9"/>
        <v>105.65</v>
      </c>
      <c r="K29" s="128">
        <f t="shared" si="3"/>
        <v>105.65</v>
      </c>
      <c r="L29" s="119"/>
      <c r="N29" s="117"/>
      <c r="R29" s="160"/>
      <c r="T29" s="161"/>
      <c r="U29" s="153"/>
      <c r="V29" s="153"/>
      <c r="X29" s="153"/>
      <c r="Y29" s="153"/>
      <c r="Z29" s="153"/>
      <c r="AF29" s="153"/>
    </row>
    <row r="30" spans="2:32">
      <c r="B30" s="135">
        <f t="shared" si="0"/>
        <v>2036</v>
      </c>
      <c r="C30" s="136"/>
      <c r="D30" s="128">
        <f t="shared" si="6"/>
        <v>72.150000000000006</v>
      </c>
      <c r="E30" s="128">
        <f t="shared" si="4"/>
        <v>35.93</v>
      </c>
      <c r="F30" s="128">
        <f t="shared" si="6"/>
        <v>0</v>
      </c>
      <c r="G30" s="130">
        <f t="shared" si="7"/>
        <v>40.989699479664445</v>
      </c>
      <c r="H30" s="128">
        <f t="shared" si="2"/>
        <v>0</v>
      </c>
      <c r="I30" s="130">
        <f t="shared" si="8"/>
        <v>40.989699479664445</v>
      </c>
      <c r="J30" s="130">
        <f t="shared" si="9"/>
        <v>108.08</v>
      </c>
      <c r="K30" s="128">
        <f t="shared" si="3"/>
        <v>108.08000000000001</v>
      </c>
      <c r="L30" s="119"/>
      <c r="N30" s="117"/>
      <c r="R30" s="160"/>
      <c r="T30" s="161"/>
      <c r="U30" s="153"/>
      <c r="V30" s="153"/>
      <c r="X30" s="153"/>
      <c r="Y30" s="153"/>
      <c r="Z30" s="153"/>
      <c r="AF30" s="153"/>
    </row>
    <row r="31" spans="2:32">
      <c r="B31" s="135">
        <f t="shared" si="0"/>
        <v>2037</v>
      </c>
      <c r="C31" s="136"/>
      <c r="D31" s="128">
        <f t="shared" si="6"/>
        <v>73.81</v>
      </c>
      <c r="E31" s="128">
        <f t="shared" si="4"/>
        <v>36.76</v>
      </c>
      <c r="F31" s="128">
        <f t="shared" si="6"/>
        <v>0</v>
      </c>
      <c r="G31" s="130">
        <f t="shared" si="7"/>
        <v>41.934040261533092</v>
      </c>
      <c r="H31" s="128">
        <f t="shared" si="2"/>
        <v>0</v>
      </c>
      <c r="I31" s="130">
        <f t="shared" si="8"/>
        <v>41.934040261533092</v>
      </c>
      <c r="J31" s="130">
        <f t="shared" si="9"/>
        <v>110.57</v>
      </c>
      <c r="K31" s="128">
        <f t="shared" si="3"/>
        <v>110.57</v>
      </c>
      <c r="L31" s="119"/>
      <c r="N31" s="117"/>
      <c r="R31" s="160"/>
      <c r="T31" s="161"/>
      <c r="U31" s="153"/>
      <c r="V31" s="153"/>
      <c r="X31" s="153"/>
      <c r="Y31" s="153"/>
      <c r="Z31" s="153"/>
      <c r="AF31" s="153"/>
    </row>
    <row r="32" spans="2:32">
      <c r="B32" s="135">
        <f t="shared" si="0"/>
        <v>2038</v>
      </c>
      <c r="C32" s="136"/>
      <c r="D32" s="128">
        <f t="shared" si="6"/>
        <v>75.510000000000005</v>
      </c>
      <c r="E32" s="128">
        <f t="shared" si="4"/>
        <v>37.61</v>
      </c>
      <c r="F32" s="128">
        <f t="shared" si="6"/>
        <v>0</v>
      </c>
      <c r="G32" s="130">
        <f t="shared" si="7"/>
        <v>42.901136242964853</v>
      </c>
      <c r="H32" s="128">
        <f t="shared" si="2"/>
        <v>0</v>
      </c>
      <c r="I32" s="130">
        <f t="shared" si="8"/>
        <v>42.901136242964853</v>
      </c>
      <c r="J32" s="130">
        <f t="shared" si="9"/>
        <v>113.12</v>
      </c>
      <c r="K32" s="128">
        <f t="shared" si="3"/>
        <v>113.12</v>
      </c>
      <c r="L32" s="119"/>
      <c r="N32" s="117"/>
      <c r="R32" s="160"/>
      <c r="T32" s="161"/>
      <c r="U32" s="153"/>
      <c r="V32" s="153"/>
      <c r="X32" s="153"/>
      <c r="Y32" s="153"/>
      <c r="Z32" s="153"/>
      <c r="AF32" s="153"/>
    </row>
    <row r="33" spans="2:32">
      <c r="B33" s="135">
        <f t="shared" si="0"/>
        <v>2039</v>
      </c>
      <c r="C33" s="136"/>
      <c r="D33" s="128">
        <f t="shared" si="6"/>
        <v>77.25</v>
      </c>
      <c r="E33" s="128">
        <f t="shared" si="4"/>
        <v>38.479999999999997</v>
      </c>
      <c r="F33" s="128">
        <f t="shared" si="6"/>
        <v>0</v>
      </c>
      <c r="G33" s="130">
        <f t="shared" si="7"/>
        <v>43.890987423959707</v>
      </c>
      <c r="H33" s="128">
        <f t="shared" si="2"/>
        <v>0</v>
      </c>
      <c r="I33" s="130">
        <f t="shared" si="8"/>
        <v>43.890987423959707</v>
      </c>
      <c r="J33" s="130">
        <f t="shared" ref="J33:J37" si="10">ROUND(I33*$C$63*8.76,2)</f>
        <v>115.73</v>
      </c>
      <c r="K33" s="128">
        <f t="shared" si="3"/>
        <v>115.72999999999999</v>
      </c>
      <c r="L33" s="119"/>
      <c r="N33" s="117"/>
      <c r="R33" s="160"/>
      <c r="T33" s="161"/>
      <c r="U33" s="153"/>
      <c r="V33" s="153"/>
      <c r="X33" s="153"/>
      <c r="Y33" s="153"/>
      <c r="Z33" s="153"/>
      <c r="AF33" s="153"/>
    </row>
    <row r="34" spans="2:32">
      <c r="B34" s="135">
        <f t="shared" si="0"/>
        <v>2040</v>
      </c>
      <c r="C34" s="136"/>
      <c r="D34" s="128">
        <f t="shared" si="6"/>
        <v>79.03</v>
      </c>
      <c r="E34" s="128">
        <f t="shared" si="4"/>
        <v>39.369999999999997</v>
      </c>
      <c r="F34" s="128">
        <f t="shared" si="6"/>
        <v>0</v>
      </c>
      <c r="G34" s="130">
        <f t="shared" si="7"/>
        <v>44.903593804517669</v>
      </c>
      <c r="H34" s="128">
        <f t="shared" si="2"/>
        <v>0</v>
      </c>
      <c r="I34" s="130">
        <f t="shared" si="8"/>
        <v>44.903593804517669</v>
      </c>
      <c r="J34" s="130">
        <f t="shared" si="10"/>
        <v>118.4</v>
      </c>
      <c r="K34" s="128">
        <f t="shared" si="3"/>
        <v>118.4</v>
      </c>
      <c r="L34" s="119"/>
      <c r="N34" s="117"/>
      <c r="R34" s="160"/>
      <c r="T34" s="161"/>
      <c r="U34" s="153"/>
      <c r="V34" s="153"/>
      <c r="X34" s="153"/>
      <c r="Y34" s="153"/>
      <c r="Z34" s="153"/>
      <c r="AF34" s="153"/>
    </row>
    <row r="35" spans="2:32">
      <c r="B35" s="135">
        <f t="shared" si="0"/>
        <v>2041</v>
      </c>
      <c r="C35" s="136"/>
      <c r="D35" s="128">
        <f t="shared" si="6"/>
        <v>80.849999999999994</v>
      </c>
      <c r="E35" s="128">
        <f t="shared" si="4"/>
        <v>40.28</v>
      </c>
      <c r="F35" s="128">
        <f t="shared" si="6"/>
        <v>0</v>
      </c>
      <c r="G35" s="130">
        <f t="shared" si="7"/>
        <v>45.938955384638724</v>
      </c>
      <c r="H35" s="128">
        <f t="shared" si="2"/>
        <v>0</v>
      </c>
      <c r="I35" s="130">
        <f t="shared" si="8"/>
        <v>45.938955384638724</v>
      </c>
      <c r="J35" s="130">
        <f t="shared" si="10"/>
        <v>121.13</v>
      </c>
      <c r="K35" s="128">
        <f t="shared" si="3"/>
        <v>121.13</v>
      </c>
      <c r="L35" s="119"/>
      <c r="N35" s="117"/>
      <c r="R35" s="160"/>
      <c r="T35" s="161"/>
      <c r="U35" s="153"/>
      <c r="V35" s="153"/>
      <c r="X35" s="153"/>
      <c r="Y35" s="153"/>
      <c r="Z35" s="153"/>
      <c r="AF35" s="153"/>
    </row>
    <row r="36" spans="2:32">
      <c r="B36" s="135">
        <f t="shared" si="0"/>
        <v>2042</v>
      </c>
      <c r="C36" s="136"/>
      <c r="D36" s="128">
        <f t="shared" si="6"/>
        <v>82.71</v>
      </c>
      <c r="E36" s="128">
        <f t="shared" si="4"/>
        <v>41.21</v>
      </c>
      <c r="F36" s="128">
        <f t="shared" si="6"/>
        <v>0</v>
      </c>
      <c r="G36" s="130">
        <f t="shared" si="7"/>
        <v>46.99707216432288</v>
      </c>
      <c r="H36" s="128">
        <f t="shared" si="2"/>
        <v>0</v>
      </c>
      <c r="I36" s="130">
        <f t="shared" si="8"/>
        <v>46.99707216432288</v>
      </c>
      <c r="J36" s="130">
        <f t="shared" si="10"/>
        <v>123.92</v>
      </c>
      <c r="K36" s="128">
        <f t="shared" si="3"/>
        <v>123.91999999999999</v>
      </c>
      <c r="L36" s="119"/>
      <c r="N36" s="117"/>
      <c r="R36" s="160"/>
      <c r="T36" s="161"/>
      <c r="U36" s="153"/>
      <c r="V36" s="153"/>
      <c r="X36" s="153"/>
      <c r="Y36" s="153"/>
      <c r="Z36" s="153"/>
      <c r="AF36" s="153"/>
    </row>
    <row r="37" spans="2:32">
      <c r="B37" s="135">
        <f t="shared" si="0"/>
        <v>2043</v>
      </c>
      <c r="C37" s="136"/>
      <c r="D37" s="128">
        <f t="shared" si="6"/>
        <v>84.7</v>
      </c>
      <c r="E37" s="128">
        <f t="shared" si="4"/>
        <v>42.2</v>
      </c>
      <c r="F37" s="128">
        <f t="shared" si="6"/>
        <v>0</v>
      </c>
      <c r="G37" s="130">
        <f t="shared" si="7"/>
        <v>48.127247075956859</v>
      </c>
      <c r="H37" s="128">
        <f t="shared" si="2"/>
        <v>0</v>
      </c>
      <c r="I37" s="130">
        <f t="shared" si="8"/>
        <v>48.127247075956859</v>
      </c>
      <c r="J37" s="130">
        <f t="shared" si="10"/>
        <v>126.9</v>
      </c>
      <c r="K37" s="128">
        <f t="shared" si="3"/>
        <v>126.9</v>
      </c>
      <c r="L37" s="119"/>
      <c r="N37" s="117"/>
      <c r="R37" s="160"/>
      <c r="T37" s="161"/>
      <c r="U37" s="153"/>
      <c r="V37" s="153"/>
      <c r="X37" s="153"/>
      <c r="Y37" s="153"/>
      <c r="Z37" s="153"/>
      <c r="AF37" s="153"/>
    </row>
    <row r="38" spans="2:32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  <c r="N38" s="117"/>
      <c r="R38" s="160"/>
      <c r="T38" s="161"/>
      <c r="U38" s="153"/>
      <c r="V38" s="153"/>
      <c r="X38" s="153"/>
      <c r="Y38" s="153"/>
      <c r="Z38" s="153"/>
      <c r="AF38" s="153"/>
    </row>
    <row r="39" spans="2:32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</row>
    <row r="40" spans="2:32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</row>
    <row r="41" spans="2:32">
      <c r="R41" s="119"/>
    </row>
    <row r="42" spans="2:32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32">
      <c r="B44" s="117" t="s">
        <v>63</v>
      </c>
      <c r="C44" s="140" t="s">
        <v>64</v>
      </c>
      <c r="D44" s="141" t="s">
        <v>102</v>
      </c>
      <c r="AC44" s="265"/>
    </row>
    <row r="45" spans="2:32">
      <c r="C45" s="140" t="str">
        <f>C7</f>
        <v>(a)</v>
      </c>
      <c r="D45" s="117" t="s">
        <v>65</v>
      </c>
      <c r="AC45" s="265"/>
    </row>
    <row r="46" spans="2:32">
      <c r="C46" s="140" t="str">
        <f>D7</f>
        <v>(b)</v>
      </c>
      <c r="D46" s="130" t="str">
        <f>"= "&amp;C7&amp;" x "&amp;C62</f>
        <v>= (a) x 0.05085</v>
      </c>
      <c r="AC46" s="265"/>
    </row>
    <row r="47" spans="2:32">
      <c r="C47" s="140" t="str">
        <f>G7</f>
        <v>(e)</v>
      </c>
      <c r="D47" s="130" t="str">
        <f>"= ("&amp;$D$7&amp;" + "&amp;$E$7&amp;") /  (8.76 x "&amp;TEXT(C63,"0.0%")&amp;")"</f>
        <v>= ((b) + (c)) /  (8.76 x 30.1%)</v>
      </c>
      <c r="AC47" s="265"/>
    </row>
    <row r="48" spans="2:32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Jim Bridger Solar with Storage - 30%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62">
        <v>2029</v>
      </c>
    </row>
    <row r="55" spans="2:25">
      <c r="B55" s="85" t="s">
        <v>101</v>
      </c>
      <c r="C55" s="170">
        <v>1608.8221683005897</v>
      </c>
      <c r="D55" s="117" t="s">
        <v>65</v>
      </c>
      <c r="O55" s="270">
        <v>359.4</v>
      </c>
      <c r="P55" s="117" t="s">
        <v>32</v>
      </c>
      <c r="Q55" s="262" t="s">
        <v>170</v>
      </c>
      <c r="R55" s="262" t="s">
        <v>108</v>
      </c>
      <c r="T55" s="262" t="str">
        <f>$Q$55&amp;"Proposed Station Capital Costs"</f>
        <v>L_.JBB_PVSProposed Station Capital Costs</v>
      </c>
    </row>
    <row r="56" spans="2:25">
      <c r="B56" s="85" t="s">
        <v>101</v>
      </c>
      <c r="C56" s="256">
        <v>24.570618817436728</v>
      </c>
      <c r="D56" s="117" t="s">
        <v>68</v>
      </c>
      <c r="R56" s="119"/>
      <c r="T56" s="262" t="str">
        <f>$Q$55&amp;"Proposed Station Fixed Costs"</f>
        <v>L_.JBB_PVSProposed Station Fixed Costs</v>
      </c>
    </row>
    <row r="57" spans="2:25" ht="24" customHeight="1">
      <c r="B57" s="85"/>
      <c r="C57" s="258"/>
      <c r="D57" s="117" t="s">
        <v>105</v>
      </c>
      <c r="Q57" s="334" t="str">
        <f>Q55&amp;Q54</f>
        <v>L_.JBB_PVS2029</v>
      </c>
      <c r="T57" s="262" t="str">
        <f>$Q$55&amp;"Proposed Station Variable O&amp;M Costs"</f>
        <v>L_.JBB_PVSProposed Station Variable O&amp;M Costs</v>
      </c>
    </row>
    <row r="58" spans="2:25">
      <c r="B58" s="85" t="s">
        <v>101</v>
      </c>
      <c r="C58" s="256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263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84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57" t="str">
        <f>LEFT(RIGHT(INDEX('Table 3 TransCost'!$39:$39,1,MATCH(F60,'Table 3 TransCost'!$4:$4,0)),6),5)</f>
        <v>2029$</v>
      </c>
      <c r="C60" s="258">
        <f>INDEX('Table 3 TransCost'!$39:$39,1,MATCH(F60,'Table 3 TransCost'!$4:$4,0)+2)</f>
        <v>0</v>
      </c>
      <c r="D60" s="117" t="s">
        <v>218</v>
      </c>
      <c r="F60" s="262" t="s">
        <v>219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87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57">
        <v>5.0849999999999999E-2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195">
        <v>0.30099999999999999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December 31, 2020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11">C66+1</f>
        <v>2018</v>
      </c>
      <c r="D67" s="41">
        <v>2.4E-2</v>
      </c>
      <c r="E67" s="85"/>
      <c r="F67" s="87">
        <f t="shared" ref="F67:F74" si="12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11"/>
        <v>2019</v>
      </c>
      <c r="D68" s="41">
        <v>1.7999999999999999E-2</v>
      </c>
      <c r="E68" s="85"/>
      <c r="F68" s="87">
        <f t="shared" si="12"/>
        <v>2028</v>
      </c>
      <c r="G68" s="41">
        <v>2.3E-2</v>
      </c>
      <c r="H68" s="41"/>
      <c r="I68" s="87">
        <f t="shared" ref="I68:I74" si="13">I67+1</f>
        <v>2037</v>
      </c>
      <c r="J68" s="41">
        <v>2.3E-2</v>
      </c>
    </row>
    <row r="69" spans="3:14">
      <c r="C69" s="87">
        <f t="shared" si="11"/>
        <v>2020</v>
      </c>
      <c r="D69" s="41">
        <v>1.2E-2</v>
      </c>
      <c r="E69" s="85"/>
      <c r="F69" s="87">
        <f t="shared" si="12"/>
        <v>2029</v>
      </c>
      <c r="G69" s="41">
        <v>2.3E-2</v>
      </c>
      <c r="H69" s="41"/>
      <c r="I69" s="87">
        <f t="shared" si="13"/>
        <v>2038</v>
      </c>
      <c r="J69" s="41">
        <v>2.3E-2</v>
      </c>
    </row>
    <row r="70" spans="3:14">
      <c r="C70" s="87">
        <f t="shared" si="11"/>
        <v>2021</v>
      </c>
      <c r="D70" s="41">
        <v>1.9E-2</v>
      </c>
      <c r="E70" s="85"/>
      <c r="F70" s="87">
        <f t="shared" si="12"/>
        <v>2030</v>
      </c>
      <c r="G70" s="41">
        <v>2.3E-2</v>
      </c>
      <c r="H70" s="41"/>
      <c r="I70" s="87">
        <f t="shared" si="13"/>
        <v>2039</v>
      </c>
      <c r="J70" s="41">
        <v>2.3E-2</v>
      </c>
    </row>
    <row r="71" spans="3:14">
      <c r="C71" s="87">
        <f t="shared" si="11"/>
        <v>2022</v>
      </c>
      <c r="D71" s="41">
        <v>2.1999999999999999E-2</v>
      </c>
      <c r="E71" s="85"/>
      <c r="F71" s="87">
        <f t="shared" si="12"/>
        <v>2031</v>
      </c>
      <c r="G71" s="41">
        <v>2.3E-2</v>
      </c>
      <c r="H71" s="41"/>
      <c r="I71" s="87">
        <f t="shared" si="13"/>
        <v>2040</v>
      </c>
      <c r="J71" s="41">
        <v>2.3E-2</v>
      </c>
    </row>
    <row r="72" spans="3:14" s="119" customFormat="1">
      <c r="C72" s="87">
        <f t="shared" si="11"/>
        <v>2023</v>
      </c>
      <c r="D72" s="41">
        <v>0.02</v>
      </c>
      <c r="E72" s="86"/>
      <c r="F72" s="87">
        <f t="shared" si="12"/>
        <v>2032</v>
      </c>
      <c r="G72" s="41">
        <v>2.3E-2</v>
      </c>
      <c r="H72" s="41"/>
      <c r="I72" s="87">
        <f t="shared" si="13"/>
        <v>2041</v>
      </c>
      <c r="J72" s="41">
        <v>2.3E-2</v>
      </c>
      <c r="N72" s="164"/>
    </row>
    <row r="73" spans="3:14" s="119" customFormat="1">
      <c r="C73" s="87">
        <f t="shared" si="11"/>
        <v>2024</v>
      </c>
      <c r="D73" s="41">
        <v>0.02</v>
      </c>
      <c r="E73" s="86"/>
      <c r="F73" s="87">
        <f t="shared" si="12"/>
        <v>2033</v>
      </c>
      <c r="G73" s="41">
        <v>2.3E-2</v>
      </c>
      <c r="H73" s="41"/>
      <c r="I73" s="87">
        <f t="shared" si="13"/>
        <v>2042</v>
      </c>
      <c r="J73" s="41">
        <v>2.3E-2</v>
      </c>
      <c r="N73" s="164"/>
    </row>
    <row r="74" spans="3:14" s="119" customFormat="1">
      <c r="C74" s="87">
        <f t="shared" si="11"/>
        <v>2025</v>
      </c>
      <c r="D74" s="41">
        <v>2.1000000000000001E-2</v>
      </c>
      <c r="E74" s="86"/>
      <c r="F74" s="87">
        <f t="shared" si="12"/>
        <v>2034</v>
      </c>
      <c r="G74" s="41">
        <v>2.3E-2</v>
      </c>
      <c r="H74" s="41"/>
      <c r="I74" s="87">
        <f t="shared" si="13"/>
        <v>2043</v>
      </c>
      <c r="J74" s="41">
        <v>2.4E-2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102"/>
  <sheetViews>
    <sheetView zoomScale="80" zoomScaleNormal="80" workbookViewId="0">
      <selection activeCell="K24" sqref="K24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2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11.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4" width="9.33203125" style="117"/>
    <col min="25" max="25" width="12" style="117" bestFit="1" customWidth="1"/>
    <col min="26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2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2" ht="15.75">
      <c r="B2" s="115" t="s">
        <v>149</v>
      </c>
      <c r="C2" s="116"/>
      <c r="D2" s="116"/>
      <c r="E2" s="116"/>
      <c r="F2" s="116"/>
      <c r="G2" s="116"/>
      <c r="H2" s="116"/>
      <c r="I2" s="116"/>
      <c r="J2" s="116"/>
      <c r="R2" s="119"/>
      <c r="S2" s="119"/>
      <c r="T2" s="119"/>
      <c r="U2" s="119"/>
      <c r="V2" s="119"/>
      <c r="W2" s="119"/>
      <c r="X2" s="119"/>
      <c r="Y2" s="119"/>
      <c r="Z2" s="119"/>
      <c r="AA2" s="119"/>
    </row>
    <row r="3" spans="2:32" ht="15.75">
      <c r="B3" s="115" t="str">
        <f>TEXT($C$63,"0%")&amp;"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32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32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01"/>
      <c r="N5" s="201"/>
      <c r="P5" s="201"/>
      <c r="R5" s="263"/>
      <c r="S5" s="119"/>
      <c r="T5" s="119"/>
      <c r="U5" s="119"/>
      <c r="V5" s="119"/>
      <c r="W5" s="119"/>
      <c r="X5" s="119"/>
      <c r="Y5" s="369"/>
      <c r="Z5" s="369"/>
      <c r="AA5" s="119"/>
    </row>
    <row r="6" spans="2:32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64"/>
      <c r="S6" s="119"/>
      <c r="T6" s="119"/>
      <c r="U6" s="119"/>
      <c r="V6" s="119"/>
      <c r="W6" s="119"/>
      <c r="X6" s="119"/>
      <c r="Y6" s="119"/>
      <c r="Z6" s="119"/>
      <c r="AA6" s="119"/>
    </row>
    <row r="7" spans="2:32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32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32" ht="15.75">
      <c r="B9" s="43" t="str">
        <f>C52</f>
        <v>2019 IRP Southen Oregon Solar with Storage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32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</row>
    <row r="11" spans="2:32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</row>
    <row r="12" spans="2:32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T12" s="161"/>
      <c r="U12" s="153"/>
      <c r="V12" s="153"/>
      <c r="W12" s="153"/>
      <c r="Y12" s="153"/>
      <c r="Z12" s="153"/>
      <c r="AF12" s="153"/>
    </row>
    <row r="13" spans="2:32">
      <c r="B13" s="135">
        <f t="shared" si="0"/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W13" s="153"/>
      <c r="Y13" s="153"/>
      <c r="Z13" s="153"/>
      <c r="AF13" s="153"/>
    </row>
    <row r="14" spans="2:32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V14" s="153"/>
      <c r="W14" s="153"/>
      <c r="Y14" s="153"/>
      <c r="Z14" s="153"/>
      <c r="AF14" s="153"/>
    </row>
    <row r="15" spans="2:32">
      <c r="B15" s="135">
        <f t="shared" si="0"/>
        <v>2021</v>
      </c>
      <c r="C15" s="136"/>
      <c r="D15" s="128"/>
      <c r="E15" s="128">
        <f t="shared" si="1"/>
        <v>25.79</v>
      </c>
      <c r="F15" s="128"/>
      <c r="G15" s="130"/>
      <c r="H15" s="128">
        <f t="shared" si="2"/>
        <v>0</v>
      </c>
      <c r="I15" s="130"/>
      <c r="J15" s="130"/>
      <c r="K15" s="128">
        <f t="shared" si="3"/>
        <v>25.79</v>
      </c>
      <c r="L15" s="119"/>
      <c r="N15" s="117"/>
      <c r="O15" s="259"/>
      <c r="P15" s="133"/>
      <c r="Q15" s="134"/>
      <c r="R15" s="119"/>
      <c r="V15" s="153"/>
      <c r="W15" s="153"/>
      <c r="Y15" s="153"/>
      <c r="Z15" s="153"/>
      <c r="AF15" s="153"/>
    </row>
    <row r="16" spans="2:32">
      <c r="B16" s="135">
        <f t="shared" si="0"/>
        <v>2022</v>
      </c>
      <c r="C16" s="136"/>
      <c r="D16" s="128"/>
      <c r="E16" s="128">
        <f t="shared" si="1"/>
        <v>26.36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26.36</v>
      </c>
      <c r="L16" s="119"/>
      <c r="N16" s="117"/>
      <c r="O16" s="336"/>
      <c r="R16" s="119"/>
      <c r="V16" s="153"/>
      <c r="W16" s="153"/>
      <c r="Y16" s="153"/>
      <c r="Z16" s="153"/>
      <c r="AF16" s="153"/>
    </row>
    <row r="17" spans="2:32">
      <c r="B17" s="135">
        <f t="shared" si="0"/>
        <v>2023</v>
      </c>
      <c r="C17" s="136"/>
      <c r="D17" s="128"/>
      <c r="E17" s="128">
        <f t="shared" si="1"/>
        <v>26.89</v>
      </c>
      <c r="F17" s="128"/>
      <c r="G17" s="130"/>
      <c r="H17" s="128">
        <f t="shared" si="2"/>
        <v>0</v>
      </c>
      <c r="I17" s="130"/>
      <c r="J17" s="130"/>
      <c r="K17" s="128">
        <f t="shared" si="3"/>
        <v>26.89</v>
      </c>
      <c r="L17" s="119"/>
      <c r="N17" s="117"/>
      <c r="O17" s="185"/>
      <c r="R17" s="119"/>
      <c r="V17" s="153"/>
      <c r="W17" s="153"/>
      <c r="Y17" s="153"/>
      <c r="Z17" s="153"/>
      <c r="AF17" s="153"/>
    </row>
    <row r="18" spans="2:32">
      <c r="B18" s="135">
        <f t="shared" si="0"/>
        <v>2024</v>
      </c>
      <c r="C18" s="335">
        <v>1296.5513342379013</v>
      </c>
      <c r="D18" s="128">
        <f>C18*$C$62</f>
        <v>65.929635345997283</v>
      </c>
      <c r="E18" s="128">
        <f t="shared" si="1"/>
        <v>27.43</v>
      </c>
      <c r="F18" s="186">
        <f>C60</f>
        <v>0</v>
      </c>
      <c r="G18" s="130">
        <f>(D18+E18+F18)/(8.76*$C$63)</f>
        <v>35.883813533353816</v>
      </c>
      <c r="H18" s="128">
        <f t="shared" si="2"/>
        <v>0</v>
      </c>
      <c r="I18" s="130">
        <f>(G18+H18)</f>
        <v>35.883813533353816</v>
      </c>
      <c r="J18" s="130">
        <f t="shared" ref="J18:J32" si="4">ROUND(I18*$C$63*8.76,2)</f>
        <v>93.36</v>
      </c>
      <c r="K18" s="128">
        <f t="shared" si="3"/>
        <v>93.359635345997276</v>
      </c>
      <c r="L18" s="119"/>
      <c r="N18" s="117"/>
      <c r="O18" s="337"/>
      <c r="Q18" s="153"/>
      <c r="R18" s="119"/>
      <c r="T18" s="161"/>
      <c r="U18" s="153"/>
      <c r="V18" s="153"/>
      <c r="W18" s="153"/>
      <c r="X18" s="153"/>
      <c r="Y18" s="153"/>
      <c r="Z18" s="153"/>
      <c r="AA18" s="268"/>
      <c r="AB18" s="267"/>
      <c r="AF18" s="153"/>
    </row>
    <row r="19" spans="2:32">
      <c r="B19" s="135">
        <f t="shared" si="0"/>
        <v>2025</v>
      </c>
      <c r="C19" s="136"/>
      <c r="D19" s="128">
        <f t="shared" ref="D19:F37" si="5">ROUND(D18*(1+(IFERROR(INDEX($D$66:$D$74,MATCH($B19,$C$66:$C$74,0),1),0)+IFERROR(INDEX($G$66:$G$74,MATCH($B19,$F$66:$F$74,0),1),0)+IFERROR(INDEX($J$66:$J$74,MATCH($B19,$I$66:$I$74,0),1),0))),2)</f>
        <v>67.31</v>
      </c>
      <c r="E19" s="128">
        <f t="shared" si="1"/>
        <v>28.01</v>
      </c>
      <c r="F19" s="128">
        <f t="shared" si="5"/>
        <v>0</v>
      </c>
      <c r="G19" s="130">
        <f t="shared" ref="G19:G37" si="6">(D19+E19+F19)/(8.76*$C$63)</f>
        <v>36.637301477484129</v>
      </c>
      <c r="H19" s="128">
        <f t="shared" si="2"/>
        <v>0</v>
      </c>
      <c r="I19" s="130">
        <f t="shared" ref="I19:I37" si="7">(G19+H19)</f>
        <v>36.637301477484129</v>
      </c>
      <c r="J19" s="130">
        <f t="shared" si="4"/>
        <v>95.32</v>
      </c>
      <c r="K19" s="128">
        <f t="shared" si="3"/>
        <v>95.320000000000007</v>
      </c>
      <c r="L19" s="119"/>
      <c r="N19" s="117"/>
      <c r="R19" s="119"/>
      <c r="T19" s="161"/>
      <c r="U19" s="153"/>
      <c r="V19" s="153"/>
      <c r="W19" s="153"/>
      <c r="X19" s="153"/>
      <c r="Y19" s="153"/>
      <c r="Z19" s="153"/>
      <c r="AF19" s="153"/>
    </row>
    <row r="20" spans="2:32">
      <c r="B20" s="135">
        <f t="shared" si="0"/>
        <v>2026</v>
      </c>
      <c r="C20" s="136"/>
      <c r="D20" s="128">
        <f t="shared" si="5"/>
        <v>68.790000000000006</v>
      </c>
      <c r="E20" s="128">
        <f t="shared" si="1"/>
        <v>28.63</v>
      </c>
      <c r="F20" s="128">
        <f t="shared" si="5"/>
        <v>0</v>
      </c>
      <c r="G20" s="130">
        <f t="shared" si="6"/>
        <v>37.444459818889044</v>
      </c>
      <c r="H20" s="128">
        <f t="shared" si="2"/>
        <v>0</v>
      </c>
      <c r="I20" s="130">
        <f t="shared" si="7"/>
        <v>37.444459818889044</v>
      </c>
      <c r="J20" s="130">
        <f t="shared" si="4"/>
        <v>97.42</v>
      </c>
      <c r="K20" s="128">
        <f t="shared" si="3"/>
        <v>97.42</v>
      </c>
      <c r="L20" s="119"/>
      <c r="N20" s="117"/>
      <c r="R20" s="160"/>
      <c r="T20" s="161"/>
      <c r="U20" s="153"/>
      <c r="V20" s="153"/>
      <c r="W20" s="153"/>
      <c r="X20" s="153"/>
      <c r="Y20" s="153"/>
      <c r="Z20" s="153"/>
      <c r="AF20" s="153"/>
    </row>
    <row r="21" spans="2:32">
      <c r="B21" s="135">
        <f t="shared" si="0"/>
        <v>2027</v>
      </c>
      <c r="C21" s="136"/>
      <c r="D21" s="128">
        <f t="shared" si="5"/>
        <v>70.37</v>
      </c>
      <c r="E21" s="128">
        <f t="shared" si="1"/>
        <v>29.29</v>
      </c>
      <c r="F21" s="128">
        <f t="shared" si="5"/>
        <v>0</v>
      </c>
      <c r="G21" s="130">
        <f t="shared" si="6"/>
        <v>38.305428716387624</v>
      </c>
      <c r="H21" s="128">
        <f t="shared" si="2"/>
        <v>0</v>
      </c>
      <c r="I21" s="130">
        <f t="shared" si="7"/>
        <v>38.305428716387624</v>
      </c>
      <c r="J21" s="130">
        <f t="shared" si="4"/>
        <v>99.66</v>
      </c>
      <c r="K21" s="128">
        <f t="shared" si="3"/>
        <v>99.66</v>
      </c>
      <c r="L21" s="119"/>
      <c r="N21" s="117"/>
      <c r="R21" s="160"/>
      <c r="T21" s="161"/>
      <c r="U21" s="153"/>
      <c r="V21" s="153"/>
      <c r="W21" s="153"/>
      <c r="X21" s="153"/>
      <c r="Y21" s="153"/>
      <c r="Z21" s="153"/>
      <c r="AF21" s="153"/>
    </row>
    <row r="22" spans="2:32">
      <c r="B22" s="135">
        <f t="shared" si="0"/>
        <v>2028</v>
      </c>
      <c r="C22" s="136"/>
      <c r="D22" s="128">
        <f t="shared" si="5"/>
        <v>71.989999999999995</v>
      </c>
      <c r="E22" s="128">
        <f t="shared" si="1"/>
        <v>29.96</v>
      </c>
      <c r="F22" s="128">
        <f t="shared" si="5"/>
        <v>0</v>
      </c>
      <c r="G22" s="130">
        <f t="shared" si="6"/>
        <v>39.185615669633933</v>
      </c>
      <c r="H22" s="128">
        <f t="shared" si="2"/>
        <v>0</v>
      </c>
      <c r="I22" s="130">
        <f t="shared" si="7"/>
        <v>39.185615669633933</v>
      </c>
      <c r="J22" s="130">
        <f t="shared" si="4"/>
        <v>101.95</v>
      </c>
      <c r="K22" s="128">
        <f t="shared" si="3"/>
        <v>101.94999999999999</v>
      </c>
      <c r="L22" s="119"/>
      <c r="N22" s="117"/>
      <c r="R22" s="160"/>
      <c r="T22" s="161"/>
      <c r="U22" s="153"/>
      <c r="V22" s="153"/>
      <c r="W22" s="153"/>
      <c r="X22" s="153"/>
      <c r="Y22" s="153"/>
      <c r="Z22" s="153"/>
      <c r="AF22" s="153"/>
    </row>
    <row r="23" spans="2:32">
      <c r="B23" s="135">
        <f t="shared" si="0"/>
        <v>2029</v>
      </c>
      <c r="C23" s="136"/>
      <c r="D23" s="128">
        <f t="shared" si="5"/>
        <v>73.650000000000006</v>
      </c>
      <c r="E23" s="128">
        <f t="shared" si="1"/>
        <v>30.65</v>
      </c>
      <c r="F23" s="128">
        <f t="shared" si="5"/>
        <v>0</v>
      </c>
      <c r="G23" s="130">
        <f t="shared" si="6"/>
        <v>40.08886428977754</v>
      </c>
      <c r="H23" s="128">
        <f t="shared" si="2"/>
        <v>0</v>
      </c>
      <c r="I23" s="130">
        <f t="shared" si="7"/>
        <v>40.08886428977754</v>
      </c>
      <c r="J23" s="130">
        <f t="shared" si="4"/>
        <v>104.3</v>
      </c>
      <c r="K23" s="128">
        <f t="shared" si="3"/>
        <v>104.30000000000001</v>
      </c>
      <c r="L23" s="119"/>
      <c r="N23" s="117"/>
      <c r="R23" s="160"/>
      <c r="T23" s="161"/>
      <c r="U23" s="153"/>
      <c r="V23" s="153"/>
      <c r="W23" s="153"/>
      <c r="X23" s="153"/>
      <c r="Y23" s="153"/>
      <c r="Z23" s="153"/>
      <c r="AF23" s="153"/>
    </row>
    <row r="24" spans="2:32">
      <c r="B24" s="135">
        <f t="shared" si="0"/>
        <v>2030</v>
      </c>
      <c r="C24" s="136"/>
      <c r="D24" s="128">
        <f t="shared" si="5"/>
        <v>75.34</v>
      </c>
      <c r="E24" s="128">
        <f t="shared" si="1"/>
        <v>31.35</v>
      </c>
      <c r="F24" s="128">
        <f t="shared" si="5"/>
        <v>0</v>
      </c>
      <c r="G24" s="130">
        <f t="shared" si="6"/>
        <v>41.00748735451932</v>
      </c>
      <c r="H24" s="128">
        <f t="shared" si="2"/>
        <v>0</v>
      </c>
      <c r="I24" s="130">
        <f t="shared" si="7"/>
        <v>41.00748735451932</v>
      </c>
      <c r="J24" s="130">
        <f t="shared" si="4"/>
        <v>106.69</v>
      </c>
      <c r="K24" s="128">
        <f t="shared" si="3"/>
        <v>106.69</v>
      </c>
      <c r="L24" s="119"/>
      <c r="N24" s="117"/>
      <c r="R24" s="160"/>
      <c r="T24" s="161"/>
      <c r="U24" s="153"/>
      <c r="V24" s="153"/>
      <c r="W24" s="153"/>
      <c r="X24" s="153"/>
      <c r="Y24" s="153"/>
      <c r="Z24" s="153"/>
      <c r="AF24" s="153"/>
    </row>
    <row r="25" spans="2:32">
      <c r="B25" s="135">
        <f t="shared" si="0"/>
        <v>2031</v>
      </c>
      <c r="C25" s="136"/>
      <c r="D25" s="128">
        <f t="shared" si="5"/>
        <v>77.069999999999993</v>
      </c>
      <c r="E25" s="128">
        <f t="shared" si="1"/>
        <v>32.07</v>
      </c>
      <c r="F25" s="128">
        <f t="shared" si="5"/>
        <v>0</v>
      </c>
      <c r="G25" s="130">
        <f t="shared" si="6"/>
        <v>41.949172086158384</v>
      </c>
      <c r="H25" s="128">
        <f t="shared" si="2"/>
        <v>0</v>
      </c>
      <c r="I25" s="130">
        <f t="shared" si="7"/>
        <v>41.949172086158384</v>
      </c>
      <c r="J25" s="130">
        <f t="shared" si="4"/>
        <v>109.14</v>
      </c>
      <c r="K25" s="128">
        <f t="shared" si="3"/>
        <v>109.13999999999999</v>
      </c>
      <c r="L25" s="119"/>
      <c r="N25" s="117"/>
      <c r="R25" s="160"/>
      <c r="T25" s="161"/>
      <c r="U25" s="153"/>
      <c r="V25" s="153"/>
      <c r="W25" s="153"/>
      <c r="X25" s="153"/>
      <c r="Y25" s="153"/>
      <c r="Z25" s="153"/>
      <c r="AF25" s="153"/>
    </row>
    <row r="26" spans="2:32">
      <c r="B26" s="135">
        <f t="shared" si="0"/>
        <v>2032</v>
      </c>
      <c r="C26" s="136"/>
      <c r="D26" s="128">
        <f t="shared" si="5"/>
        <v>78.84</v>
      </c>
      <c r="E26" s="128">
        <f t="shared" si="1"/>
        <v>32.81</v>
      </c>
      <c r="F26" s="128">
        <f t="shared" si="5"/>
        <v>0</v>
      </c>
      <c r="G26" s="130">
        <f t="shared" si="6"/>
        <v>42.913918484694747</v>
      </c>
      <c r="H26" s="128">
        <f t="shared" si="2"/>
        <v>0</v>
      </c>
      <c r="I26" s="130">
        <f t="shared" si="7"/>
        <v>42.913918484694747</v>
      </c>
      <c r="J26" s="130">
        <f t="shared" si="4"/>
        <v>111.65</v>
      </c>
      <c r="K26" s="128">
        <f t="shared" si="3"/>
        <v>111.65</v>
      </c>
      <c r="L26" s="119"/>
      <c r="N26" s="117"/>
      <c r="R26" s="160"/>
      <c r="T26" s="161"/>
      <c r="U26" s="153"/>
      <c r="V26" s="153"/>
      <c r="W26" s="153"/>
      <c r="X26" s="153"/>
      <c r="Y26" s="153"/>
      <c r="Z26" s="153"/>
      <c r="AF26" s="153"/>
    </row>
    <row r="27" spans="2:32">
      <c r="B27" s="135">
        <f t="shared" si="0"/>
        <v>2033</v>
      </c>
      <c r="C27" s="136"/>
      <c r="D27" s="128">
        <f t="shared" si="5"/>
        <v>80.650000000000006</v>
      </c>
      <c r="E27" s="128">
        <f t="shared" si="1"/>
        <v>33.56</v>
      </c>
      <c r="F27" s="128">
        <f t="shared" si="5"/>
        <v>0</v>
      </c>
      <c r="G27" s="130">
        <f t="shared" si="6"/>
        <v>43.897882938978839</v>
      </c>
      <c r="H27" s="128">
        <f t="shared" si="2"/>
        <v>0</v>
      </c>
      <c r="I27" s="130">
        <f t="shared" si="7"/>
        <v>43.897882938978839</v>
      </c>
      <c r="J27" s="130">
        <f t="shared" si="4"/>
        <v>114.21</v>
      </c>
      <c r="K27" s="128">
        <f t="shared" si="3"/>
        <v>114.21000000000001</v>
      </c>
      <c r="L27" s="119"/>
      <c r="N27" s="117"/>
      <c r="R27" s="160"/>
      <c r="T27" s="161"/>
      <c r="U27" s="153"/>
      <c r="V27" s="153"/>
      <c r="W27" s="153"/>
      <c r="X27" s="153"/>
      <c r="Y27" s="153"/>
      <c r="Z27" s="153"/>
      <c r="AF27" s="153"/>
    </row>
    <row r="28" spans="2:32">
      <c r="B28" s="135">
        <f t="shared" si="0"/>
        <v>2034</v>
      </c>
      <c r="C28" s="136"/>
      <c r="D28" s="128">
        <f t="shared" si="5"/>
        <v>82.5</v>
      </c>
      <c r="E28" s="128">
        <f t="shared" si="1"/>
        <v>34.33</v>
      </c>
      <c r="F28" s="128">
        <f t="shared" si="5"/>
        <v>0</v>
      </c>
      <c r="G28" s="130">
        <f t="shared" si="6"/>
        <v>44.904909060160207</v>
      </c>
      <c r="H28" s="128">
        <f t="shared" si="2"/>
        <v>0</v>
      </c>
      <c r="I28" s="130">
        <f t="shared" si="7"/>
        <v>44.904909060160207</v>
      </c>
      <c r="J28" s="130">
        <f t="shared" si="4"/>
        <v>116.83</v>
      </c>
      <c r="K28" s="128">
        <f t="shared" si="3"/>
        <v>116.83</v>
      </c>
      <c r="L28" s="119"/>
      <c r="N28" s="117"/>
      <c r="R28" s="160"/>
      <c r="T28" s="161"/>
      <c r="U28" s="153"/>
      <c r="V28" s="153"/>
      <c r="W28" s="153"/>
      <c r="X28" s="153"/>
      <c r="Y28" s="153"/>
      <c r="Z28" s="153"/>
      <c r="AF28" s="153"/>
    </row>
    <row r="29" spans="2:32">
      <c r="B29" s="135">
        <f t="shared" si="0"/>
        <v>2035</v>
      </c>
      <c r="C29" s="136"/>
      <c r="D29" s="128">
        <f t="shared" si="5"/>
        <v>84.4</v>
      </c>
      <c r="E29" s="128">
        <f t="shared" si="1"/>
        <v>35.119999999999997</v>
      </c>
      <c r="F29" s="128">
        <f t="shared" si="5"/>
        <v>0</v>
      </c>
      <c r="G29" s="130">
        <f t="shared" si="6"/>
        <v>45.938840459388409</v>
      </c>
      <c r="H29" s="128">
        <f t="shared" si="2"/>
        <v>0</v>
      </c>
      <c r="I29" s="130">
        <f t="shared" si="7"/>
        <v>45.938840459388409</v>
      </c>
      <c r="J29" s="130">
        <f t="shared" si="4"/>
        <v>119.52</v>
      </c>
      <c r="K29" s="128">
        <f t="shared" si="3"/>
        <v>119.52000000000001</v>
      </c>
      <c r="L29" s="119"/>
      <c r="N29" s="117"/>
      <c r="R29" s="160"/>
      <c r="T29" s="161"/>
      <c r="U29" s="153"/>
      <c r="V29" s="153"/>
      <c r="W29" s="153"/>
      <c r="X29" s="153"/>
      <c r="Y29" s="153"/>
      <c r="Z29" s="153"/>
      <c r="AF29" s="153"/>
    </row>
    <row r="30" spans="2:32">
      <c r="B30" s="135">
        <f t="shared" si="0"/>
        <v>2036</v>
      </c>
      <c r="C30" s="136"/>
      <c r="D30" s="128">
        <f t="shared" si="5"/>
        <v>86.34</v>
      </c>
      <c r="E30" s="128">
        <f t="shared" si="1"/>
        <v>35.93</v>
      </c>
      <c r="F30" s="128">
        <f t="shared" si="5"/>
        <v>0</v>
      </c>
      <c r="G30" s="130">
        <f t="shared" si="6"/>
        <v>46.995833525513895</v>
      </c>
      <c r="H30" s="128">
        <f t="shared" si="2"/>
        <v>0</v>
      </c>
      <c r="I30" s="130">
        <f t="shared" si="7"/>
        <v>46.995833525513895</v>
      </c>
      <c r="J30" s="130">
        <f t="shared" si="4"/>
        <v>122.27</v>
      </c>
      <c r="K30" s="128">
        <f t="shared" si="3"/>
        <v>122.27000000000001</v>
      </c>
      <c r="L30" s="119"/>
      <c r="N30" s="117"/>
      <c r="R30" s="160"/>
      <c r="T30" s="161"/>
      <c r="U30" s="153"/>
      <c r="V30" s="153"/>
      <c r="W30" s="153"/>
      <c r="X30" s="153"/>
      <c r="Y30" s="153"/>
      <c r="Z30" s="153"/>
      <c r="AF30" s="153"/>
    </row>
    <row r="31" spans="2:32">
      <c r="B31" s="135">
        <f t="shared" si="0"/>
        <v>2037</v>
      </c>
      <c r="C31" s="136"/>
      <c r="D31" s="128">
        <f t="shared" si="5"/>
        <v>88.33</v>
      </c>
      <c r="E31" s="128">
        <f t="shared" si="1"/>
        <v>36.76</v>
      </c>
      <c r="F31" s="128">
        <f t="shared" si="5"/>
        <v>0</v>
      </c>
      <c r="G31" s="130">
        <f t="shared" si="6"/>
        <v>48.079731869686213</v>
      </c>
      <c r="H31" s="128">
        <f t="shared" si="2"/>
        <v>0</v>
      </c>
      <c r="I31" s="130">
        <f t="shared" si="7"/>
        <v>48.079731869686213</v>
      </c>
      <c r="J31" s="130">
        <f t="shared" si="4"/>
        <v>125.09</v>
      </c>
      <c r="K31" s="128">
        <f t="shared" si="3"/>
        <v>125.09</v>
      </c>
      <c r="L31" s="119"/>
      <c r="N31" s="117"/>
      <c r="R31" s="160"/>
      <c r="T31" s="161"/>
      <c r="U31" s="153"/>
      <c r="V31" s="153"/>
      <c r="W31" s="153"/>
      <c r="X31" s="153"/>
      <c r="Y31" s="153"/>
      <c r="Z31" s="153"/>
      <c r="AF31" s="153"/>
    </row>
    <row r="32" spans="2:32">
      <c r="B32" s="135">
        <f t="shared" si="0"/>
        <v>2038</v>
      </c>
      <c r="C32" s="136"/>
      <c r="D32" s="128">
        <f t="shared" si="5"/>
        <v>90.36</v>
      </c>
      <c r="E32" s="128">
        <f t="shared" si="1"/>
        <v>37.61</v>
      </c>
      <c r="F32" s="128">
        <f t="shared" si="5"/>
        <v>0</v>
      </c>
      <c r="G32" s="130">
        <f t="shared" si="6"/>
        <v>49.186691880755809</v>
      </c>
      <c r="H32" s="128">
        <f t="shared" si="2"/>
        <v>0</v>
      </c>
      <c r="I32" s="130">
        <f t="shared" si="7"/>
        <v>49.186691880755809</v>
      </c>
      <c r="J32" s="130">
        <f t="shared" si="4"/>
        <v>127.97</v>
      </c>
      <c r="K32" s="128">
        <f t="shared" si="3"/>
        <v>127.97</v>
      </c>
      <c r="L32" s="119"/>
      <c r="N32" s="117"/>
      <c r="R32" s="160"/>
      <c r="T32" s="161"/>
      <c r="U32" s="153"/>
      <c r="V32" s="153"/>
      <c r="W32" s="153"/>
      <c r="X32" s="153"/>
      <c r="Y32" s="153"/>
      <c r="Z32" s="153"/>
      <c r="AF32" s="153"/>
    </row>
    <row r="33" spans="2:32">
      <c r="B33" s="135">
        <f t="shared" si="0"/>
        <v>2039</v>
      </c>
      <c r="C33" s="136"/>
      <c r="D33" s="128">
        <f t="shared" si="5"/>
        <v>92.44</v>
      </c>
      <c r="E33" s="128">
        <f t="shared" si="1"/>
        <v>38.479999999999997</v>
      </c>
      <c r="F33" s="128">
        <f t="shared" si="5"/>
        <v>0</v>
      </c>
      <c r="G33" s="130">
        <f t="shared" si="6"/>
        <v>50.320557169872238</v>
      </c>
      <c r="H33" s="128">
        <f t="shared" si="2"/>
        <v>0</v>
      </c>
      <c r="I33" s="130">
        <f t="shared" si="7"/>
        <v>50.320557169872238</v>
      </c>
      <c r="J33" s="130">
        <f t="shared" ref="J33:J37" si="8">ROUND(I33*$C$63*8.76,2)</f>
        <v>130.91999999999999</v>
      </c>
      <c r="K33" s="128">
        <f t="shared" si="3"/>
        <v>130.91999999999999</v>
      </c>
      <c r="L33" s="119"/>
      <c r="N33" s="117"/>
      <c r="R33" s="160"/>
      <c r="T33" s="161"/>
      <c r="U33" s="153"/>
      <c r="V33" s="153"/>
      <c r="W33" s="153"/>
      <c r="X33" s="153"/>
      <c r="Y33" s="153"/>
      <c r="Z33" s="153"/>
      <c r="AF33" s="153"/>
    </row>
    <row r="34" spans="2:32">
      <c r="B34" s="135">
        <f t="shared" si="0"/>
        <v>2040</v>
      </c>
      <c r="C34" s="136"/>
      <c r="D34" s="128">
        <f t="shared" si="5"/>
        <v>94.57</v>
      </c>
      <c r="E34" s="128">
        <f t="shared" si="1"/>
        <v>39.369999999999997</v>
      </c>
      <c r="F34" s="128">
        <f t="shared" si="5"/>
        <v>0</v>
      </c>
      <c r="G34" s="130">
        <f t="shared" si="6"/>
        <v>51.4813277370355</v>
      </c>
      <c r="H34" s="128">
        <f t="shared" si="2"/>
        <v>0</v>
      </c>
      <c r="I34" s="130">
        <f t="shared" si="7"/>
        <v>51.4813277370355</v>
      </c>
      <c r="J34" s="130">
        <f t="shared" si="8"/>
        <v>133.94</v>
      </c>
      <c r="K34" s="128">
        <f t="shared" si="3"/>
        <v>133.94</v>
      </c>
      <c r="L34" s="119"/>
      <c r="N34" s="117"/>
      <c r="R34" s="160"/>
      <c r="T34" s="161"/>
      <c r="U34" s="153"/>
      <c r="V34" s="153"/>
      <c r="W34" s="153"/>
      <c r="X34" s="153"/>
      <c r="Y34" s="153"/>
      <c r="Z34" s="153"/>
      <c r="AF34" s="153"/>
    </row>
    <row r="35" spans="2:32">
      <c r="B35" s="135">
        <f t="shared" si="0"/>
        <v>2041</v>
      </c>
      <c r="C35" s="136"/>
      <c r="D35" s="128">
        <f t="shared" si="5"/>
        <v>96.75</v>
      </c>
      <c r="E35" s="128">
        <f t="shared" si="1"/>
        <v>40.28</v>
      </c>
      <c r="F35" s="128">
        <f t="shared" si="5"/>
        <v>0</v>
      </c>
      <c r="G35" s="130">
        <f t="shared" si="6"/>
        <v>52.669003582245594</v>
      </c>
      <c r="H35" s="128">
        <f t="shared" si="2"/>
        <v>0</v>
      </c>
      <c r="I35" s="130">
        <f t="shared" si="7"/>
        <v>52.669003582245594</v>
      </c>
      <c r="J35" s="130">
        <f t="shared" si="8"/>
        <v>137.03</v>
      </c>
      <c r="K35" s="128">
        <f t="shared" si="3"/>
        <v>137.03</v>
      </c>
      <c r="L35" s="119"/>
      <c r="N35" s="117"/>
      <c r="R35" s="160"/>
      <c r="T35" s="161"/>
      <c r="U35" s="153"/>
      <c r="V35" s="153"/>
      <c r="W35" s="153"/>
      <c r="X35" s="153"/>
      <c r="Y35" s="153"/>
      <c r="Z35" s="153"/>
      <c r="AF35" s="153"/>
    </row>
    <row r="36" spans="2:32">
      <c r="B36" s="135">
        <f t="shared" si="0"/>
        <v>2042</v>
      </c>
      <c r="C36" s="136"/>
      <c r="D36" s="128">
        <f t="shared" si="5"/>
        <v>98.98</v>
      </c>
      <c r="E36" s="128">
        <f t="shared" si="1"/>
        <v>41.21</v>
      </c>
      <c r="F36" s="128">
        <f t="shared" si="5"/>
        <v>0</v>
      </c>
      <c r="G36" s="130">
        <f t="shared" si="6"/>
        <v>53.883584705502514</v>
      </c>
      <c r="H36" s="128">
        <f t="shared" si="2"/>
        <v>0</v>
      </c>
      <c r="I36" s="130">
        <f t="shared" si="7"/>
        <v>53.883584705502514</v>
      </c>
      <c r="J36" s="130">
        <f t="shared" si="8"/>
        <v>140.19</v>
      </c>
      <c r="K36" s="128">
        <f t="shared" si="3"/>
        <v>140.19</v>
      </c>
      <c r="L36" s="119"/>
      <c r="N36" s="117"/>
      <c r="R36" s="160"/>
      <c r="T36" s="161"/>
      <c r="U36" s="153"/>
      <c r="V36" s="153"/>
      <c r="W36" s="153"/>
      <c r="X36" s="153"/>
      <c r="Y36" s="153"/>
      <c r="Z36" s="153"/>
      <c r="AF36" s="153"/>
    </row>
    <row r="37" spans="2:32">
      <c r="B37" s="135">
        <f t="shared" si="0"/>
        <v>2043</v>
      </c>
      <c r="C37" s="136"/>
      <c r="D37" s="128">
        <f t="shared" si="5"/>
        <v>101.36</v>
      </c>
      <c r="E37" s="128">
        <f t="shared" si="1"/>
        <v>42.2</v>
      </c>
      <c r="F37" s="128">
        <f t="shared" si="5"/>
        <v>0</v>
      </c>
      <c r="G37" s="130">
        <f t="shared" si="6"/>
        <v>55.178881662899933</v>
      </c>
      <c r="H37" s="128">
        <f t="shared" si="2"/>
        <v>0</v>
      </c>
      <c r="I37" s="130">
        <f t="shared" si="7"/>
        <v>55.178881662899933</v>
      </c>
      <c r="J37" s="130">
        <f t="shared" si="8"/>
        <v>143.56</v>
      </c>
      <c r="K37" s="128">
        <f t="shared" si="3"/>
        <v>143.56</v>
      </c>
      <c r="L37" s="119"/>
      <c r="N37" s="117"/>
      <c r="R37" s="160"/>
      <c r="T37" s="161"/>
      <c r="U37" s="153"/>
      <c r="V37" s="153"/>
      <c r="W37" s="153"/>
      <c r="X37" s="153"/>
      <c r="Y37" s="153"/>
      <c r="Z37" s="153"/>
      <c r="AF37" s="153"/>
    </row>
    <row r="38" spans="2:32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  <c r="N38" s="117"/>
      <c r="R38" s="160"/>
      <c r="T38" s="161"/>
      <c r="U38" s="153"/>
      <c r="V38" s="153"/>
      <c r="W38" s="153"/>
      <c r="X38" s="153"/>
      <c r="Y38" s="153"/>
      <c r="Z38" s="153"/>
      <c r="AF38" s="153"/>
    </row>
    <row r="39" spans="2:32">
      <c r="B39" s="135"/>
      <c r="C39" s="136"/>
      <c r="D39" s="128"/>
      <c r="E39" s="128"/>
      <c r="F39" s="130"/>
      <c r="G39" s="128"/>
      <c r="H39" s="128"/>
      <c r="I39" s="130"/>
      <c r="J39" s="130"/>
      <c r="K39" s="128"/>
      <c r="L39" s="119"/>
      <c r="N39" s="117"/>
      <c r="R39" s="160"/>
      <c r="T39" s="161"/>
      <c r="U39" s="153"/>
      <c r="V39" s="153"/>
      <c r="W39" s="153"/>
      <c r="X39" s="153"/>
      <c r="Y39" s="153"/>
      <c r="Z39" s="153"/>
      <c r="AF39" s="153"/>
    </row>
    <row r="40" spans="2:32">
      <c r="B40" s="135"/>
      <c r="C40" s="136"/>
      <c r="D40" s="128"/>
      <c r="E40" s="128"/>
      <c r="F40" s="130"/>
      <c r="G40" s="128"/>
      <c r="H40" s="128"/>
      <c r="I40" s="130"/>
      <c r="J40" s="130"/>
      <c r="K40" s="128"/>
      <c r="L40" s="119"/>
      <c r="N40" s="117"/>
      <c r="R40" s="160"/>
      <c r="T40" s="161"/>
      <c r="U40" s="153"/>
      <c r="V40" s="153"/>
      <c r="W40" s="153"/>
      <c r="X40" s="153"/>
      <c r="Y40" s="153"/>
      <c r="Z40" s="153"/>
      <c r="AF40" s="153"/>
    </row>
    <row r="41" spans="2:32">
      <c r="R41" s="119"/>
    </row>
    <row r="42" spans="2:32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32">
      <c r="B44" s="117" t="s">
        <v>63</v>
      </c>
      <c r="C44" s="140" t="s">
        <v>64</v>
      </c>
      <c r="D44" s="141" t="s">
        <v>102</v>
      </c>
    </row>
    <row r="45" spans="2:32">
      <c r="C45" s="140" t="str">
        <f>C7</f>
        <v>(a)</v>
      </c>
      <c r="D45" s="117" t="s">
        <v>65</v>
      </c>
    </row>
    <row r="46" spans="2:32">
      <c r="C46" s="140" t="str">
        <f>D7</f>
        <v>(b)</v>
      </c>
      <c r="D46" s="130" t="str">
        <f>"= "&amp;C7&amp;" x "&amp;C62</f>
        <v>= (a) x 0.05085</v>
      </c>
    </row>
    <row r="47" spans="2:32">
      <c r="C47" s="140" t="str">
        <f>G7</f>
        <v>(e)</v>
      </c>
      <c r="D47" s="130" t="str">
        <f>"= ("&amp;$D$7&amp;" + "&amp;$E$7&amp;") /  (8.76 x "&amp;TEXT(C63,"0.0%")&amp;")"</f>
        <v>= ((b) + (c)) /  (8.76 x 29.7%)</v>
      </c>
    </row>
    <row r="48" spans="2:32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Southen Oregon Solar with Storage - 30%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62">
        <v>2024</v>
      </c>
    </row>
    <row r="55" spans="2:25">
      <c r="B55" s="85" t="s">
        <v>101</v>
      </c>
      <c r="C55" s="170">
        <v>1698.6767295711138</v>
      </c>
      <c r="D55" s="117" t="s">
        <v>65</v>
      </c>
      <c r="O55" s="338">
        <v>442.2</v>
      </c>
      <c r="P55" s="117" t="s">
        <v>32</v>
      </c>
      <c r="Q55" s="262" t="s">
        <v>145</v>
      </c>
      <c r="R55" s="262" t="s">
        <v>108</v>
      </c>
      <c r="T55" s="262" t="str">
        <f>$Q$55&amp;"Proposed Station Capital Costs"</f>
        <v>H1.SO1_PVSProposed Station Capital Costs</v>
      </c>
    </row>
    <row r="56" spans="2:25">
      <c r="B56" s="85" t="s">
        <v>101</v>
      </c>
      <c r="C56" s="256">
        <v>24.570618817436728</v>
      </c>
      <c r="D56" s="117" t="s">
        <v>68</v>
      </c>
      <c r="O56" s="338">
        <v>57.8</v>
      </c>
      <c r="P56" s="117" t="s">
        <v>32</v>
      </c>
      <c r="Q56" s="262" t="s">
        <v>146</v>
      </c>
      <c r="R56" s="119"/>
      <c r="T56" s="262" t="str">
        <f>$Q$55&amp;"Proposed Station Fixed Costs"</f>
        <v>H1.SO1_PVSProposed Station Fixed Costs</v>
      </c>
    </row>
    <row r="57" spans="2:25" ht="24" customHeight="1">
      <c r="B57" s="85"/>
      <c r="C57" s="258"/>
      <c r="D57" s="117" t="s">
        <v>105</v>
      </c>
      <c r="Q57" s="334" t="str">
        <f>Q55&amp;Q54</f>
        <v>H1.SO1_PVS2024</v>
      </c>
      <c r="T57" s="262" t="str">
        <f>$Q$55&amp;"Proposed Station Variable O&amp;M Costs"</f>
        <v>H1.SO1_PVSProposed Station Variable O&amp;M Costs</v>
      </c>
    </row>
    <row r="58" spans="2:25">
      <c r="B58" s="85" t="s">
        <v>101</v>
      </c>
      <c r="C58" s="256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263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84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57" t="str">
        <f>IFERROR(LEFT(RIGHT(INDEX('Table 3 TransCost'!$39:$39,1,MATCH(F60,'Table 3 TransCost'!$4:$4,0)),6),5),"-")</f>
        <v>-</v>
      </c>
      <c r="C60" s="258">
        <f>IFERROR(INDEX('Table 3 TransCost'!$39:$39,1,MATCH(F60,'Table 3 TransCost'!$4:$4,0)+2),0)</f>
        <v>0</v>
      </c>
      <c r="D60" s="117" t="s">
        <v>218</v>
      </c>
      <c r="F60" s="262" t="s">
        <v>223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87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57">
        <v>5.0849999999999999E-2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195">
        <v>0.29699999999999999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December 31, 2020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2.3E-2</v>
      </c>
      <c r="H68" s="41"/>
      <c r="I68" s="87">
        <f t="shared" ref="I68:I74" si="11">I67+1</f>
        <v>2037</v>
      </c>
      <c r="J68" s="41">
        <v>2.3E-2</v>
      </c>
    </row>
    <row r="69" spans="3:14">
      <c r="C69" s="87">
        <f t="shared" si="9"/>
        <v>2020</v>
      </c>
      <c r="D69" s="41">
        <v>1.2E-2</v>
      </c>
      <c r="E69" s="85"/>
      <c r="F69" s="87">
        <f t="shared" si="10"/>
        <v>2029</v>
      </c>
      <c r="G69" s="41">
        <v>2.3E-2</v>
      </c>
      <c r="H69" s="41"/>
      <c r="I69" s="87">
        <f t="shared" si="11"/>
        <v>2038</v>
      </c>
      <c r="J69" s="41">
        <v>2.3E-2</v>
      </c>
    </row>
    <row r="70" spans="3:14">
      <c r="C70" s="87">
        <f t="shared" si="9"/>
        <v>2021</v>
      </c>
      <c r="D70" s="41">
        <v>1.9E-2</v>
      </c>
      <c r="E70" s="85"/>
      <c r="F70" s="87">
        <f t="shared" si="10"/>
        <v>2030</v>
      </c>
      <c r="G70" s="41">
        <v>2.3E-2</v>
      </c>
      <c r="H70" s="41"/>
      <c r="I70" s="87">
        <f t="shared" si="11"/>
        <v>2039</v>
      </c>
      <c r="J70" s="41">
        <v>2.3E-2</v>
      </c>
    </row>
    <row r="71" spans="3:14">
      <c r="C71" s="87">
        <f t="shared" si="9"/>
        <v>2022</v>
      </c>
      <c r="D71" s="41">
        <v>2.1999999999999999E-2</v>
      </c>
      <c r="E71" s="85"/>
      <c r="F71" s="87">
        <f t="shared" si="10"/>
        <v>2031</v>
      </c>
      <c r="G71" s="41">
        <v>2.3E-2</v>
      </c>
      <c r="H71" s="41"/>
      <c r="I71" s="87">
        <f t="shared" si="11"/>
        <v>2040</v>
      </c>
      <c r="J71" s="41">
        <v>2.3E-2</v>
      </c>
    </row>
    <row r="72" spans="3:14" s="119" customFormat="1">
      <c r="C72" s="87">
        <f t="shared" si="9"/>
        <v>2023</v>
      </c>
      <c r="D72" s="41">
        <v>0.02</v>
      </c>
      <c r="E72" s="86"/>
      <c r="F72" s="87">
        <f t="shared" si="10"/>
        <v>2032</v>
      </c>
      <c r="G72" s="41">
        <v>2.3E-2</v>
      </c>
      <c r="H72" s="41"/>
      <c r="I72" s="87">
        <f t="shared" si="11"/>
        <v>2041</v>
      </c>
      <c r="J72" s="41">
        <v>2.3E-2</v>
      </c>
      <c r="N72" s="164"/>
    </row>
    <row r="73" spans="3:14" s="119" customFormat="1">
      <c r="C73" s="87">
        <f t="shared" si="9"/>
        <v>2024</v>
      </c>
      <c r="D73" s="41">
        <v>0.02</v>
      </c>
      <c r="E73" s="86"/>
      <c r="F73" s="87">
        <f t="shared" si="10"/>
        <v>2033</v>
      </c>
      <c r="G73" s="41">
        <v>2.3E-2</v>
      </c>
      <c r="H73" s="41"/>
      <c r="I73" s="87">
        <f t="shared" si="11"/>
        <v>2042</v>
      </c>
      <c r="J73" s="41">
        <v>2.3E-2</v>
      </c>
      <c r="N73" s="164"/>
    </row>
    <row r="74" spans="3:14" s="119" customFormat="1">
      <c r="C74" s="87">
        <f t="shared" si="9"/>
        <v>2025</v>
      </c>
      <c r="D74" s="41">
        <v>2.1000000000000001E-2</v>
      </c>
      <c r="E74" s="86"/>
      <c r="F74" s="87">
        <f t="shared" si="10"/>
        <v>2034</v>
      </c>
      <c r="G74" s="41">
        <v>2.3E-2</v>
      </c>
      <c r="H74" s="41"/>
      <c r="I74" s="87">
        <f t="shared" si="11"/>
        <v>2043</v>
      </c>
      <c r="J74" s="41">
        <v>2.4E-2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102"/>
  <sheetViews>
    <sheetView zoomScale="70" zoomScaleNormal="70" workbookViewId="0">
      <selection activeCell="K19" sqref="K19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2.832031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10.8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4" width="9.33203125" style="117"/>
    <col min="25" max="25" width="12" style="117" bestFit="1" customWidth="1"/>
    <col min="26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2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2" ht="15.75">
      <c r="B2" s="115" t="s">
        <v>149</v>
      </c>
      <c r="C2" s="116"/>
      <c r="D2" s="116"/>
      <c r="E2" s="116"/>
      <c r="F2" s="116"/>
      <c r="G2" s="116"/>
      <c r="H2" s="116"/>
      <c r="I2" s="116"/>
      <c r="J2" s="116"/>
      <c r="R2" s="119"/>
      <c r="S2" s="119"/>
      <c r="T2" s="119"/>
      <c r="U2" s="119"/>
      <c r="V2" s="119"/>
      <c r="W2" s="119"/>
      <c r="X2" s="119"/>
      <c r="Y2" s="119"/>
    </row>
    <row r="3" spans="2:32" ht="15.75">
      <c r="B3" s="115" t="str">
        <f>TEXT($C$63,"0%")&amp;" Capacity Factor"</f>
        <v>26%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</row>
    <row r="4" spans="2:32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</row>
    <row r="5" spans="2:32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01"/>
      <c r="N5" s="201"/>
      <c r="P5" s="201"/>
      <c r="R5" s="263"/>
      <c r="S5" s="119"/>
      <c r="T5" s="119"/>
      <c r="U5" s="119"/>
      <c r="V5" s="119"/>
      <c r="W5" s="119"/>
      <c r="X5" s="119"/>
      <c r="Y5" s="369"/>
      <c r="Z5" s="201"/>
    </row>
    <row r="6" spans="2:32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64"/>
      <c r="S6" s="119"/>
      <c r="T6" s="119"/>
      <c r="U6" s="119"/>
      <c r="V6" s="119"/>
      <c r="W6" s="119"/>
      <c r="X6" s="119"/>
      <c r="Y6" s="119"/>
    </row>
    <row r="7" spans="2:32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</row>
    <row r="8" spans="2:32" ht="6" customHeight="1">
      <c r="K8" s="119"/>
      <c r="R8" s="119"/>
    </row>
    <row r="9" spans="2:32" ht="15.75">
      <c r="B9" s="43" t="str">
        <f>C52</f>
        <v>2019 IRP Southen Oregon Solar with Storage - 26%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</row>
    <row r="10" spans="2:32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</row>
    <row r="11" spans="2:32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</row>
    <row r="12" spans="2:32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T12" s="161"/>
      <c r="U12" s="153"/>
      <c r="V12" s="153"/>
      <c r="W12" s="153"/>
      <c r="Y12" s="153"/>
      <c r="Z12" s="153"/>
      <c r="AF12" s="153"/>
    </row>
    <row r="13" spans="2:32">
      <c r="B13" s="135">
        <f t="shared" si="0"/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W13" s="153"/>
      <c r="Y13" s="153"/>
      <c r="Z13" s="153"/>
      <c r="AF13" s="153"/>
    </row>
    <row r="14" spans="2:32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V14" s="153"/>
      <c r="W14" s="153"/>
      <c r="Y14" s="153"/>
      <c r="Z14" s="153"/>
      <c r="AF14" s="153"/>
    </row>
    <row r="15" spans="2:32">
      <c r="B15" s="135">
        <f t="shared" si="0"/>
        <v>2021</v>
      </c>
      <c r="C15" s="136"/>
      <c r="D15" s="128"/>
      <c r="E15" s="128">
        <f t="shared" si="1"/>
        <v>25.79</v>
      </c>
      <c r="F15" s="128"/>
      <c r="G15" s="130"/>
      <c r="H15" s="128">
        <f t="shared" si="2"/>
        <v>0</v>
      </c>
      <c r="I15" s="130"/>
      <c r="J15" s="130"/>
      <c r="K15" s="128">
        <f t="shared" si="3"/>
        <v>25.79</v>
      </c>
      <c r="L15" s="119"/>
      <c r="N15" s="117"/>
      <c r="O15" s="259"/>
      <c r="P15" s="133"/>
      <c r="Q15" s="134"/>
      <c r="R15" s="119"/>
      <c r="V15" s="153"/>
      <c r="W15" s="153"/>
      <c r="Y15" s="153"/>
      <c r="Z15" s="153"/>
      <c r="AF15" s="153"/>
    </row>
    <row r="16" spans="2:32">
      <c r="B16" s="135">
        <f t="shared" si="0"/>
        <v>2022</v>
      </c>
      <c r="C16" s="136"/>
      <c r="D16" s="128"/>
      <c r="E16" s="128">
        <f t="shared" si="1"/>
        <v>26.36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26.36</v>
      </c>
      <c r="L16" s="119"/>
      <c r="N16" s="117"/>
      <c r="O16" s="336"/>
      <c r="R16" s="119"/>
      <c r="V16" s="153"/>
      <c r="W16" s="153"/>
      <c r="Y16" s="153"/>
      <c r="Z16" s="153"/>
      <c r="AF16" s="153"/>
    </row>
    <row r="17" spans="2:32">
      <c r="B17" s="135">
        <f t="shared" si="0"/>
        <v>2023</v>
      </c>
      <c r="C17" s="136"/>
      <c r="D17" s="128"/>
      <c r="E17" s="128">
        <f t="shared" si="1"/>
        <v>26.89</v>
      </c>
      <c r="F17" s="128"/>
      <c r="G17" s="130"/>
      <c r="H17" s="128">
        <f t="shared" si="2"/>
        <v>0</v>
      </c>
      <c r="I17" s="130"/>
      <c r="J17" s="130"/>
      <c r="K17" s="128">
        <f t="shared" si="3"/>
        <v>26.89</v>
      </c>
      <c r="L17" s="119"/>
      <c r="N17" s="117"/>
      <c r="O17" s="185"/>
      <c r="R17" s="119"/>
      <c r="V17" s="153"/>
      <c r="W17" s="153"/>
      <c r="Y17" s="153"/>
      <c r="Z17" s="153"/>
      <c r="AF17" s="153"/>
    </row>
    <row r="18" spans="2:32">
      <c r="B18" s="135">
        <f t="shared" si="0"/>
        <v>2024</v>
      </c>
      <c r="C18" s="335">
        <v>1295.0860323886641</v>
      </c>
      <c r="D18" s="128">
        <f>C18*$C$62</f>
        <v>65.855124746963568</v>
      </c>
      <c r="E18" s="128">
        <f t="shared" si="1"/>
        <v>27.43</v>
      </c>
      <c r="F18" s="128">
        <f>C60</f>
        <v>0.39132049215213044</v>
      </c>
      <c r="G18" s="130">
        <f>(D18+E18+F18)/(8.76*$C$63)</f>
        <v>41.129454355073626</v>
      </c>
      <c r="H18" s="128">
        <f t="shared" si="2"/>
        <v>0</v>
      </c>
      <c r="I18" s="130">
        <f>(G18+H18)</f>
        <v>41.129454355073626</v>
      </c>
      <c r="J18" s="130">
        <f t="shared" ref="J18:J32" si="4">ROUND(I18*$C$63*8.76,2)</f>
        <v>93.68</v>
      </c>
      <c r="K18" s="128">
        <f t="shared" si="3"/>
        <v>93.676445239115694</v>
      </c>
      <c r="L18" s="119"/>
      <c r="N18" s="117"/>
      <c r="O18" s="337"/>
      <c r="Q18" s="153"/>
      <c r="R18" s="119"/>
      <c r="T18" s="161"/>
      <c r="U18" s="153"/>
      <c r="V18" s="153"/>
      <c r="W18" s="153"/>
      <c r="X18" s="153"/>
      <c r="Y18" s="153"/>
      <c r="Z18" s="153"/>
      <c r="AA18" s="268"/>
      <c r="AB18" s="267"/>
      <c r="AF18" s="153"/>
    </row>
    <row r="19" spans="2:32">
      <c r="B19" s="135">
        <f t="shared" si="0"/>
        <v>2025</v>
      </c>
      <c r="C19" s="136"/>
      <c r="D19" s="128">
        <f t="shared" ref="D19:F37" si="5">ROUND(D18*(1+(IFERROR(INDEX($D$66:$D$74,MATCH($B19,$C$66:$C$74,0),1),0)+IFERROR(INDEX($G$66:$G$74,MATCH($B19,$F$66:$F$74,0),1),0)+IFERROR(INDEX($J$66:$J$74,MATCH($B19,$I$66:$I$74,0),1),0))),2)</f>
        <v>67.239999999999995</v>
      </c>
      <c r="E19" s="128">
        <f t="shared" si="1"/>
        <v>28.01</v>
      </c>
      <c r="F19" s="128">
        <f t="shared" si="5"/>
        <v>0.4</v>
      </c>
      <c r="G19" s="130">
        <f t="shared" ref="G19:G37" si="6">(D19+E19+F19)/(8.76*$C$63)</f>
        <v>41.995960660344224</v>
      </c>
      <c r="H19" s="128">
        <f t="shared" si="2"/>
        <v>0</v>
      </c>
      <c r="I19" s="130">
        <f t="shared" ref="I19:I37" si="7">(G19+H19)</f>
        <v>41.995960660344224</v>
      </c>
      <c r="J19" s="130">
        <f t="shared" si="4"/>
        <v>95.65</v>
      </c>
      <c r="K19" s="128">
        <f t="shared" si="3"/>
        <v>95.65</v>
      </c>
      <c r="L19" s="119"/>
      <c r="N19" s="117"/>
      <c r="R19" s="119"/>
      <c r="T19" s="161"/>
      <c r="U19" s="153"/>
      <c r="V19" s="153"/>
      <c r="W19" s="153"/>
      <c r="X19" s="153"/>
      <c r="Y19" s="153"/>
      <c r="Z19" s="153"/>
      <c r="AF19" s="153"/>
    </row>
    <row r="20" spans="2:32">
      <c r="B20" s="135">
        <f t="shared" si="0"/>
        <v>2026</v>
      </c>
      <c r="C20" s="136"/>
      <c r="D20" s="128">
        <f t="shared" si="5"/>
        <v>68.72</v>
      </c>
      <c r="E20" s="128">
        <f t="shared" si="1"/>
        <v>28.63</v>
      </c>
      <c r="F20" s="128">
        <f t="shared" si="5"/>
        <v>0.41</v>
      </c>
      <c r="G20" s="130">
        <f t="shared" si="6"/>
        <v>42.922374429223737</v>
      </c>
      <c r="H20" s="128">
        <f t="shared" si="2"/>
        <v>0</v>
      </c>
      <c r="I20" s="130">
        <f t="shared" si="7"/>
        <v>42.922374429223737</v>
      </c>
      <c r="J20" s="130">
        <f t="shared" si="4"/>
        <v>97.76</v>
      </c>
      <c r="K20" s="128">
        <f t="shared" si="3"/>
        <v>97.759999999999991</v>
      </c>
      <c r="L20" s="119"/>
      <c r="N20" s="117"/>
      <c r="R20" s="160"/>
      <c r="T20" s="161"/>
      <c r="U20" s="153"/>
      <c r="V20" s="153"/>
      <c r="W20" s="153"/>
      <c r="X20" s="153"/>
      <c r="Y20" s="153"/>
      <c r="Z20" s="153"/>
      <c r="AF20" s="153"/>
    </row>
    <row r="21" spans="2:32">
      <c r="B21" s="135">
        <f t="shared" si="0"/>
        <v>2027</v>
      </c>
      <c r="C21" s="136"/>
      <c r="D21" s="128">
        <f t="shared" si="5"/>
        <v>70.3</v>
      </c>
      <c r="E21" s="128">
        <f t="shared" si="1"/>
        <v>29.29</v>
      </c>
      <c r="F21" s="128">
        <f t="shared" si="5"/>
        <v>0.42</v>
      </c>
      <c r="G21" s="130">
        <f t="shared" si="6"/>
        <v>43.910256410256409</v>
      </c>
      <c r="H21" s="128">
        <f t="shared" si="2"/>
        <v>0</v>
      </c>
      <c r="I21" s="130">
        <f t="shared" si="7"/>
        <v>43.910256410256409</v>
      </c>
      <c r="J21" s="130">
        <f t="shared" si="4"/>
        <v>100.01</v>
      </c>
      <c r="K21" s="128">
        <f t="shared" si="3"/>
        <v>100.01</v>
      </c>
      <c r="L21" s="119"/>
      <c r="N21" s="117"/>
      <c r="R21" s="160"/>
      <c r="T21" s="161"/>
      <c r="U21" s="153"/>
      <c r="V21" s="153"/>
      <c r="W21" s="153"/>
      <c r="X21" s="153"/>
      <c r="Y21" s="153"/>
      <c r="Z21" s="153"/>
      <c r="AF21" s="153"/>
    </row>
    <row r="22" spans="2:32">
      <c r="B22" s="135">
        <f t="shared" si="0"/>
        <v>2028</v>
      </c>
      <c r="C22" s="136"/>
      <c r="D22" s="128">
        <f t="shared" si="5"/>
        <v>71.92</v>
      </c>
      <c r="E22" s="128">
        <f t="shared" si="1"/>
        <v>29.96</v>
      </c>
      <c r="F22" s="128">
        <f t="shared" si="5"/>
        <v>0.43</v>
      </c>
      <c r="G22" s="130">
        <f t="shared" si="6"/>
        <v>44.920091324200911</v>
      </c>
      <c r="H22" s="128">
        <f t="shared" si="2"/>
        <v>0</v>
      </c>
      <c r="I22" s="130">
        <f t="shared" si="7"/>
        <v>44.920091324200911</v>
      </c>
      <c r="J22" s="130">
        <f t="shared" si="4"/>
        <v>102.31</v>
      </c>
      <c r="K22" s="128">
        <f t="shared" si="3"/>
        <v>102.31</v>
      </c>
      <c r="L22" s="119"/>
      <c r="N22" s="117"/>
      <c r="R22" s="160"/>
      <c r="T22" s="161"/>
      <c r="U22" s="153"/>
      <c r="V22" s="153"/>
      <c r="W22" s="153"/>
      <c r="X22" s="153"/>
      <c r="Y22" s="153"/>
      <c r="Z22" s="153"/>
      <c r="AF22" s="153"/>
    </row>
    <row r="23" spans="2:32">
      <c r="B23" s="135">
        <f t="shared" si="0"/>
        <v>2029</v>
      </c>
      <c r="C23" s="136"/>
      <c r="D23" s="128">
        <f t="shared" si="5"/>
        <v>73.569999999999993</v>
      </c>
      <c r="E23" s="128">
        <f t="shared" si="1"/>
        <v>30.65</v>
      </c>
      <c r="F23" s="128">
        <f t="shared" si="5"/>
        <v>0.44</v>
      </c>
      <c r="G23" s="130">
        <f t="shared" si="6"/>
        <v>45.95187917105725</v>
      </c>
      <c r="H23" s="128">
        <f t="shared" si="2"/>
        <v>0</v>
      </c>
      <c r="I23" s="130">
        <f t="shared" si="7"/>
        <v>45.95187917105725</v>
      </c>
      <c r="J23" s="130">
        <f t="shared" si="4"/>
        <v>104.66</v>
      </c>
      <c r="K23" s="128">
        <f t="shared" si="3"/>
        <v>104.66</v>
      </c>
      <c r="L23" s="119"/>
      <c r="N23" s="117"/>
      <c r="R23" s="160"/>
      <c r="T23" s="161"/>
      <c r="U23" s="153"/>
      <c r="V23" s="153"/>
      <c r="W23" s="153"/>
      <c r="X23" s="153"/>
      <c r="Y23" s="153"/>
      <c r="Z23" s="153"/>
      <c r="AF23" s="153"/>
    </row>
    <row r="24" spans="2:32">
      <c r="B24" s="135">
        <f t="shared" si="0"/>
        <v>2030</v>
      </c>
      <c r="C24" s="136"/>
      <c r="D24" s="128">
        <f t="shared" si="5"/>
        <v>75.260000000000005</v>
      </c>
      <c r="E24" s="128">
        <f t="shared" si="1"/>
        <v>31.35</v>
      </c>
      <c r="F24" s="128">
        <f t="shared" si="5"/>
        <v>0.45</v>
      </c>
      <c r="G24" s="130">
        <f t="shared" si="6"/>
        <v>47.005619950825434</v>
      </c>
      <c r="H24" s="128">
        <f t="shared" si="2"/>
        <v>0</v>
      </c>
      <c r="I24" s="130">
        <f t="shared" si="7"/>
        <v>47.005619950825434</v>
      </c>
      <c r="J24" s="130">
        <f t="shared" si="4"/>
        <v>107.06</v>
      </c>
      <c r="K24" s="128">
        <f t="shared" si="3"/>
        <v>107.06000000000002</v>
      </c>
      <c r="L24" s="119"/>
      <c r="N24" s="117"/>
      <c r="R24" s="160"/>
      <c r="T24" s="161"/>
      <c r="U24" s="153"/>
      <c r="V24" s="153"/>
      <c r="W24" s="153"/>
      <c r="X24" s="153"/>
      <c r="Y24" s="153"/>
      <c r="Z24" s="153"/>
      <c r="AF24" s="153"/>
    </row>
    <row r="25" spans="2:32">
      <c r="B25" s="135">
        <f t="shared" si="0"/>
        <v>2031</v>
      </c>
      <c r="C25" s="136"/>
      <c r="D25" s="128">
        <f t="shared" si="5"/>
        <v>76.989999999999995</v>
      </c>
      <c r="E25" s="128">
        <f t="shared" si="1"/>
        <v>32.07</v>
      </c>
      <c r="F25" s="128">
        <f t="shared" si="5"/>
        <v>0.46</v>
      </c>
      <c r="G25" s="130">
        <f t="shared" si="6"/>
        <v>48.085704250087808</v>
      </c>
      <c r="H25" s="128">
        <f t="shared" si="2"/>
        <v>0</v>
      </c>
      <c r="I25" s="130">
        <f t="shared" si="7"/>
        <v>48.085704250087808</v>
      </c>
      <c r="J25" s="130">
        <f t="shared" si="4"/>
        <v>109.52</v>
      </c>
      <c r="K25" s="128">
        <f t="shared" si="3"/>
        <v>109.52</v>
      </c>
      <c r="L25" s="119"/>
      <c r="N25" s="117"/>
      <c r="R25" s="160"/>
      <c r="T25" s="161"/>
      <c r="U25" s="153"/>
      <c r="V25" s="153"/>
      <c r="W25" s="153"/>
      <c r="X25" s="153"/>
      <c r="Y25" s="153"/>
      <c r="Z25" s="153"/>
      <c r="AF25" s="153"/>
    </row>
    <row r="26" spans="2:32">
      <c r="B26" s="135">
        <f t="shared" si="0"/>
        <v>2032</v>
      </c>
      <c r="C26" s="136"/>
      <c r="D26" s="128">
        <f t="shared" si="5"/>
        <v>78.760000000000005</v>
      </c>
      <c r="E26" s="128">
        <f t="shared" si="1"/>
        <v>32.81</v>
      </c>
      <c r="F26" s="128">
        <f t="shared" si="5"/>
        <v>0.47</v>
      </c>
      <c r="G26" s="130">
        <f t="shared" si="6"/>
        <v>49.192132068844401</v>
      </c>
      <c r="H26" s="128">
        <f t="shared" si="2"/>
        <v>0</v>
      </c>
      <c r="I26" s="130">
        <f t="shared" si="7"/>
        <v>49.192132068844401</v>
      </c>
      <c r="J26" s="130">
        <f t="shared" si="4"/>
        <v>112.04</v>
      </c>
      <c r="K26" s="128">
        <f t="shared" si="3"/>
        <v>112.04</v>
      </c>
      <c r="L26" s="119"/>
      <c r="N26" s="117"/>
      <c r="R26" s="160"/>
      <c r="T26" s="161"/>
      <c r="U26" s="153"/>
      <c r="V26" s="153"/>
      <c r="W26" s="153"/>
      <c r="X26" s="153"/>
      <c r="Y26" s="153"/>
      <c r="Z26" s="153"/>
      <c r="AF26" s="153"/>
    </row>
    <row r="27" spans="2:32">
      <c r="B27" s="135">
        <f t="shared" si="0"/>
        <v>2033</v>
      </c>
      <c r="C27" s="136"/>
      <c r="D27" s="128">
        <f t="shared" si="5"/>
        <v>80.569999999999993</v>
      </c>
      <c r="E27" s="128">
        <f t="shared" si="1"/>
        <v>33.56</v>
      </c>
      <c r="F27" s="128">
        <f t="shared" si="5"/>
        <v>0.48</v>
      </c>
      <c r="G27" s="130">
        <f t="shared" si="6"/>
        <v>50.320512820512818</v>
      </c>
      <c r="H27" s="128">
        <f t="shared" si="2"/>
        <v>0</v>
      </c>
      <c r="I27" s="130">
        <f t="shared" si="7"/>
        <v>50.320512820512818</v>
      </c>
      <c r="J27" s="130">
        <f t="shared" si="4"/>
        <v>114.61</v>
      </c>
      <c r="K27" s="128">
        <f t="shared" si="3"/>
        <v>114.61</v>
      </c>
      <c r="L27" s="119"/>
      <c r="N27" s="117"/>
      <c r="R27" s="160"/>
      <c r="T27" s="161"/>
      <c r="U27" s="153"/>
      <c r="V27" s="153"/>
      <c r="W27" s="153"/>
      <c r="X27" s="153"/>
      <c r="Y27" s="153"/>
      <c r="Z27" s="153"/>
      <c r="AF27" s="153"/>
    </row>
    <row r="28" spans="2:32">
      <c r="B28" s="135">
        <f t="shared" si="0"/>
        <v>2034</v>
      </c>
      <c r="C28" s="136"/>
      <c r="D28" s="128">
        <f t="shared" si="5"/>
        <v>82.42</v>
      </c>
      <c r="E28" s="128">
        <f t="shared" si="1"/>
        <v>34.33</v>
      </c>
      <c r="F28" s="128">
        <f t="shared" si="5"/>
        <v>0.49</v>
      </c>
      <c r="G28" s="130">
        <f t="shared" si="6"/>
        <v>51.475237091675446</v>
      </c>
      <c r="H28" s="128">
        <f t="shared" si="2"/>
        <v>0</v>
      </c>
      <c r="I28" s="130">
        <f t="shared" si="7"/>
        <v>51.475237091675446</v>
      </c>
      <c r="J28" s="130">
        <f t="shared" si="4"/>
        <v>117.24</v>
      </c>
      <c r="K28" s="128">
        <f t="shared" si="3"/>
        <v>117.24</v>
      </c>
      <c r="L28" s="119"/>
      <c r="N28" s="117"/>
      <c r="R28" s="160"/>
      <c r="T28" s="161"/>
      <c r="U28" s="153"/>
      <c r="V28" s="153"/>
      <c r="W28" s="153"/>
      <c r="X28" s="153"/>
      <c r="Y28" s="153"/>
      <c r="Z28" s="153"/>
      <c r="AF28" s="153"/>
    </row>
    <row r="29" spans="2:32">
      <c r="B29" s="135">
        <f t="shared" si="0"/>
        <v>2035</v>
      </c>
      <c r="C29" s="136"/>
      <c r="D29" s="128">
        <f t="shared" si="5"/>
        <v>84.32</v>
      </c>
      <c r="E29" s="128">
        <f t="shared" si="1"/>
        <v>35.119999999999997</v>
      </c>
      <c r="F29" s="128">
        <f t="shared" si="5"/>
        <v>0.5</v>
      </c>
      <c r="G29" s="130">
        <f t="shared" si="6"/>
        <v>52.660695468914646</v>
      </c>
      <c r="H29" s="128">
        <f t="shared" si="2"/>
        <v>0</v>
      </c>
      <c r="I29" s="130">
        <f t="shared" si="7"/>
        <v>52.660695468914646</v>
      </c>
      <c r="J29" s="130">
        <f t="shared" si="4"/>
        <v>119.94</v>
      </c>
      <c r="K29" s="128">
        <f t="shared" si="3"/>
        <v>119.94</v>
      </c>
      <c r="L29" s="119"/>
      <c r="N29" s="117"/>
      <c r="R29" s="160"/>
      <c r="T29" s="161"/>
      <c r="U29" s="153"/>
      <c r="V29" s="153"/>
      <c r="W29" s="153"/>
      <c r="X29" s="153"/>
      <c r="Y29" s="153"/>
      <c r="Z29" s="153"/>
      <c r="AF29" s="153"/>
    </row>
    <row r="30" spans="2:32">
      <c r="B30" s="135">
        <f t="shared" si="0"/>
        <v>2036</v>
      </c>
      <c r="C30" s="136"/>
      <c r="D30" s="128">
        <f t="shared" si="5"/>
        <v>86.26</v>
      </c>
      <c r="E30" s="128">
        <f t="shared" si="1"/>
        <v>35.93</v>
      </c>
      <c r="F30" s="128">
        <f t="shared" si="5"/>
        <v>0.51</v>
      </c>
      <c r="G30" s="130">
        <f t="shared" si="6"/>
        <v>53.872497365648051</v>
      </c>
      <c r="H30" s="128">
        <f t="shared" si="2"/>
        <v>0</v>
      </c>
      <c r="I30" s="130">
        <f t="shared" si="7"/>
        <v>53.872497365648051</v>
      </c>
      <c r="J30" s="130">
        <f t="shared" si="4"/>
        <v>122.7</v>
      </c>
      <c r="K30" s="128">
        <f t="shared" si="3"/>
        <v>122.7</v>
      </c>
      <c r="L30" s="119"/>
      <c r="N30" s="117"/>
      <c r="R30" s="160"/>
      <c r="T30" s="161"/>
      <c r="U30" s="153"/>
      <c r="V30" s="153"/>
      <c r="W30" s="153"/>
      <c r="X30" s="153"/>
      <c r="Y30" s="153"/>
      <c r="Z30" s="153"/>
      <c r="AF30" s="153"/>
    </row>
    <row r="31" spans="2:32">
      <c r="B31" s="135">
        <f t="shared" si="0"/>
        <v>2037</v>
      </c>
      <c r="C31" s="136"/>
      <c r="D31" s="128">
        <f t="shared" si="5"/>
        <v>88.24</v>
      </c>
      <c r="E31" s="128">
        <f t="shared" si="1"/>
        <v>36.76</v>
      </c>
      <c r="F31" s="128">
        <f t="shared" si="5"/>
        <v>0.52</v>
      </c>
      <c r="G31" s="130">
        <f t="shared" si="6"/>
        <v>55.110642781875654</v>
      </c>
      <c r="H31" s="128">
        <f t="shared" si="2"/>
        <v>0</v>
      </c>
      <c r="I31" s="130">
        <f t="shared" si="7"/>
        <v>55.110642781875654</v>
      </c>
      <c r="J31" s="130">
        <f t="shared" si="4"/>
        <v>125.52</v>
      </c>
      <c r="K31" s="128">
        <f t="shared" si="3"/>
        <v>125.52</v>
      </c>
      <c r="L31" s="119"/>
      <c r="N31" s="117"/>
      <c r="R31" s="160"/>
      <c r="T31" s="161"/>
      <c r="U31" s="153"/>
      <c r="V31" s="153"/>
      <c r="W31" s="153"/>
      <c r="X31" s="153"/>
      <c r="Y31" s="153"/>
      <c r="Z31" s="153"/>
      <c r="AF31" s="153"/>
    </row>
    <row r="32" spans="2:32">
      <c r="B32" s="135">
        <f t="shared" si="0"/>
        <v>2038</v>
      </c>
      <c r="C32" s="136"/>
      <c r="D32" s="128">
        <f t="shared" si="5"/>
        <v>90.27</v>
      </c>
      <c r="E32" s="128">
        <f t="shared" si="1"/>
        <v>37.61</v>
      </c>
      <c r="F32" s="128">
        <f t="shared" si="5"/>
        <v>0.53</v>
      </c>
      <c r="G32" s="130">
        <f t="shared" si="6"/>
        <v>56.379522304179837</v>
      </c>
      <c r="H32" s="128">
        <f t="shared" si="2"/>
        <v>0</v>
      </c>
      <c r="I32" s="130">
        <f t="shared" si="7"/>
        <v>56.379522304179837</v>
      </c>
      <c r="J32" s="130">
        <f t="shared" si="4"/>
        <v>128.41</v>
      </c>
      <c r="K32" s="128">
        <f t="shared" si="3"/>
        <v>128.41</v>
      </c>
      <c r="L32" s="119"/>
      <c r="N32" s="117"/>
      <c r="R32" s="160"/>
      <c r="T32" s="161"/>
      <c r="U32" s="153"/>
      <c r="V32" s="153"/>
      <c r="W32" s="153"/>
      <c r="X32" s="153"/>
      <c r="Y32" s="153"/>
      <c r="Z32" s="153"/>
      <c r="AF32" s="153"/>
    </row>
    <row r="33" spans="2:32">
      <c r="B33" s="135">
        <f t="shared" si="0"/>
        <v>2039</v>
      </c>
      <c r="C33" s="136"/>
      <c r="D33" s="128">
        <f t="shared" si="5"/>
        <v>92.35</v>
      </c>
      <c r="E33" s="128">
        <f t="shared" si="1"/>
        <v>38.479999999999997</v>
      </c>
      <c r="F33" s="128">
        <f t="shared" si="5"/>
        <v>0.54</v>
      </c>
      <c r="G33" s="130">
        <f t="shared" si="6"/>
        <v>57.679135932560577</v>
      </c>
      <c r="H33" s="128">
        <f t="shared" si="2"/>
        <v>0</v>
      </c>
      <c r="I33" s="130">
        <f t="shared" si="7"/>
        <v>57.679135932560577</v>
      </c>
      <c r="J33" s="130">
        <f t="shared" ref="J33:J37" si="8">ROUND(I33*$C$63*8.76,2)</f>
        <v>131.37</v>
      </c>
      <c r="K33" s="128">
        <f t="shared" si="3"/>
        <v>131.36999999999998</v>
      </c>
      <c r="L33" s="119"/>
      <c r="N33" s="117"/>
      <c r="R33" s="160"/>
      <c r="T33" s="161"/>
      <c r="U33" s="153"/>
      <c r="V33" s="153"/>
      <c r="W33" s="153"/>
      <c r="X33" s="153"/>
      <c r="Y33" s="153"/>
      <c r="Z33" s="153"/>
      <c r="AF33" s="153"/>
    </row>
    <row r="34" spans="2:32">
      <c r="B34" s="135">
        <f t="shared" si="0"/>
        <v>2040</v>
      </c>
      <c r="C34" s="136"/>
      <c r="D34" s="128">
        <f t="shared" si="5"/>
        <v>94.47</v>
      </c>
      <c r="E34" s="128">
        <f t="shared" si="1"/>
        <v>39.369999999999997</v>
      </c>
      <c r="F34" s="128">
        <f t="shared" si="5"/>
        <v>0.55000000000000004</v>
      </c>
      <c r="G34" s="130">
        <f t="shared" si="6"/>
        <v>59.00509308043555</v>
      </c>
      <c r="H34" s="128">
        <f t="shared" si="2"/>
        <v>0</v>
      </c>
      <c r="I34" s="130">
        <f t="shared" si="7"/>
        <v>59.00509308043555</v>
      </c>
      <c r="J34" s="130">
        <f t="shared" si="8"/>
        <v>134.38999999999999</v>
      </c>
      <c r="K34" s="128">
        <f t="shared" si="3"/>
        <v>134.39000000000001</v>
      </c>
      <c r="L34" s="119"/>
      <c r="N34" s="117"/>
      <c r="R34" s="160"/>
      <c r="T34" s="161"/>
      <c r="U34" s="153"/>
      <c r="V34" s="153"/>
      <c r="W34" s="153"/>
      <c r="X34" s="153"/>
      <c r="Y34" s="153"/>
      <c r="Z34" s="153"/>
      <c r="AF34" s="153"/>
    </row>
    <row r="35" spans="2:32">
      <c r="B35" s="135">
        <f t="shared" si="0"/>
        <v>2041</v>
      </c>
      <c r="C35" s="136"/>
      <c r="D35" s="128">
        <f t="shared" si="5"/>
        <v>96.64</v>
      </c>
      <c r="E35" s="128">
        <f t="shared" si="1"/>
        <v>40.28</v>
      </c>
      <c r="F35" s="128">
        <f t="shared" si="5"/>
        <v>0.56000000000000005</v>
      </c>
      <c r="G35" s="130">
        <f t="shared" si="6"/>
        <v>60.361784334387082</v>
      </c>
      <c r="H35" s="128">
        <f t="shared" si="2"/>
        <v>0</v>
      </c>
      <c r="I35" s="130">
        <f t="shared" si="7"/>
        <v>60.361784334387082</v>
      </c>
      <c r="J35" s="130">
        <f t="shared" si="8"/>
        <v>137.47999999999999</v>
      </c>
      <c r="K35" s="128">
        <f t="shared" si="3"/>
        <v>137.48000000000002</v>
      </c>
      <c r="L35" s="119"/>
      <c r="N35" s="117"/>
      <c r="R35" s="160"/>
      <c r="T35" s="161"/>
      <c r="U35" s="153"/>
      <c r="V35" s="153"/>
      <c r="W35" s="153"/>
      <c r="X35" s="153"/>
      <c r="Y35" s="153"/>
      <c r="Z35" s="153"/>
      <c r="AF35" s="153"/>
    </row>
    <row r="36" spans="2:32">
      <c r="B36" s="135">
        <f t="shared" si="0"/>
        <v>2042</v>
      </c>
      <c r="C36" s="136"/>
      <c r="D36" s="128">
        <f t="shared" si="5"/>
        <v>98.86</v>
      </c>
      <c r="E36" s="128">
        <f t="shared" si="1"/>
        <v>41.21</v>
      </c>
      <c r="F36" s="128">
        <f t="shared" si="5"/>
        <v>0.56999999999999995</v>
      </c>
      <c r="G36" s="130">
        <f t="shared" si="6"/>
        <v>61.749209694415164</v>
      </c>
      <c r="H36" s="128">
        <f t="shared" si="2"/>
        <v>0</v>
      </c>
      <c r="I36" s="130">
        <f t="shared" si="7"/>
        <v>61.749209694415164</v>
      </c>
      <c r="J36" s="130">
        <f t="shared" si="8"/>
        <v>140.63999999999999</v>
      </c>
      <c r="K36" s="128">
        <f t="shared" si="3"/>
        <v>140.63999999999999</v>
      </c>
      <c r="L36" s="119"/>
      <c r="N36" s="117"/>
      <c r="R36" s="160"/>
      <c r="T36" s="161"/>
      <c r="U36" s="153"/>
      <c r="V36" s="153"/>
      <c r="W36" s="153"/>
      <c r="X36" s="153"/>
      <c r="Y36" s="153"/>
      <c r="Z36" s="153"/>
      <c r="AF36" s="153"/>
    </row>
    <row r="37" spans="2:32">
      <c r="B37" s="135">
        <f t="shared" si="0"/>
        <v>2043</v>
      </c>
      <c r="C37" s="136"/>
      <c r="D37" s="128">
        <f t="shared" si="5"/>
        <v>101.23</v>
      </c>
      <c r="E37" s="128">
        <f t="shared" si="1"/>
        <v>42.2</v>
      </c>
      <c r="F37" s="128">
        <f t="shared" si="5"/>
        <v>0.57999999999999996</v>
      </c>
      <c r="G37" s="130">
        <f t="shared" si="6"/>
        <v>63.228837372672999</v>
      </c>
      <c r="H37" s="128">
        <f t="shared" si="2"/>
        <v>0</v>
      </c>
      <c r="I37" s="130">
        <f t="shared" si="7"/>
        <v>63.228837372672999</v>
      </c>
      <c r="J37" s="130">
        <f t="shared" si="8"/>
        <v>144.01</v>
      </c>
      <c r="K37" s="128">
        <f t="shared" si="3"/>
        <v>144.01000000000002</v>
      </c>
      <c r="L37" s="119"/>
      <c r="N37" s="117"/>
      <c r="R37" s="160"/>
      <c r="T37" s="161"/>
      <c r="U37" s="153"/>
      <c r="V37" s="153"/>
      <c r="W37" s="153"/>
      <c r="X37" s="153"/>
      <c r="Y37" s="153"/>
      <c r="Z37" s="153"/>
      <c r="AF37" s="153"/>
    </row>
    <row r="38" spans="2:32">
      <c r="B38" s="135"/>
      <c r="C38" s="136"/>
      <c r="D38" s="128"/>
      <c r="E38" s="128"/>
      <c r="F38" s="128"/>
      <c r="G38" s="130"/>
      <c r="H38" s="128"/>
      <c r="I38" s="130"/>
      <c r="J38" s="130"/>
      <c r="K38" s="128"/>
      <c r="L38" s="119"/>
      <c r="N38" s="117"/>
      <c r="R38" s="160"/>
      <c r="T38" s="161"/>
      <c r="U38" s="153"/>
      <c r="V38" s="153"/>
      <c r="W38" s="153"/>
      <c r="X38" s="153"/>
      <c r="Y38" s="153"/>
      <c r="Z38" s="153"/>
      <c r="AF38" s="153"/>
    </row>
    <row r="39" spans="2:32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</row>
    <row r="40" spans="2:32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</row>
    <row r="41" spans="2:32">
      <c r="R41" s="119"/>
    </row>
    <row r="42" spans="2:32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32">
      <c r="B44" s="117" t="s">
        <v>63</v>
      </c>
      <c r="C44" s="140" t="s">
        <v>64</v>
      </c>
      <c r="D44" s="141" t="s">
        <v>102</v>
      </c>
    </row>
    <row r="45" spans="2:32">
      <c r="C45" s="140" t="str">
        <f>C7</f>
        <v>(a)</v>
      </c>
      <c r="D45" s="117" t="s">
        <v>65</v>
      </c>
    </row>
    <row r="46" spans="2:32">
      <c r="C46" s="140" t="str">
        <f>D7</f>
        <v>(b)</v>
      </c>
      <c r="D46" s="130" t="str">
        <f>"= "&amp;C7&amp;" x "&amp;C62</f>
        <v>= (a) x 0.05085</v>
      </c>
    </row>
    <row r="47" spans="2:32">
      <c r="C47" s="140" t="str">
        <f>G7</f>
        <v>(e)</v>
      </c>
      <c r="D47" s="130" t="str">
        <f>"= ("&amp;$D$7&amp;" + "&amp;$E$7&amp;") /  (8.76 x "&amp;TEXT(C63,"0.0%")&amp;")"</f>
        <v>= ((b) + (c)) /  (8.76 x 26.0%)</v>
      </c>
    </row>
    <row r="48" spans="2:32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Southen Oregon Solar with Storage - 26%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62">
        <v>2024</v>
      </c>
    </row>
    <row r="55" spans="2:25">
      <c r="B55" s="85" t="s">
        <v>101</v>
      </c>
      <c r="C55" s="170">
        <v>1696.7441589156169</v>
      </c>
      <c r="D55" s="117" t="s">
        <v>65</v>
      </c>
      <c r="O55" s="338">
        <v>395.2</v>
      </c>
      <c r="P55" s="117" t="s">
        <v>32</v>
      </c>
      <c r="Q55" s="262" t="s">
        <v>150</v>
      </c>
      <c r="R55" s="262" t="s">
        <v>108</v>
      </c>
      <c r="T55" s="262" t="str">
        <f>$Q$55&amp;"Proposed Station Capital Costs"</f>
        <v>L1.YK1_PVSProposed Station Capital Costs</v>
      </c>
    </row>
    <row r="56" spans="2:25">
      <c r="B56" s="85" t="s">
        <v>101</v>
      </c>
      <c r="C56" s="256">
        <v>24.570618817436728</v>
      </c>
      <c r="D56" s="117" t="s">
        <v>68</v>
      </c>
      <c r="O56" s="338"/>
      <c r="P56" s="117" t="s">
        <v>32</v>
      </c>
      <c r="Q56" s="262"/>
      <c r="R56" s="119"/>
      <c r="T56" s="262" t="str">
        <f>$Q$55&amp;"Proposed Station Fixed Costs"</f>
        <v>L1.YK1_PVSProposed Station Fixed Costs</v>
      </c>
    </row>
    <row r="57" spans="2:25" ht="24" customHeight="1">
      <c r="B57" s="85"/>
      <c r="C57" s="258"/>
      <c r="D57" s="117" t="s">
        <v>105</v>
      </c>
      <c r="Q57" s="334" t="str">
        <f>Q55&amp;Q54</f>
        <v>L1.YK1_PVS2024</v>
      </c>
      <c r="T57" s="262" t="str">
        <f>$Q$55&amp;"Proposed Station Variable O&amp;M Costs"</f>
        <v>L1.YK1_PVSProposed Station Variable O&amp;M Costs</v>
      </c>
    </row>
    <row r="58" spans="2:25">
      <c r="B58" s="85" t="s">
        <v>101</v>
      </c>
      <c r="C58" s="256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263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84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57" t="str">
        <f>LEFT(RIGHT(INDEX('Table 3 TransCost'!$39:$39,1,MATCH(F60,'Table 3 TransCost'!$4:$4,0)),6),5)</f>
        <v>2024$</v>
      </c>
      <c r="C60" s="258">
        <f>INDEX('Table 3 TransCost'!$39:$39,1,MATCH(F60,'Table 3 TransCost'!$4:$4,0)+2)</f>
        <v>0.39132049215213044</v>
      </c>
      <c r="D60" s="117" t="s">
        <v>218</v>
      </c>
      <c r="F60" s="262" t="s">
        <v>183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87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57">
        <v>5.0849999999999999E-2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195">
        <v>0.26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December 31, 2020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2.3E-2</v>
      </c>
      <c r="H68" s="41"/>
      <c r="I68" s="87">
        <f t="shared" ref="I68:I74" si="11">I67+1</f>
        <v>2037</v>
      </c>
      <c r="J68" s="41">
        <v>2.3E-2</v>
      </c>
    </row>
    <row r="69" spans="3:14">
      <c r="C69" s="87">
        <f t="shared" si="9"/>
        <v>2020</v>
      </c>
      <c r="D69" s="41">
        <v>1.2E-2</v>
      </c>
      <c r="E69" s="85"/>
      <c r="F69" s="87">
        <f t="shared" si="10"/>
        <v>2029</v>
      </c>
      <c r="G69" s="41">
        <v>2.3E-2</v>
      </c>
      <c r="H69" s="41"/>
      <c r="I69" s="87">
        <f t="shared" si="11"/>
        <v>2038</v>
      </c>
      <c r="J69" s="41">
        <v>2.3E-2</v>
      </c>
    </row>
    <row r="70" spans="3:14">
      <c r="C70" s="87">
        <f t="shared" si="9"/>
        <v>2021</v>
      </c>
      <c r="D70" s="41">
        <v>1.9E-2</v>
      </c>
      <c r="E70" s="85"/>
      <c r="F70" s="87">
        <f t="shared" si="10"/>
        <v>2030</v>
      </c>
      <c r="G70" s="41">
        <v>2.3E-2</v>
      </c>
      <c r="H70" s="41"/>
      <c r="I70" s="87">
        <f t="shared" si="11"/>
        <v>2039</v>
      </c>
      <c r="J70" s="41">
        <v>2.3E-2</v>
      </c>
    </row>
    <row r="71" spans="3:14">
      <c r="C71" s="87">
        <f t="shared" si="9"/>
        <v>2022</v>
      </c>
      <c r="D71" s="41">
        <v>2.1999999999999999E-2</v>
      </c>
      <c r="E71" s="85"/>
      <c r="F71" s="87">
        <f t="shared" si="10"/>
        <v>2031</v>
      </c>
      <c r="G71" s="41">
        <v>2.3E-2</v>
      </c>
      <c r="H71" s="41"/>
      <c r="I71" s="87">
        <f t="shared" si="11"/>
        <v>2040</v>
      </c>
      <c r="J71" s="41">
        <v>2.3E-2</v>
      </c>
    </row>
    <row r="72" spans="3:14" s="119" customFormat="1">
      <c r="C72" s="87">
        <f t="shared" si="9"/>
        <v>2023</v>
      </c>
      <c r="D72" s="41">
        <v>0.02</v>
      </c>
      <c r="E72" s="86"/>
      <c r="F72" s="87">
        <f t="shared" si="10"/>
        <v>2032</v>
      </c>
      <c r="G72" s="41">
        <v>2.3E-2</v>
      </c>
      <c r="H72" s="41"/>
      <c r="I72" s="87">
        <f t="shared" si="11"/>
        <v>2041</v>
      </c>
      <c r="J72" s="41">
        <v>2.3E-2</v>
      </c>
      <c r="N72" s="164"/>
    </row>
    <row r="73" spans="3:14" s="119" customFormat="1">
      <c r="C73" s="87">
        <f t="shared" si="9"/>
        <v>2024</v>
      </c>
      <c r="D73" s="41">
        <v>0.02</v>
      </c>
      <c r="E73" s="86"/>
      <c r="F73" s="87">
        <f t="shared" si="10"/>
        <v>2033</v>
      </c>
      <c r="G73" s="41">
        <v>2.3E-2</v>
      </c>
      <c r="H73" s="41"/>
      <c r="I73" s="87">
        <f t="shared" si="11"/>
        <v>2042</v>
      </c>
      <c r="J73" s="41">
        <v>2.3E-2</v>
      </c>
      <c r="N73" s="164"/>
    </row>
    <row r="74" spans="3:14" s="119" customFormat="1">
      <c r="C74" s="87">
        <f t="shared" si="9"/>
        <v>2025</v>
      </c>
      <c r="D74" s="41">
        <v>2.1000000000000001E-2</v>
      </c>
      <c r="E74" s="86"/>
      <c r="F74" s="87">
        <f t="shared" si="10"/>
        <v>2034</v>
      </c>
      <c r="G74" s="41">
        <v>2.3E-2</v>
      </c>
      <c r="H74" s="41"/>
      <c r="I74" s="87">
        <f t="shared" si="11"/>
        <v>2043</v>
      </c>
      <c r="J74" s="41">
        <v>2.4E-2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105"/>
  <sheetViews>
    <sheetView topLeftCell="A30" zoomScale="70" zoomScaleNormal="70" workbookViewId="0">
      <selection activeCell="K52" sqref="K52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1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1.832031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26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6" ht="15.75">
      <c r="B2" s="115" t="s">
        <v>148</v>
      </c>
      <c r="C2" s="116"/>
      <c r="D2" s="116"/>
      <c r="E2" s="116"/>
      <c r="F2" s="116"/>
      <c r="G2" s="116"/>
      <c r="H2" s="116"/>
      <c r="I2" s="116"/>
      <c r="J2" s="116"/>
    </row>
    <row r="3" spans="2:26" ht="15.75">
      <c r="B3" s="115" t="str">
        <f>TEXT($C$66,"0%")&amp;"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R3" s="119"/>
      <c r="T3" s="119"/>
      <c r="U3" s="119"/>
      <c r="V3" s="119"/>
      <c r="W3" s="119"/>
      <c r="X3" s="119"/>
    </row>
    <row r="4" spans="2:26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T4" s="119"/>
      <c r="U4" s="119"/>
      <c r="V4" s="119"/>
      <c r="W4" s="119"/>
      <c r="X4" s="119"/>
    </row>
    <row r="5" spans="2:26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01"/>
      <c r="N5" s="201"/>
      <c r="P5" s="201"/>
      <c r="R5" s="263"/>
      <c r="T5" s="119"/>
      <c r="U5" s="119"/>
      <c r="V5" s="119"/>
      <c r="W5" s="119"/>
      <c r="X5" s="119"/>
      <c r="Y5" s="201"/>
      <c r="Z5" s="201"/>
    </row>
    <row r="6" spans="2:26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64"/>
      <c r="T6" s="119"/>
      <c r="U6" s="119"/>
      <c r="V6" s="119"/>
      <c r="W6" s="119"/>
      <c r="X6" s="119"/>
    </row>
    <row r="7" spans="2:26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T7" s="119"/>
      <c r="U7" s="119"/>
      <c r="V7" s="119"/>
      <c r="W7" s="119"/>
      <c r="X7" s="119"/>
    </row>
    <row r="8" spans="2:26" ht="6" customHeight="1">
      <c r="K8" s="119"/>
      <c r="R8" s="119"/>
      <c r="T8" s="119"/>
      <c r="U8" s="119"/>
      <c r="V8" s="119"/>
      <c r="W8" s="119"/>
      <c r="X8" s="119"/>
    </row>
    <row r="9" spans="2:26" ht="15.75">
      <c r="B9" s="43" t="str">
        <f>C55</f>
        <v>2019 IRP Utah North Solar with Storage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T9" s="119"/>
      <c r="U9" s="119"/>
      <c r="V9" s="119"/>
      <c r="W9" s="119"/>
      <c r="X9" s="119"/>
    </row>
    <row r="10" spans="2:26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</row>
    <row r="11" spans="2:26">
      <c r="B11" s="126">
        <f t="shared" ref="B11:B41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</row>
    <row r="12" spans="2:26">
      <c r="B12" s="135">
        <f t="shared" si="0"/>
        <v>2018</v>
      </c>
      <c r="C12" s="136"/>
      <c r="D12" s="128"/>
      <c r="E12" s="148">
        <f>$C$59</f>
        <v>24.570618817436728</v>
      </c>
      <c r="F12" s="148"/>
      <c r="G12" s="130"/>
      <c r="H12" s="148">
        <f>$C$61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T12" s="161"/>
      <c r="U12" s="153"/>
      <c r="V12" s="153"/>
      <c r="W12" s="266"/>
      <c r="Y12" s="153"/>
      <c r="Z12" s="153"/>
    </row>
    <row r="13" spans="2:26">
      <c r="B13" s="135">
        <f t="shared" si="0"/>
        <v>2019</v>
      </c>
      <c r="C13" s="136"/>
      <c r="D13" s="128"/>
      <c r="E13" s="128">
        <f t="shared" ref="E13:E37" si="1">ROUND(E12*(1+(IFERROR(INDEX($D$69:$D$77,MATCH($B13,$C$69:$C$77,0),1),0)+IFERROR(INDEX($G$69:$G$77,MATCH($B13,$F$69:$F$77,0),1),0)+IFERROR(INDEX($J$69:$J$77,MATCH($B13,$I$69:$I$77,0),1),0))),2)</f>
        <v>25.01</v>
      </c>
      <c r="F13" s="128"/>
      <c r="G13" s="130"/>
      <c r="H13" s="128">
        <f t="shared" ref="H13:H37" si="2">ROUND(H12*(1+(IFERROR(INDEX($D$69:$D$77,MATCH($B13,$C$69:$C$77,0),1),0)+IFERROR(INDEX($G$69:$G$77,MATCH($B13,$F$69:$F$77,0),1),0)+IFERROR(INDEX($J$69:$J$77,MATCH($B13,$I$69:$I$77,0),1),0))),2)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Y13" s="153"/>
      <c r="Z13" s="153"/>
    </row>
    <row r="14" spans="2:26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V14" s="153"/>
      <c r="Y14" s="153"/>
      <c r="Z14" s="153"/>
    </row>
    <row r="15" spans="2:26">
      <c r="B15" s="135">
        <f t="shared" si="0"/>
        <v>2021</v>
      </c>
      <c r="C15" s="136"/>
      <c r="D15" s="128"/>
      <c r="E15" s="128">
        <f t="shared" si="1"/>
        <v>25.79</v>
      </c>
      <c r="F15" s="128"/>
      <c r="G15" s="130"/>
      <c r="H15" s="128">
        <f t="shared" si="2"/>
        <v>0</v>
      </c>
      <c r="I15" s="130"/>
      <c r="J15" s="130"/>
      <c r="K15" s="128">
        <f t="shared" si="3"/>
        <v>25.79</v>
      </c>
      <c r="L15" s="119"/>
      <c r="N15" s="117"/>
      <c r="O15" s="259"/>
      <c r="P15" s="133"/>
      <c r="Q15" s="134"/>
      <c r="R15" s="119"/>
      <c r="V15" s="153"/>
      <c r="Y15" s="153"/>
      <c r="Z15" s="153"/>
    </row>
    <row r="16" spans="2:26">
      <c r="B16" s="135">
        <f t="shared" si="0"/>
        <v>2022</v>
      </c>
      <c r="C16" s="136"/>
      <c r="D16" s="128"/>
      <c r="E16" s="128">
        <f t="shared" si="1"/>
        <v>26.36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26.36</v>
      </c>
      <c r="L16" s="119"/>
      <c r="N16" s="117"/>
      <c r="R16" s="119"/>
      <c r="V16" s="153"/>
      <c r="Y16" s="153"/>
      <c r="Z16" s="153"/>
    </row>
    <row r="17" spans="2:28">
      <c r="B17" s="135">
        <f t="shared" si="0"/>
        <v>2023</v>
      </c>
      <c r="C17" s="136"/>
      <c r="D17" s="128"/>
      <c r="E17" s="128">
        <f t="shared" si="1"/>
        <v>26.89</v>
      </c>
      <c r="F17" s="128"/>
      <c r="G17" s="130"/>
      <c r="H17" s="128">
        <f t="shared" si="2"/>
        <v>0</v>
      </c>
      <c r="I17" s="130"/>
      <c r="J17" s="130"/>
      <c r="K17" s="128">
        <f t="shared" si="3"/>
        <v>26.89</v>
      </c>
      <c r="L17" s="119"/>
      <c r="N17" s="117"/>
      <c r="O17" s="132"/>
      <c r="R17" s="119"/>
      <c r="V17" s="153"/>
      <c r="Y17" s="153"/>
      <c r="Z17" s="153"/>
    </row>
    <row r="18" spans="2:28">
      <c r="B18" s="135">
        <f t="shared" si="0"/>
        <v>2024</v>
      </c>
      <c r="C18" s="335">
        <v>1230.020455873758</v>
      </c>
      <c r="D18" s="128">
        <f>C18*$C$65</f>
        <v>62.546540181180596</v>
      </c>
      <c r="E18" s="128">
        <f t="shared" si="1"/>
        <v>27.43</v>
      </c>
      <c r="F18" s="128">
        <f>C63</f>
        <v>2.5818101631996475</v>
      </c>
      <c r="G18" s="130">
        <f t="shared" ref="G18:G37" si="4">(D18+E18+F18)/(8.76*$C$66)</f>
        <v>35.103062221961899</v>
      </c>
      <c r="H18" s="128">
        <f t="shared" si="2"/>
        <v>0</v>
      </c>
      <c r="I18" s="130">
        <f>(G18+H18)</f>
        <v>35.103062221961899</v>
      </c>
      <c r="J18" s="130">
        <f t="shared" ref="J18:J37" si="5">ROUND(I18*$C$66*8.76,2)</f>
        <v>92.56</v>
      </c>
      <c r="K18" s="128">
        <f t="shared" si="3"/>
        <v>92.558350344380244</v>
      </c>
      <c r="L18" s="119"/>
      <c r="N18" s="117"/>
      <c r="P18" s="268"/>
      <c r="Q18" s="153"/>
      <c r="R18" s="119"/>
      <c r="T18" s="161"/>
      <c r="U18" s="153"/>
      <c r="V18" s="153"/>
      <c r="X18" s="153"/>
      <c r="Y18" s="153"/>
      <c r="Z18" s="153"/>
      <c r="AA18" s="267"/>
      <c r="AB18" s="267"/>
    </row>
    <row r="19" spans="2:28">
      <c r="B19" s="135">
        <f t="shared" si="0"/>
        <v>2025</v>
      </c>
      <c r="C19" s="136"/>
      <c r="D19" s="128">
        <f t="shared" ref="D19:D37" si="6">ROUND(D18*(1+(IFERROR(INDEX($D$69:$D$77,MATCH($B19,$C$69:$C$77,0),1),0)+IFERROR(INDEX($G$69:$G$77,MATCH($B19,$F$69:$F$77,0),1),0)+IFERROR(INDEX($J$69:$J$77,MATCH($B19,$I$69:$I$77,0),1),0))),2)</f>
        <v>63.86</v>
      </c>
      <c r="E19" s="128">
        <f t="shared" si="1"/>
        <v>28.01</v>
      </c>
      <c r="F19" s="128">
        <f t="shared" ref="F19:F37" si="7">ROUND(F18*(1+(IFERROR(INDEX($D$69:$D$77,MATCH($B19,$C$69:$C$77,0),1),0)+IFERROR(INDEX($G$69:$G$77,MATCH($B19,$F$69:$F$77,0),1),0)+IFERROR(INDEX($J$69:$J$77,MATCH($B19,$I$69:$I$77,0),1),0))),2)</f>
        <v>2.64</v>
      </c>
      <c r="G19" s="130">
        <f t="shared" si="4"/>
        <v>35.843231845143286</v>
      </c>
      <c r="H19" s="128">
        <f t="shared" si="2"/>
        <v>0</v>
      </c>
      <c r="I19" s="130">
        <f t="shared" ref="I19:I37" si="8">(G19+H19)</f>
        <v>35.843231845143286</v>
      </c>
      <c r="J19" s="130">
        <f t="shared" si="5"/>
        <v>94.51</v>
      </c>
      <c r="K19" s="128">
        <f t="shared" si="3"/>
        <v>94.51</v>
      </c>
      <c r="L19" s="119"/>
      <c r="N19" s="117"/>
      <c r="R19" s="119"/>
      <c r="T19" s="161"/>
      <c r="U19" s="153"/>
      <c r="V19" s="153"/>
      <c r="X19" s="153"/>
      <c r="Y19" s="153"/>
      <c r="Z19" s="153"/>
    </row>
    <row r="20" spans="2:28">
      <c r="B20" s="135">
        <f t="shared" si="0"/>
        <v>2026</v>
      </c>
      <c r="C20" s="136"/>
      <c r="D20" s="128">
        <f t="shared" si="6"/>
        <v>65.260000000000005</v>
      </c>
      <c r="E20" s="128">
        <f t="shared" si="1"/>
        <v>28.63</v>
      </c>
      <c r="F20" s="128">
        <f t="shared" si="7"/>
        <v>2.7</v>
      </c>
      <c r="G20" s="130">
        <f t="shared" si="4"/>
        <v>36.63207876333076</v>
      </c>
      <c r="H20" s="128">
        <f t="shared" si="2"/>
        <v>0</v>
      </c>
      <c r="I20" s="130">
        <f t="shared" si="8"/>
        <v>36.63207876333076</v>
      </c>
      <c r="J20" s="130">
        <f t="shared" si="5"/>
        <v>96.59</v>
      </c>
      <c r="K20" s="128">
        <f t="shared" si="3"/>
        <v>96.59</v>
      </c>
      <c r="L20" s="119"/>
      <c r="N20" s="117"/>
      <c r="R20" s="160"/>
      <c r="T20" s="161"/>
      <c r="U20" s="153"/>
      <c r="V20" s="153"/>
      <c r="X20" s="153"/>
      <c r="Y20" s="153"/>
      <c r="Z20" s="153"/>
    </row>
    <row r="21" spans="2:28">
      <c r="B21" s="135">
        <f t="shared" si="0"/>
        <v>2027</v>
      </c>
      <c r="C21" s="136"/>
      <c r="D21" s="128">
        <f t="shared" si="6"/>
        <v>66.760000000000005</v>
      </c>
      <c r="E21" s="128">
        <f t="shared" si="1"/>
        <v>29.29</v>
      </c>
      <c r="F21" s="128">
        <f t="shared" si="7"/>
        <v>2.76</v>
      </c>
      <c r="G21" s="130">
        <f t="shared" si="4"/>
        <v>37.474021147165473</v>
      </c>
      <c r="H21" s="128">
        <f t="shared" si="2"/>
        <v>0</v>
      </c>
      <c r="I21" s="130">
        <f t="shared" si="8"/>
        <v>37.474021147165473</v>
      </c>
      <c r="J21" s="130">
        <f t="shared" si="5"/>
        <v>98.81</v>
      </c>
      <c r="K21" s="128">
        <f t="shared" si="3"/>
        <v>98.810000000000016</v>
      </c>
      <c r="L21" s="119"/>
      <c r="N21" s="117"/>
      <c r="R21" s="160"/>
      <c r="T21" s="161"/>
      <c r="U21" s="153"/>
      <c r="V21" s="153"/>
      <c r="X21" s="153"/>
      <c r="Y21" s="153"/>
      <c r="Z21" s="153"/>
    </row>
    <row r="22" spans="2:28">
      <c r="B22" s="135">
        <f t="shared" si="0"/>
        <v>2028</v>
      </c>
      <c r="C22" s="136"/>
      <c r="D22" s="128">
        <f t="shared" si="6"/>
        <v>68.3</v>
      </c>
      <c r="E22" s="128">
        <f t="shared" si="1"/>
        <v>29.96</v>
      </c>
      <c r="F22" s="128">
        <f t="shared" si="7"/>
        <v>2.82</v>
      </c>
      <c r="G22" s="130">
        <f t="shared" si="4"/>
        <v>38.33492619730275</v>
      </c>
      <c r="H22" s="128">
        <f t="shared" si="2"/>
        <v>0</v>
      </c>
      <c r="I22" s="130">
        <f t="shared" si="8"/>
        <v>38.33492619730275</v>
      </c>
      <c r="J22" s="130">
        <f t="shared" si="5"/>
        <v>101.08</v>
      </c>
      <c r="K22" s="128">
        <f t="shared" si="3"/>
        <v>101.07999999999998</v>
      </c>
      <c r="L22" s="119"/>
      <c r="N22" s="117"/>
      <c r="R22" s="160"/>
      <c r="T22" s="161"/>
      <c r="U22" s="153"/>
      <c r="V22" s="153"/>
      <c r="X22" s="153"/>
      <c r="Y22" s="153"/>
      <c r="Z22" s="153"/>
    </row>
    <row r="23" spans="2:28">
      <c r="B23" s="135">
        <f t="shared" si="0"/>
        <v>2029</v>
      </c>
      <c r="C23" s="136"/>
      <c r="D23" s="128">
        <f t="shared" si="6"/>
        <v>69.87</v>
      </c>
      <c r="E23" s="128">
        <f t="shared" si="1"/>
        <v>30.65</v>
      </c>
      <c r="F23" s="128">
        <f t="shared" si="7"/>
        <v>2.88</v>
      </c>
      <c r="G23" s="130">
        <f t="shared" si="4"/>
        <v>39.214793913742632</v>
      </c>
      <c r="H23" s="128">
        <f t="shared" si="2"/>
        <v>0</v>
      </c>
      <c r="I23" s="130">
        <f t="shared" si="8"/>
        <v>39.214793913742632</v>
      </c>
      <c r="J23" s="130">
        <f t="shared" si="5"/>
        <v>103.4</v>
      </c>
      <c r="K23" s="128">
        <f t="shared" si="3"/>
        <v>103.4</v>
      </c>
      <c r="L23" s="119"/>
      <c r="N23" s="117"/>
      <c r="R23" s="160"/>
      <c r="T23" s="161"/>
      <c r="U23" s="153"/>
      <c r="V23" s="153"/>
      <c r="X23" s="153"/>
      <c r="Y23" s="153"/>
      <c r="Z23" s="153"/>
    </row>
    <row r="24" spans="2:28">
      <c r="B24" s="135">
        <f t="shared" si="0"/>
        <v>2030</v>
      </c>
      <c r="C24" s="136"/>
      <c r="D24" s="128">
        <f t="shared" si="6"/>
        <v>71.48</v>
      </c>
      <c r="E24" s="128">
        <f t="shared" si="1"/>
        <v>31.35</v>
      </c>
      <c r="F24" s="128">
        <f t="shared" si="7"/>
        <v>2.95</v>
      </c>
      <c r="G24" s="130">
        <f t="shared" si="4"/>
        <v>40.117416829745608</v>
      </c>
      <c r="H24" s="128">
        <f t="shared" si="2"/>
        <v>0</v>
      </c>
      <c r="I24" s="130">
        <f t="shared" si="8"/>
        <v>40.117416829745608</v>
      </c>
      <c r="J24" s="130">
        <f t="shared" si="5"/>
        <v>105.78</v>
      </c>
      <c r="K24" s="128">
        <f t="shared" si="3"/>
        <v>105.78000000000002</v>
      </c>
      <c r="L24" s="119"/>
      <c r="N24" s="117"/>
      <c r="R24" s="160"/>
      <c r="T24" s="161"/>
      <c r="U24" s="153"/>
      <c r="V24" s="153"/>
      <c r="X24" s="153"/>
      <c r="Y24" s="153"/>
      <c r="Z24" s="153"/>
    </row>
    <row r="25" spans="2:28">
      <c r="B25" s="135">
        <f t="shared" si="0"/>
        <v>2031</v>
      </c>
      <c r="C25" s="136"/>
      <c r="D25" s="128">
        <f t="shared" si="6"/>
        <v>73.12</v>
      </c>
      <c r="E25" s="128">
        <f t="shared" si="1"/>
        <v>32.07</v>
      </c>
      <c r="F25" s="128">
        <f t="shared" si="7"/>
        <v>3.02</v>
      </c>
      <c r="G25" s="130">
        <f t="shared" si="4"/>
        <v>41.039002412051154</v>
      </c>
      <c r="H25" s="128">
        <f t="shared" si="2"/>
        <v>0</v>
      </c>
      <c r="I25" s="130">
        <f t="shared" si="8"/>
        <v>41.039002412051154</v>
      </c>
      <c r="J25" s="130">
        <f t="shared" si="5"/>
        <v>108.21</v>
      </c>
      <c r="K25" s="128">
        <f t="shared" si="3"/>
        <v>108.21</v>
      </c>
      <c r="L25" s="119"/>
      <c r="N25" s="117"/>
      <c r="R25" s="160"/>
      <c r="T25" s="161"/>
      <c r="U25" s="153"/>
      <c r="V25" s="153"/>
      <c r="X25" s="153"/>
      <c r="Y25" s="153"/>
      <c r="Z25" s="153"/>
    </row>
    <row r="26" spans="2:28">
      <c r="B26" s="135">
        <f t="shared" si="0"/>
        <v>2032</v>
      </c>
      <c r="C26" s="136"/>
      <c r="D26" s="128">
        <f t="shared" si="6"/>
        <v>74.8</v>
      </c>
      <c r="E26" s="128">
        <f t="shared" si="1"/>
        <v>32.81</v>
      </c>
      <c r="F26" s="128">
        <f t="shared" si="7"/>
        <v>3.09</v>
      </c>
      <c r="G26" s="130">
        <f t="shared" si="4"/>
        <v>41.983343193919815</v>
      </c>
      <c r="H26" s="128">
        <f t="shared" si="2"/>
        <v>0</v>
      </c>
      <c r="I26" s="130">
        <f t="shared" si="8"/>
        <v>41.983343193919815</v>
      </c>
      <c r="J26" s="130">
        <f t="shared" si="5"/>
        <v>110.7</v>
      </c>
      <c r="K26" s="128">
        <f t="shared" si="3"/>
        <v>110.7</v>
      </c>
      <c r="L26" s="119"/>
      <c r="N26" s="117"/>
      <c r="R26" s="160"/>
      <c r="T26" s="161"/>
      <c r="U26" s="153"/>
      <c r="V26" s="153"/>
      <c r="X26" s="153"/>
      <c r="Y26" s="153"/>
      <c r="Z26" s="153"/>
    </row>
    <row r="27" spans="2:28">
      <c r="B27" s="135">
        <f t="shared" si="0"/>
        <v>2033</v>
      </c>
      <c r="C27" s="136"/>
      <c r="D27" s="128">
        <f t="shared" si="6"/>
        <v>76.52</v>
      </c>
      <c r="E27" s="128">
        <f t="shared" si="1"/>
        <v>33.56</v>
      </c>
      <c r="F27" s="128">
        <f t="shared" si="7"/>
        <v>3.16</v>
      </c>
      <c r="G27" s="130">
        <f t="shared" si="4"/>
        <v>42.946646642091054</v>
      </c>
      <c r="H27" s="128">
        <f t="shared" si="2"/>
        <v>0</v>
      </c>
      <c r="I27" s="130">
        <f t="shared" si="8"/>
        <v>42.946646642091054</v>
      </c>
      <c r="J27" s="130">
        <f t="shared" si="5"/>
        <v>113.24</v>
      </c>
      <c r="K27" s="128">
        <f t="shared" si="3"/>
        <v>113.24</v>
      </c>
      <c r="L27" s="119"/>
      <c r="N27" s="117"/>
      <c r="R27" s="160"/>
      <c r="T27" s="161"/>
      <c r="U27" s="153"/>
      <c r="V27" s="153"/>
      <c r="X27" s="153"/>
      <c r="Y27" s="153"/>
      <c r="Z27" s="153"/>
    </row>
    <row r="28" spans="2:28">
      <c r="B28" s="135">
        <f t="shared" si="0"/>
        <v>2034</v>
      </c>
      <c r="C28" s="136"/>
      <c r="D28" s="128">
        <f t="shared" si="6"/>
        <v>78.28</v>
      </c>
      <c r="E28" s="128">
        <f t="shared" si="1"/>
        <v>34.33</v>
      </c>
      <c r="F28" s="128">
        <f t="shared" si="7"/>
        <v>3.23</v>
      </c>
      <c r="G28" s="130">
        <f t="shared" si="4"/>
        <v>43.9327052898254</v>
      </c>
      <c r="H28" s="128">
        <f t="shared" si="2"/>
        <v>0</v>
      </c>
      <c r="I28" s="130">
        <f t="shared" si="8"/>
        <v>43.9327052898254</v>
      </c>
      <c r="J28" s="130">
        <f t="shared" si="5"/>
        <v>115.84</v>
      </c>
      <c r="K28" s="128">
        <f t="shared" si="3"/>
        <v>115.84</v>
      </c>
      <c r="L28" s="119"/>
      <c r="N28" s="117"/>
      <c r="R28" s="160"/>
      <c r="T28" s="161"/>
      <c r="U28" s="153"/>
      <c r="V28" s="153"/>
      <c r="X28" s="153"/>
      <c r="Y28" s="153"/>
      <c r="Z28" s="153"/>
    </row>
    <row r="29" spans="2:28">
      <c r="B29" s="135">
        <f t="shared" si="0"/>
        <v>2035</v>
      </c>
      <c r="C29" s="136"/>
      <c r="D29" s="128">
        <f t="shared" si="6"/>
        <v>80.08</v>
      </c>
      <c r="E29" s="128">
        <f t="shared" si="1"/>
        <v>35.119999999999997</v>
      </c>
      <c r="F29" s="128">
        <f t="shared" si="7"/>
        <v>3.3</v>
      </c>
      <c r="G29" s="130">
        <f t="shared" si="4"/>
        <v>44.941519137122832</v>
      </c>
      <c r="H29" s="128">
        <f t="shared" si="2"/>
        <v>0</v>
      </c>
      <c r="I29" s="130">
        <f t="shared" si="8"/>
        <v>44.941519137122832</v>
      </c>
      <c r="J29" s="130">
        <f t="shared" si="5"/>
        <v>118.5</v>
      </c>
      <c r="K29" s="128">
        <f t="shared" si="3"/>
        <v>118.49999999999999</v>
      </c>
      <c r="L29" s="119"/>
      <c r="N29" s="117"/>
      <c r="R29" s="160"/>
      <c r="T29" s="161"/>
      <c r="U29" s="153"/>
      <c r="V29" s="153"/>
      <c r="X29" s="153"/>
      <c r="Y29" s="153"/>
      <c r="Z29" s="153"/>
    </row>
    <row r="30" spans="2:28">
      <c r="B30" s="135">
        <f t="shared" si="0"/>
        <v>2036</v>
      </c>
      <c r="C30" s="136"/>
      <c r="D30" s="128">
        <f t="shared" si="6"/>
        <v>81.92</v>
      </c>
      <c r="E30" s="128">
        <f t="shared" si="1"/>
        <v>35.93</v>
      </c>
      <c r="F30" s="128">
        <f t="shared" si="7"/>
        <v>3.38</v>
      </c>
      <c r="G30" s="130">
        <f t="shared" si="4"/>
        <v>45.976880717243887</v>
      </c>
      <c r="H30" s="128">
        <f t="shared" si="2"/>
        <v>0</v>
      </c>
      <c r="I30" s="130">
        <f t="shared" si="8"/>
        <v>45.976880717243887</v>
      </c>
      <c r="J30" s="130">
        <f t="shared" si="5"/>
        <v>121.23</v>
      </c>
      <c r="K30" s="128">
        <f t="shared" si="3"/>
        <v>121.22999999999999</v>
      </c>
      <c r="L30" s="119"/>
      <c r="N30" s="117"/>
      <c r="R30" s="160"/>
      <c r="T30" s="161"/>
      <c r="U30" s="153"/>
      <c r="V30" s="153"/>
      <c r="X30" s="153"/>
      <c r="Y30" s="153"/>
      <c r="Z30" s="153"/>
    </row>
    <row r="31" spans="2:28">
      <c r="B31" s="135">
        <f t="shared" si="0"/>
        <v>2037</v>
      </c>
      <c r="C31" s="136"/>
      <c r="D31" s="128">
        <f t="shared" si="6"/>
        <v>83.8</v>
      </c>
      <c r="E31" s="128">
        <f t="shared" si="1"/>
        <v>36.76</v>
      </c>
      <c r="F31" s="128">
        <f t="shared" si="7"/>
        <v>3.46</v>
      </c>
      <c r="G31" s="130">
        <f t="shared" si="4"/>
        <v>47.03499749692805</v>
      </c>
      <c r="H31" s="128">
        <f t="shared" si="2"/>
        <v>0</v>
      </c>
      <c r="I31" s="130">
        <f t="shared" si="8"/>
        <v>47.03499749692805</v>
      </c>
      <c r="J31" s="130">
        <f t="shared" si="5"/>
        <v>124.02</v>
      </c>
      <c r="K31" s="128">
        <f t="shared" si="3"/>
        <v>124.02</v>
      </c>
      <c r="L31" s="119"/>
      <c r="N31" s="117"/>
      <c r="R31" s="160"/>
      <c r="T31" s="161"/>
      <c r="U31" s="153"/>
      <c r="V31" s="153"/>
      <c r="X31" s="153"/>
      <c r="Y31" s="153"/>
      <c r="Z31" s="153"/>
    </row>
    <row r="32" spans="2:28">
      <c r="B32" s="135">
        <f t="shared" si="0"/>
        <v>2038</v>
      </c>
      <c r="C32" s="136"/>
      <c r="D32" s="128">
        <f t="shared" si="6"/>
        <v>85.73</v>
      </c>
      <c r="E32" s="128">
        <f t="shared" si="1"/>
        <v>37.61</v>
      </c>
      <c r="F32" s="128">
        <f t="shared" si="7"/>
        <v>3.54</v>
      </c>
      <c r="G32" s="130">
        <f t="shared" si="4"/>
        <v>48.119662009435828</v>
      </c>
      <c r="H32" s="128">
        <f t="shared" si="2"/>
        <v>0</v>
      </c>
      <c r="I32" s="130">
        <f t="shared" si="8"/>
        <v>48.119662009435828</v>
      </c>
      <c r="J32" s="130">
        <f t="shared" si="5"/>
        <v>126.88</v>
      </c>
      <c r="K32" s="128">
        <f t="shared" si="3"/>
        <v>126.88000000000001</v>
      </c>
      <c r="L32" s="119"/>
      <c r="N32" s="117"/>
      <c r="R32" s="160"/>
      <c r="T32" s="161"/>
      <c r="U32" s="153"/>
      <c r="V32" s="153"/>
      <c r="X32" s="153"/>
      <c r="Y32" s="153"/>
      <c r="Z32" s="153"/>
    </row>
    <row r="33" spans="2:26">
      <c r="B33" s="135">
        <f t="shared" si="0"/>
        <v>2039</v>
      </c>
      <c r="C33" s="136"/>
      <c r="D33" s="128">
        <f t="shared" si="6"/>
        <v>87.7</v>
      </c>
      <c r="E33" s="128">
        <f t="shared" si="1"/>
        <v>38.479999999999997</v>
      </c>
      <c r="F33" s="128">
        <f t="shared" si="7"/>
        <v>3.62</v>
      </c>
      <c r="G33" s="130">
        <f t="shared" si="4"/>
        <v>49.227081721506707</v>
      </c>
      <c r="H33" s="128">
        <f t="shared" si="2"/>
        <v>0</v>
      </c>
      <c r="I33" s="130">
        <f t="shared" si="8"/>
        <v>49.227081721506707</v>
      </c>
      <c r="J33" s="130">
        <f t="shared" si="5"/>
        <v>129.80000000000001</v>
      </c>
      <c r="K33" s="128">
        <f t="shared" si="3"/>
        <v>129.80000000000001</v>
      </c>
      <c r="L33" s="119"/>
      <c r="N33" s="117"/>
      <c r="R33" s="160"/>
      <c r="T33" s="161"/>
      <c r="U33" s="153"/>
      <c r="V33" s="153"/>
      <c r="X33" s="153"/>
      <c r="Y33" s="153"/>
      <c r="Z33" s="153"/>
    </row>
    <row r="34" spans="2:26">
      <c r="B34" s="135">
        <f t="shared" si="0"/>
        <v>2040</v>
      </c>
      <c r="C34" s="136"/>
      <c r="D34" s="128">
        <f t="shared" si="6"/>
        <v>89.72</v>
      </c>
      <c r="E34" s="128">
        <f t="shared" si="1"/>
        <v>39.369999999999997</v>
      </c>
      <c r="F34" s="128">
        <f t="shared" si="7"/>
        <v>3.7</v>
      </c>
      <c r="G34" s="130">
        <f t="shared" si="4"/>
        <v>50.361049166401187</v>
      </c>
      <c r="H34" s="128">
        <f t="shared" si="2"/>
        <v>0</v>
      </c>
      <c r="I34" s="130">
        <f t="shared" si="8"/>
        <v>50.361049166401187</v>
      </c>
      <c r="J34" s="130">
        <f t="shared" si="5"/>
        <v>132.79</v>
      </c>
      <c r="K34" s="128">
        <f t="shared" si="3"/>
        <v>132.79</v>
      </c>
      <c r="L34" s="119"/>
      <c r="N34" s="117"/>
      <c r="R34" s="160"/>
      <c r="T34" s="161"/>
      <c r="U34" s="153"/>
      <c r="V34" s="153"/>
      <c r="X34" s="153"/>
      <c r="Y34" s="153"/>
      <c r="Z34" s="153"/>
    </row>
    <row r="35" spans="2:26">
      <c r="B35" s="135">
        <f t="shared" si="0"/>
        <v>2041</v>
      </c>
      <c r="C35" s="136"/>
      <c r="D35" s="128">
        <f t="shared" si="6"/>
        <v>91.78</v>
      </c>
      <c r="E35" s="128">
        <f t="shared" si="1"/>
        <v>40.28</v>
      </c>
      <c r="F35" s="128">
        <f t="shared" si="7"/>
        <v>3.79</v>
      </c>
      <c r="G35" s="130">
        <f t="shared" si="4"/>
        <v>51.521564344119298</v>
      </c>
      <c r="H35" s="128">
        <f t="shared" si="2"/>
        <v>0</v>
      </c>
      <c r="I35" s="130">
        <f t="shared" si="8"/>
        <v>51.521564344119298</v>
      </c>
      <c r="J35" s="130">
        <f t="shared" si="5"/>
        <v>135.85</v>
      </c>
      <c r="K35" s="128">
        <f t="shared" si="3"/>
        <v>135.85</v>
      </c>
      <c r="L35" s="119"/>
      <c r="N35" s="117"/>
      <c r="R35" s="160"/>
      <c r="T35" s="161"/>
      <c r="U35" s="153"/>
      <c r="V35" s="153"/>
      <c r="X35" s="153"/>
      <c r="Y35" s="153"/>
      <c r="Z35" s="153"/>
    </row>
    <row r="36" spans="2:26">
      <c r="B36" s="135">
        <f t="shared" si="0"/>
        <v>2042</v>
      </c>
      <c r="C36" s="136"/>
      <c r="D36" s="128">
        <f t="shared" si="6"/>
        <v>93.89</v>
      </c>
      <c r="E36" s="128">
        <f t="shared" si="1"/>
        <v>41.21</v>
      </c>
      <c r="F36" s="128">
        <f t="shared" si="7"/>
        <v>3.88</v>
      </c>
      <c r="G36" s="130">
        <f t="shared" si="4"/>
        <v>52.708627254661025</v>
      </c>
      <c r="H36" s="128">
        <f t="shared" si="2"/>
        <v>0</v>
      </c>
      <c r="I36" s="130">
        <f t="shared" si="8"/>
        <v>52.708627254661025</v>
      </c>
      <c r="J36" s="130">
        <f t="shared" si="5"/>
        <v>138.97999999999999</v>
      </c>
      <c r="K36" s="128">
        <f t="shared" si="3"/>
        <v>138.97999999999999</v>
      </c>
      <c r="L36" s="119"/>
      <c r="N36" s="117"/>
      <c r="R36" s="160"/>
      <c r="T36" s="161"/>
      <c r="U36" s="153"/>
      <c r="V36" s="153"/>
      <c r="X36" s="153"/>
      <c r="Y36" s="153"/>
      <c r="Z36" s="153"/>
    </row>
    <row r="37" spans="2:26">
      <c r="B37" s="135">
        <f t="shared" si="0"/>
        <v>2043</v>
      </c>
      <c r="C37" s="136"/>
      <c r="D37" s="128">
        <f t="shared" si="6"/>
        <v>96.14</v>
      </c>
      <c r="E37" s="128">
        <f t="shared" si="1"/>
        <v>42.2</v>
      </c>
      <c r="F37" s="128">
        <f t="shared" si="7"/>
        <v>3.97</v>
      </c>
      <c r="G37" s="130">
        <f t="shared" si="4"/>
        <v>53.97154083041309</v>
      </c>
      <c r="H37" s="128">
        <f t="shared" si="2"/>
        <v>0</v>
      </c>
      <c r="I37" s="130">
        <f t="shared" si="8"/>
        <v>53.97154083041309</v>
      </c>
      <c r="J37" s="130">
        <f t="shared" si="5"/>
        <v>142.31</v>
      </c>
      <c r="K37" s="128">
        <f t="shared" si="3"/>
        <v>142.31</v>
      </c>
      <c r="L37" s="119"/>
      <c r="N37" s="117"/>
      <c r="R37" s="160"/>
      <c r="T37" s="161"/>
      <c r="U37" s="153"/>
      <c r="V37" s="153"/>
      <c r="X37" s="153"/>
      <c r="Y37" s="153"/>
      <c r="Z37" s="153"/>
    </row>
    <row r="38" spans="2:26">
      <c r="B38" s="135">
        <f t="shared" si="0"/>
        <v>2044</v>
      </c>
      <c r="C38" s="136"/>
      <c r="D38" s="128">
        <f t="shared" ref="D38:D40" si="9">ROUND(D37*(1+(IFERROR(INDEX($D$69:$D$77,MATCH($B38,$C$69:$C$77,0),1),0)+IFERROR(INDEX($G$69:$G$77,MATCH($B38,$F$69:$F$77,0),1),0)+IFERROR(INDEX($J$69:$J$77,MATCH($B38,$I$69:$I$77,0),1),0))),2)</f>
        <v>96.14</v>
      </c>
      <c r="E38" s="128">
        <f t="shared" ref="E38:E40" si="10">ROUND(E37*(1+(IFERROR(INDEX($D$69:$D$77,MATCH($B38,$C$69:$C$77,0),1),0)+IFERROR(INDEX($G$69:$G$77,MATCH($B38,$F$69:$F$77,0),1),0)+IFERROR(INDEX($J$69:$J$77,MATCH($B38,$I$69:$I$77,0),1),0))),2)</f>
        <v>42.2</v>
      </c>
      <c r="F38" s="128">
        <f t="shared" ref="F38:F40" si="11">ROUND(F37*(1+(IFERROR(INDEX($D$69:$D$77,MATCH($B38,$C$69:$C$77,0),1),0)+IFERROR(INDEX($G$69:$G$77,MATCH($B38,$F$69:$F$77,0),1),0)+IFERROR(INDEX($J$69:$J$77,MATCH($B38,$I$69:$I$77,0),1),0))),2)</f>
        <v>3.97</v>
      </c>
      <c r="G38" s="130">
        <f t="shared" ref="G38:G40" si="12">(D38+E38+F38)/(8.76*$C$66)</f>
        <v>53.97154083041309</v>
      </c>
      <c r="H38" s="128">
        <f t="shared" ref="H38:H40" si="13">ROUND(H37*(1+(IFERROR(INDEX($D$69:$D$77,MATCH($B38,$C$69:$C$77,0),1),0)+IFERROR(INDEX($G$69:$G$77,MATCH($B38,$F$69:$F$77,0),1),0)+IFERROR(INDEX($J$69:$J$77,MATCH($B38,$I$69:$I$77,0),1),0))),2)</f>
        <v>0</v>
      </c>
      <c r="I38" s="130">
        <f t="shared" ref="I38:I40" si="14">(G38+H38)</f>
        <v>53.97154083041309</v>
      </c>
      <c r="J38" s="130">
        <f t="shared" ref="J38:J41" si="15">ROUND(I38*$C$66*8.76,2)</f>
        <v>142.31</v>
      </c>
      <c r="K38" s="128">
        <f t="shared" ref="K38:K40" si="16">(D38+E38+F38)</f>
        <v>142.31</v>
      </c>
      <c r="L38" s="119"/>
      <c r="N38" s="117"/>
      <c r="R38" s="160"/>
      <c r="T38" s="161"/>
      <c r="U38" s="153"/>
      <c r="V38" s="153"/>
      <c r="X38" s="153"/>
      <c r="Y38" s="153"/>
      <c r="Z38" s="153"/>
    </row>
    <row r="39" spans="2:26">
      <c r="B39" s="135">
        <f t="shared" si="0"/>
        <v>2045</v>
      </c>
      <c r="C39" s="136"/>
      <c r="D39" s="128">
        <f t="shared" si="9"/>
        <v>96.14</v>
      </c>
      <c r="E39" s="128">
        <f t="shared" si="10"/>
        <v>42.2</v>
      </c>
      <c r="F39" s="128">
        <f t="shared" si="11"/>
        <v>3.97</v>
      </c>
      <c r="G39" s="130">
        <f t="shared" si="12"/>
        <v>53.97154083041309</v>
      </c>
      <c r="H39" s="128">
        <f t="shared" si="13"/>
        <v>0</v>
      </c>
      <c r="I39" s="130">
        <f t="shared" si="14"/>
        <v>53.97154083041309</v>
      </c>
      <c r="J39" s="130">
        <f t="shared" si="15"/>
        <v>142.31</v>
      </c>
      <c r="K39" s="128">
        <f t="shared" si="16"/>
        <v>142.31</v>
      </c>
      <c r="L39" s="119"/>
      <c r="N39" s="117"/>
      <c r="R39" s="160"/>
      <c r="T39" s="161"/>
      <c r="U39" s="153"/>
      <c r="V39" s="153"/>
      <c r="X39" s="153"/>
      <c r="Y39" s="153"/>
      <c r="Z39" s="153"/>
    </row>
    <row r="40" spans="2:26">
      <c r="B40" s="135">
        <f t="shared" si="0"/>
        <v>2046</v>
      </c>
      <c r="C40" s="136"/>
      <c r="D40" s="128">
        <f t="shared" si="9"/>
        <v>96.14</v>
      </c>
      <c r="E40" s="128">
        <f t="shared" si="10"/>
        <v>42.2</v>
      </c>
      <c r="F40" s="128">
        <f t="shared" si="11"/>
        <v>3.97</v>
      </c>
      <c r="G40" s="130">
        <f t="shared" si="12"/>
        <v>53.97154083041309</v>
      </c>
      <c r="H40" s="128">
        <f t="shared" si="13"/>
        <v>0</v>
      </c>
      <c r="I40" s="130">
        <f t="shared" si="14"/>
        <v>53.97154083041309</v>
      </c>
      <c r="J40" s="130">
        <f t="shared" si="15"/>
        <v>142.31</v>
      </c>
      <c r="K40" s="128">
        <f t="shared" si="16"/>
        <v>142.31</v>
      </c>
      <c r="L40" s="119"/>
      <c r="N40" s="117"/>
      <c r="R40" s="160"/>
      <c r="T40" s="161"/>
      <c r="U40" s="153"/>
      <c r="V40" s="153"/>
      <c r="X40" s="153"/>
      <c r="Y40" s="153"/>
      <c r="Z40" s="153"/>
    </row>
    <row r="41" spans="2:26">
      <c r="B41" s="135">
        <f t="shared" si="0"/>
        <v>2047</v>
      </c>
      <c r="C41" s="136"/>
      <c r="D41" s="128">
        <f t="shared" ref="D41" si="17">ROUND(D40*(1+(IFERROR(INDEX($D$69:$D$77,MATCH($B41,$C$69:$C$77,0),1),0)+IFERROR(INDEX($G$69:$G$77,MATCH($B41,$F$69:$F$77,0),1),0)+IFERROR(INDEX($J$69:$J$77,MATCH($B41,$I$69:$I$77,0),1),0))),2)</f>
        <v>96.14</v>
      </c>
      <c r="E41" s="128">
        <f t="shared" ref="E41" si="18">ROUND(E40*(1+(IFERROR(INDEX($D$69:$D$77,MATCH($B41,$C$69:$C$77,0),1),0)+IFERROR(INDEX($G$69:$G$77,MATCH($B41,$F$69:$F$77,0),1),0)+IFERROR(INDEX($J$69:$J$77,MATCH($B41,$I$69:$I$77,0),1),0))),2)</f>
        <v>42.2</v>
      </c>
      <c r="F41" s="128">
        <f t="shared" ref="F41" si="19">ROUND(F40*(1+(IFERROR(INDEX($D$69:$D$77,MATCH($B41,$C$69:$C$77,0),1),0)+IFERROR(INDEX($G$69:$G$77,MATCH($B41,$F$69:$F$77,0),1),0)+IFERROR(INDEX($J$69:$J$77,MATCH($B41,$I$69:$I$77,0),1),0))),2)</f>
        <v>3.97</v>
      </c>
      <c r="G41" s="130">
        <f t="shared" ref="G41" si="20">(D41+E41+F41)/(8.76*$C$66)</f>
        <v>53.97154083041309</v>
      </c>
      <c r="H41" s="128">
        <f t="shared" ref="H41" si="21">ROUND(H40*(1+(IFERROR(INDEX($D$69:$D$77,MATCH($B41,$C$69:$C$77,0),1),0)+IFERROR(INDEX($G$69:$G$77,MATCH($B41,$F$69:$F$77,0),1),0)+IFERROR(INDEX($J$69:$J$77,MATCH($B41,$I$69:$I$77,0),1),0))),2)</f>
        <v>0</v>
      </c>
      <c r="I41" s="130">
        <f t="shared" ref="I41" si="22">(G41+H41)</f>
        <v>53.97154083041309</v>
      </c>
      <c r="J41" s="130">
        <f t="shared" si="15"/>
        <v>142.31</v>
      </c>
      <c r="K41" s="128">
        <f t="shared" ref="K41" si="23">(D41+E41+F41)</f>
        <v>142.31</v>
      </c>
      <c r="L41" s="119"/>
      <c r="N41" s="117"/>
      <c r="R41" s="160"/>
      <c r="T41" s="161"/>
      <c r="U41" s="153"/>
      <c r="V41" s="153"/>
      <c r="X41" s="153"/>
      <c r="Y41" s="153"/>
      <c r="Z41" s="153"/>
    </row>
    <row r="42" spans="2:26">
      <c r="B42" s="126"/>
      <c r="C42" s="131"/>
      <c r="D42" s="128"/>
      <c r="E42" s="128"/>
      <c r="F42" s="129"/>
      <c r="G42" s="128"/>
      <c r="H42" s="128"/>
      <c r="I42" s="130"/>
      <c r="J42" s="130"/>
      <c r="K42" s="137"/>
      <c r="R42" s="119"/>
    </row>
    <row r="43" spans="2:26">
      <c r="B43" s="126"/>
      <c r="C43" s="131"/>
      <c r="D43" s="128"/>
      <c r="E43" s="128"/>
      <c r="F43" s="129"/>
      <c r="G43" s="128"/>
      <c r="H43" s="128"/>
      <c r="I43" s="130"/>
      <c r="J43" s="130"/>
      <c r="K43" s="137"/>
      <c r="R43" s="119"/>
    </row>
    <row r="44" spans="2:26">
      <c r="R44" s="119"/>
    </row>
    <row r="45" spans="2:26" ht="14.25">
      <c r="B45" s="138" t="s">
        <v>25</v>
      </c>
      <c r="C45" s="139"/>
      <c r="D45" s="139"/>
      <c r="E45" s="139"/>
      <c r="F45" s="139"/>
      <c r="G45" s="139"/>
      <c r="H45" s="139"/>
      <c r="R45" s="119"/>
    </row>
    <row r="47" spans="2:26">
      <c r="B47" s="117" t="s">
        <v>63</v>
      </c>
      <c r="C47" s="140" t="s">
        <v>64</v>
      </c>
      <c r="D47" s="141" t="s">
        <v>102</v>
      </c>
    </row>
    <row r="48" spans="2:26">
      <c r="C48" s="140" t="str">
        <f>C7</f>
        <v>(a)</v>
      </c>
      <c r="D48" s="117" t="s">
        <v>65</v>
      </c>
    </row>
    <row r="49" spans="2:25">
      <c r="C49" s="140" t="str">
        <f>D7</f>
        <v>(b)</v>
      </c>
      <c r="D49" s="130" t="str">
        <f>"= "&amp;C7&amp;" x "&amp;C65</f>
        <v>= (a) x 0.05085</v>
      </c>
    </row>
    <row r="50" spans="2:25">
      <c r="C50" s="140" t="str">
        <f>G7</f>
        <v>(e)</v>
      </c>
      <c r="D50" s="130" t="str">
        <f>"= ("&amp;$D$7&amp;" + "&amp;$E$7&amp;") /  (8.76 x "&amp;TEXT(C66,"0.0%")&amp;")"</f>
        <v>= ((b) + (c)) /  (8.76 x 30.1%)</v>
      </c>
    </row>
    <row r="51" spans="2:25">
      <c r="C51" s="140" t="str">
        <f>I7</f>
        <v>(g)</v>
      </c>
      <c r="D51" s="130" t="str">
        <f>"= "&amp;$G$7&amp;" + "&amp;$H$7</f>
        <v>= (e) + (f)</v>
      </c>
    </row>
    <row r="52" spans="2:25">
      <c r="C52" s="140" t="str">
        <f>K7</f>
        <v>(i)</v>
      </c>
      <c r="D52" s="85" t="str">
        <f>D47</f>
        <v>Plant Costs  - 2019 IRP Update - Table 6.1 &amp; 6.2</v>
      </c>
    </row>
    <row r="53" spans="2:25">
      <c r="C53" s="140"/>
      <c r="D53" s="130"/>
    </row>
    <row r="54" spans="2:25" ht="13.5" thickBot="1"/>
    <row r="55" spans="2:25" ht="13.5" thickBot="1">
      <c r="C55" s="42" t="str">
        <f>B2&amp;" - "&amp;B3</f>
        <v>2019 IRP Utah North Solar with Storage - 30% Capacity Factor</v>
      </c>
      <c r="D55" s="142"/>
      <c r="E55" s="142"/>
      <c r="F55" s="142"/>
      <c r="G55" s="142"/>
      <c r="H55" s="142"/>
      <c r="I55" s="143"/>
      <c r="J55" s="143"/>
      <c r="K55" s="144"/>
    </row>
    <row r="56" spans="2:25" ht="13.5" thickBot="1">
      <c r="C56" s="145" t="s">
        <v>66</v>
      </c>
      <c r="D56" s="146" t="s">
        <v>67</v>
      </c>
      <c r="E56" s="146"/>
      <c r="F56" s="146"/>
      <c r="G56" s="146"/>
      <c r="H56" s="146"/>
      <c r="I56" s="143"/>
      <c r="J56" s="143"/>
      <c r="K56" s="144"/>
    </row>
    <row r="57" spans="2:25">
      <c r="P57" s="117" t="s">
        <v>103</v>
      </c>
      <c r="Q57" s="262">
        <v>2024</v>
      </c>
    </row>
    <row r="58" spans="2:25">
      <c r="B58" s="85" t="s">
        <v>101</v>
      </c>
      <c r="C58" s="170">
        <v>1608.8221683005897</v>
      </c>
      <c r="D58" s="117" t="s">
        <v>65</v>
      </c>
      <c r="O58" s="270">
        <v>342.2</v>
      </c>
      <c r="P58" s="117" t="s">
        <v>32</v>
      </c>
      <c r="Q58" s="262" t="s">
        <v>142</v>
      </c>
      <c r="R58" s="262" t="s">
        <v>108</v>
      </c>
      <c r="T58" s="262" t="str">
        <f>$Q$58&amp;"Proposed Station Capital Costs"</f>
        <v>L1.UN1_PVSProposed Station Capital Costs</v>
      </c>
    </row>
    <row r="59" spans="2:25">
      <c r="B59" s="85" t="s">
        <v>101</v>
      </c>
      <c r="C59" s="256">
        <v>24.570618817436728</v>
      </c>
      <c r="D59" s="117" t="s">
        <v>68</v>
      </c>
      <c r="R59" s="119"/>
      <c r="T59" s="262" t="str">
        <f>$Q$58&amp;"Proposed Station Fixed Costs"</f>
        <v>L1.UN1_PVSProposed Station Fixed Costs</v>
      </c>
    </row>
    <row r="60" spans="2:25" ht="24" customHeight="1">
      <c r="B60" s="85"/>
      <c r="C60" s="258"/>
      <c r="D60" s="117" t="s">
        <v>105</v>
      </c>
      <c r="Q60" s="334" t="str">
        <f>Q58&amp;Q57</f>
        <v>L1.UN1_PVS2024</v>
      </c>
      <c r="T60" s="262" t="str">
        <f>$Q$58&amp;"Proposed Station Variable O&amp;M Costs"</f>
        <v>L1.UN1_PVSProposed Station Variable O&amp;M Costs</v>
      </c>
    </row>
    <row r="61" spans="2:25">
      <c r="B61" s="85" t="s">
        <v>101</v>
      </c>
      <c r="C61" s="256">
        <v>0</v>
      </c>
      <c r="D61" s="117" t="s">
        <v>69</v>
      </c>
      <c r="K61" s="119"/>
      <c r="L61" s="149"/>
      <c r="M61" s="52"/>
      <c r="N61" s="163"/>
      <c r="O61" s="52"/>
      <c r="P61" s="52"/>
      <c r="Q61" s="119" t="s">
        <v>263</v>
      </c>
      <c r="R61" s="119"/>
      <c r="T61" s="119"/>
      <c r="U61" s="119"/>
      <c r="V61" s="119"/>
      <c r="W61" s="119"/>
      <c r="X61" s="119"/>
      <c r="Y61" s="119"/>
    </row>
    <row r="62" spans="2:25">
      <c r="B62" s="85"/>
      <c r="C62" s="158"/>
      <c r="D62" s="117" t="s">
        <v>70</v>
      </c>
      <c r="I62" s="184" t="s">
        <v>91</v>
      </c>
      <c r="L62" s="151"/>
      <c r="M62" s="152"/>
      <c r="O62" s="150"/>
      <c r="P62" s="119"/>
      <c r="Q62" s="119"/>
      <c r="R62" s="119"/>
      <c r="T62" s="119"/>
      <c r="U62" s="119"/>
      <c r="V62" s="119"/>
      <c r="W62" s="119"/>
      <c r="X62" s="119"/>
      <c r="Y62" s="119"/>
    </row>
    <row r="63" spans="2:25">
      <c r="B63" s="357" t="str">
        <f>LEFT(RIGHT(INDEX('Table 3 TransCost'!$39:$39,1,MATCH(F63,'Table 3 TransCost'!$4:$4,0)),6),5)</f>
        <v>2024$</v>
      </c>
      <c r="C63" s="258">
        <f>INDEX('Table 3 TransCost'!$39:$39,1,MATCH(F63,'Table 3 TransCost'!$4:$4,0)+2)</f>
        <v>2.5818101631996475</v>
      </c>
      <c r="D63" s="117" t="s">
        <v>218</v>
      </c>
      <c r="F63" s="262" t="s">
        <v>182</v>
      </c>
      <c r="K63" s="151"/>
      <c r="L63" s="151"/>
      <c r="M63" s="151"/>
      <c r="N63" s="164"/>
      <c r="O63" s="150"/>
      <c r="P63" s="119"/>
      <c r="Q63" s="119"/>
      <c r="R63" s="119"/>
      <c r="T63" s="119"/>
      <c r="U63" s="119"/>
      <c r="V63" s="119"/>
      <c r="W63" s="119"/>
      <c r="X63" s="119"/>
      <c r="Y63" s="119"/>
    </row>
    <row r="64" spans="2:25">
      <c r="B64" s="85"/>
      <c r="C64" s="187"/>
      <c r="K64" s="151"/>
      <c r="L64" s="151"/>
      <c r="M64" s="151"/>
      <c r="N64" s="164"/>
      <c r="O64" s="151"/>
      <c r="R64" s="119"/>
      <c r="T64" s="119"/>
      <c r="U64" s="119"/>
      <c r="V64" s="119"/>
      <c r="W64" s="119"/>
      <c r="X64" s="119"/>
      <c r="Y64" s="119"/>
    </row>
    <row r="65" spans="3:15">
      <c r="C65" s="257">
        <v>5.0849999999999999E-2</v>
      </c>
      <c r="D65" s="117" t="s">
        <v>36</v>
      </c>
      <c r="E65" s="117" t="s">
        <v>109</v>
      </c>
      <c r="K65" s="155"/>
      <c r="L65" s="156"/>
      <c r="M65" s="156"/>
      <c r="O65" s="157"/>
    </row>
    <row r="66" spans="3:15">
      <c r="C66" s="195">
        <v>0.30099999999999999</v>
      </c>
      <c r="D66" s="117" t="s">
        <v>37</v>
      </c>
    </row>
    <row r="67" spans="3:15" ht="13.5" thickBot="1">
      <c r="D67" s="154"/>
    </row>
    <row r="68" spans="3:15" ht="13.5" thickBot="1">
      <c r="C68" s="40" t="str">
        <f>"Company Official Inflation Forecast Dated "&amp;TEXT('Table 4'!$H$5,"mmmm dd, yyyy")</f>
        <v>Company Official Inflation Forecast Dated December 31, 2020</v>
      </c>
      <c r="D68" s="142"/>
      <c r="E68" s="142"/>
      <c r="F68" s="142"/>
      <c r="G68" s="142"/>
      <c r="H68" s="142"/>
      <c r="I68" s="142"/>
      <c r="J68" s="142"/>
      <c r="K68" s="144"/>
    </row>
    <row r="69" spans="3:15">
      <c r="C69" s="87">
        <v>2017</v>
      </c>
      <c r="D69" s="41">
        <v>0.02</v>
      </c>
      <c r="E69" s="85"/>
      <c r="F69" s="87">
        <f>C77+1</f>
        <v>2026</v>
      </c>
      <c r="G69" s="41">
        <v>2.1999999999999999E-2</v>
      </c>
      <c r="H69" s="41"/>
      <c r="I69" s="87">
        <f>F77+1</f>
        <v>2035</v>
      </c>
      <c r="J69" s="41">
        <v>2.3E-2</v>
      </c>
    </row>
    <row r="70" spans="3:15">
      <c r="C70" s="87">
        <f t="shared" ref="C70:C77" si="24">C69+1</f>
        <v>2018</v>
      </c>
      <c r="D70" s="41">
        <v>2.4E-2</v>
      </c>
      <c r="E70" s="85"/>
      <c r="F70" s="87">
        <f t="shared" ref="F70:F77" si="25">F69+1</f>
        <v>2027</v>
      </c>
      <c r="G70" s="41">
        <v>2.3E-2</v>
      </c>
      <c r="H70" s="41"/>
      <c r="I70" s="87">
        <f>I69+1</f>
        <v>2036</v>
      </c>
      <c r="J70" s="41">
        <v>2.3E-2</v>
      </c>
    </row>
    <row r="71" spans="3:15">
      <c r="C71" s="87">
        <f t="shared" si="24"/>
        <v>2019</v>
      </c>
      <c r="D71" s="41">
        <v>1.7999999999999999E-2</v>
      </c>
      <c r="E71" s="85"/>
      <c r="F71" s="87">
        <f t="shared" si="25"/>
        <v>2028</v>
      </c>
      <c r="G71" s="41">
        <v>2.3E-2</v>
      </c>
      <c r="H71" s="41"/>
      <c r="I71" s="87">
        <f t="shared" ref="I71:I81" si="26">I70+1</f>
        <v>2037</v>
      </c>
      <c r="J71" s="41">
        <v>2.3E-2</v>
      </c>
    </row>
    <row r="72" spans="3:15">
      <c r="C72" s="87">
        <f t="shared" si="24"/>
        <v>2020</v>
      </c>
      <c r="D72" s="41">
        <v>1.2E-2</v>
      </c>
      <c r="E72" s="85"/>
      <c r="F72" s="87">
        <f t="shared" si="25"/>
        <v>2029</v>
      </c>
      <c r="G72" s="41">
        <v>2.3E-2</v>
      </c>
      <c r="H72" s="41"/>
      <c r="I72" s="87">
        <f t="shared" si="26"/>
        <v>2038</v>
      </c>
      <c r="J72" s="41">
        <v>2.3E-2</v>
      </c>
    </row>
    <row r="73" spans="3:15">
      <c r="C73" s="87">
        <f t="shared" si="24"/>
        <v>2021</v>
      </c>
      <c r="D73" s="41">
        <v>1.9E-2</v>
      </c>
      <c r="E73" s="85"/>
      <c r="F73" s="87">
        <f t="shared" si="25"/>
        <v>2030</v>
      </c>
      <c r="G73" s="41">
        <v>2.3E-2</v>
      </c>
      <c r="H73" s="41"/>
      <c r="I73" s="87">
        <f t="shared" si="26"/>
        <v>2039</v>
      </c>
      <c r="J73" s="41">
        <v>2.3E-2</v>
      </c>
    </row>
    <row r="74" spans="3:15">
      <c r="C74" s="87">
        <f t="shared" si="24"/>
        <v>2022</v>
      </c>
      <c r="D74" s="41">
        <v>2.1999999999999999E-2</v>
      </c>
      <c r="E74" s="85"/>
      <c r="F74" s="87">
        <f t="shared" si="25"/>
        <v>2031</v>
      </c>
      <c r="G74" s="41">
        <v>2.3E-2</v>
      </c>
      <c r="H74" s="41"/>
      <c r="I74" s="87">
        <f t="shared" si="26"/>
        <v>2040</v>
      </c>
      <c r="J74" s="41">
        <v>2.3E-2</v>
      </c>
    </row>
    <row r="75" spans="3:15" s="119" customFormat="1">
      <c r="C75" s="87">
        <f t="shared" si="24"/>
        <v>2023</v>
      </c>
      <c r="D75" s="41">
        <v>0.02</v>
      </c>
      <c r="E75" s="86"/>
      <c r="F75" s="87">
        <f t="shared" si="25"/>
        <v>2032</v>
      </c>
      <c r="G75" s="41">
        <v>2.3E-2</v>
      </c>
      <c r="H75" s="41"/>
      <c r="I75" s="87">
        <f t="shared" si="26"/>
        <v>2041</v>
      </c>
      <c r="J75" s="41">
        <v>2.3E-2</v>
      </c>
      <c r="N75" s="164"/>
    </row>
    <row r="76" spans="3:15" s="119" customFormat="1">
      <c r="C76" s="87">
        <f t="shared" si="24"/>
        <v>2024</v>
      </c>
      <c r="D76" s="41">
        <v>0.02</v>
      </c>
      <c r="E76" s="86"/>
      <c r="F76" s="87">
        <f t="shared" si="25"/>
        <v>2033</v>
      </c>
      <c r="G76" s="41">
        <v>2.3E-2</v>
      </c>
      <c r="H76" s="41"/>
      <c r="I76" s="87">
        <f t="shared" si="26"/>
        <v>2042</v>
      </c>
      <c r="J76" s="41">
        <v>2.3E-2</v>
      </c>
      <c r="N76" s="164"/>
    </row>
    <row r="77" spans="3:15" s="119" customFormat="1">
      <c r="C77" s="87">
        <f t="shared" si="24"/>
        <v>2025</v>
      </c>
      <c r="D77" s="41">
        <v>2.1000000000000001E-2</v>
      </c>
      <c r="E77" s="86"/>
      <c r="F77" s="87">
        <f t="shared" si="25"/>
        <v>2034</v>
      </c>
      <c r="G77" s="41">
        <v>2.3E-2</v>
      </c>
      <c r="H77" s="41"/>
      <c r="I77" s="87">
        <f t="shared" si="26"/>
        <v>2043</v>
      </c>
      <c r="J77" s="41">
        <v>2.4E-2</v>
      </c>
      <c r="N77" s="164"/>
    </row>
    <row r="78" spans="3:15" s="119" customFormat="1">
      <c r="I78" s="87">
        <f t="shared" si="26"/>
        <v>2044</v>
      </c>
      <c r="J78" s="41">
        <v>2.4E-2</v>
      </c>
      <c r="N78" s="164"/>
    </row>
    <row r="79" spans="3:15" s="119" customFormat="1">
      <c r="I79" s="87">
        <f t="shared" si="26"/>
        <v>2045</v>
      </c>
      <c r="J79" s="41">
        <v>2.4E-2</v>
      </c>
      <c r="N79" s="164"/>
    </row>
    <row r="80" spans="3:15">
      <c r="I80" s="87">
        <f t="shared" si="26"/>
        <v>2046</v>
      </c>
      <c r="J80" s="41">
        <v>2.4E-2</v>
      </c>
    </row>
    <row r="81" spans="3:10">
      <c r="I81" s="87">
        <f t="shared" si="26"/>
        <v>2047</v>
      </c>
      <c r="J81" s="41">
        <v>2.4E-2</v>
      </c>
    </row>
    <row r="82" spans="3:10">
      <c r="I82" s="87"/>
      <c r="J82" s="41"/>
    </row>
    <row r="83" spans="3:10">
      <c r="I83" s="87"/>
      <c r="J83" s="41"/>
    </row>
    <row r="84" spans="3:10">
      <c r="I84" s="87"/>
      <c r="J84" s="41"/>
    </row>
    <row r="85" spans="3:10">
      <c r="I85" s="87"/>
      <c r="J85" s="41"/>
    </row>
    <row r="96" spans="3:10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  <row r="103" spans="3:4">
      <c r="C103" s="150"/>
      <c r="D103" s="154"/>
    </row>
    <row r="104" spans="3:4">
      <c r="C104" s="150"/>
      <c r="D104" s="154"/>
    </row>
    <row r="105" spans="3:4">
      <c r="C105" s="150"/>
      <c r="D105" s="154"/>
    </row>
  </sheetData>
  <printOptions horizontalCentered="1"/>
  <pageMargins left="0.8" right="0.3" top="0.4" bottom="0.4" header="0.5" footer="0.2"/>
  <pageSetup scale="52" orientation="landscape" r:id="rId1"/>
  <headerFooter alignWithMargins="0"/>
  <rowBreaks count="1" manualBreakCount="1">
    <brk id="54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E93"/>
  <sheetViews>
    <sheetView topLeftCell="A5" zoomScale="80" zoomScaleNormal="80" workbookViewId="0">
      <selection activeCell="I25" sqref="I25"/>
    </sheetView>
  </sheetViews>
  <sheetFormatPr defaultColWidth="9.33203125" defaultRowHeight="12.75"/>
  <cols>
    <col min="1" max="1" width="2.83203125" style="85" customWidth="1"/>
    <col min="2" max="2" width="10.83203125" style="85" customWidth="1"/>
    <col min="3" max="3" width="14.1640625" style="85" customWidth="1"/>
    <col min="4" max="4" width="12.33203125" style="85" customWidth="1"/>
    <col min="5" max="5" width="10" style="85" customWidth="1"/>
    <col min="6" max="6" width="10.5" style="85" customWidth="1"/>
    <col min="7" max="7" width="10.5" style="85" bestFit="1" customWidth="1"/>
    <col min="8" max="8" width="11.6640625" style="85" bestFit="1" customWidth="1"/>
    <col min="9" max="9" width="11.1640625" style="85" customWidth="1"/>
    <col min="10" max="10" width="12" style="85" bestFit="1" customWidth="1"/>
    <col min="11" max="11" width="14.1640625" style="85" customWidth="1"/>
    <col min="12" max="12" width="14.33203125" style="85" customWidth="1"/>
    <col min="13" max="13" width="9.33203125" style="85"/>
    <col min="14" max="14" width="9.33203125" style="85" customWidth="1"/>
    <col min="15" max="20" width="11.33203125" style="85" customWidth="1"/>
    <col min="21" max="21" width="10.33203125" style="85" customWidth="1"/>
    <col min="22" max="22" width="12" style="85" customWidth="1"/>
    <col min="23" max="23" width="11.5" style="85" customWidth="1"/>
    <col min="24" max="25" width="9.33203125" style="85"/>
    <col min="26" max="26" width="13.6640625" style="85" customWidth="1"/>
    <col min="27" max="27" width="9.33203125" style="85"/>
    <col min="28" max="29" width="9.33203125" style="117"/>
    <col min="30" max="16384" width="9.33203125" style="85"/>
  </cols>
  <sheetData>
    <row r="1" spans="2:31" ht="15.75" hidden="1">
      <c r="B1" s="1" t="s">
        <v>35</v>
      </c>
      <c r="C1" s="271"/>
      <c r="D1" s="271"/>
      <c r="E1" s="271"/>
      <c r="F1" s="271"/>
      <c r="G1" s="271"/>
      <c r="H1" s="271"/>
      <c r="I1" s="271"/>
      <c r="J1" s="271"/>
      <c r="K1" s="271"/>
    </row>
    <row r="2" spans="2:31" ht="15.75">
      <c r="B2" s="1"/>
      <c r="C2" s="271"/>
      <c r="D2" s="271"/>
      <c r="E2" s="271"/>
      <c r="F2" s="271"/>
      <c r="G2" s="271"/>
      <c r="H2" s="271"/>
      <c r="I2" s="271"/>
      <c r="J2" s="271"/>
      <c r="K2" s="271"/>
    </row>
    <row r="3" spans="2:31" ht="15.75">
      <c r="B3" s="1" t="s">
        <v>56</v>
      </c>
      <c r="C3" s="271"/>
      <c r="D3" s="271"/>
      <c r="E3" s="271"/>
      <c r="F3" s="271"/>
      <c r="G3" s="271"/>
      <c r="H3" s="271"/>
      <c r="I3" s="271"/>
      <c r="J3" s="271"/>
      <c r="K3" s="271"/>
      <c r="U3" s="117"/>
      <c r="V3" s="117"/>
      <c r="W3" s="117"/>
      <c r="X3" s="117"/>
      <c r="Y3" s="117"/>
      <c r="Z3" s="117"/>
      <c r="AA3" s="117"/>
    </row>
    <row r="4" spans="2:31" ht="15.75">
      <c r="B4" s="1" t="s">
        <v>138</v>
      </c>
      <c r="C4" s="271"/>
      <c r="D4" s="271"/>
      <c r="E4" s="271"/>
      <c r="F4" s="271"/>
      <c r="G4" s="271"/>
      <c r="H4" s="271"/>
      <c r="I4" s="271"/>
      <c r="J4" s="271"/>
      <c r="K4" s="271"/>
      <c r="U4" s="117"/>
      <c r="V4" s="117"/>
      <c r="W4" s="117"/>
      <c r="X4" s="117"/>
      <c r="Y4" s="117"/>
      <c r="Z4" s="117"/>
      <c r="AA4" s="117"/>
    </row>
    <row r="5" spans="2:31" ht="15.75">
      <c r="B5" s="1" t="str">
        <f>C52</f>
        <v>Naughton - 185 MW - SCCT Frame "F" x1 - East Side Resource (6,050')</v>
      </c>
      <c r="C5" s="271"/>
      <c r="D5" s="271"/>
      <c r="E5" s="271"/>
      <c r="F5" s="271"/>
      <c r="G5" s="271"/>
      <c r="H5" s="271"/>
      <c r="I5" s="271"/>
      <c r="J5" s="271"/>
      <c r="K5" s="271"/>
    </row>
    <row r="6" spans="2:31" ht="15.75">
      <c r="B6" s="1"/>
      <c r="C6" s="271"/>
      <c r="D6" s="271"/>
      <c r="E6" s="271"/>
      <c r="F6" s="271"/>
      <c r="G6" s="271"/>
      <c r="H6" s="271"/>
      <c r="I6" s="271"/>
      <c r="K6" s="272"/>
    </row>
    <row r="7" spans="2:31">
      <c r="B7" s="273"/>
      <c r="C7" s="273"/>
      <c r="D7" s="273"/>
      <c r="E7" s="273"/>
      <c r="F7" s="273"/>
      <c r="G7" s="273"/>
      <c r="H7" s="273"/>
      <c r="I7" s="271"/>
      <c r="J7" s="86"/>
      <c r="K7" s="86"/>
      <c r="L7" s="86"/>
      <c r="M7" s="86"/>
      <c r="N7" s="86"/>
      <c r="U7" s="119"/>
      <c r="V7" s="119"/>
      <c r="W7" s="119"/>
      <c r="X7" s="119"/>
      <c r="Y7" s="119"/>
      <c r="Z7" s="119"/>
      <c r="AA7" s="119"/>
      <c r="AB7" s="119"/>
      <c r="AC7" s="119"/>
      <c r="AD7" s="86"/>
      <c r="AE7" s="86"/>
    </row>
    <row r="8" spans="2:31" ht="51.75" customHeight="1">
      <c r="B8" s="16" t="s">
        <v>0</v>
      </c>
      <c r="C8" s="17" t="s">
        <v>10</v>
      </c>
      <c r="D8" s="17" t="s">
        <v>11</v>
      </c>
      <c r="E8" s="17" t="s">
        <v>12</v>
      </c>
      <c r="F8" s="17" t="s">
        <v>13</v>
      </c>
      <c r="G8" s="17" t="s">
        <v>113</v>
      </c>
      <c r="H8" s="17" t="s">
        <v>114</v>
      </c>
      <c r="I8" s="274" t="s">
        <v>21</v>
      </c>
      <c r="J8" s="274" t="s">
        <v>115</v>
      </c>
      <c r="K8" s="17" t="s">
        <v>52</v>
      </c>
      <c r="L8" s="121" t="s">
        <v>224</v>
      </c>
      <c r="U8" s="119"/>
      <c r="V8" s="119"/>
      <c r="W8" s="119"/>
      <c r="X8" s="119"/>
      <c r="Y8" s="119"/>
      <c r="Z8" s="119"/>
      <c r="AA8" s="119"/>
      <c r="AB8" s="119"/>
      <c r="AC8" s="119"/>
      <c r="AD8" s="86"/>
      <c r="AE8" s="86"/>
    </row>
    <row r="9" spans="2:31" ht="48" customHeight="1">
      <c r="B9" s="275"/>
      <c r="C9" s="18" t="s">
        <v>8</v>
      </c>
      <c r="D9" s="19" t="s">
        <v>9</v>
      </c>
      <c r="E9" s="19" t="s">
        <v>9</v>
      </c>
      <c r="F9" s="18" t="s">
        <v>31</v>
      </c>
      <c r="G9" s="19" t="s">
        <v>9</v>
      </c>
      <c r="H9" s="19" t="s">
        <v>9</v>
      </c>
      <c r="I9" s="19" t="s">
        <v>116</v>
      </c>
      <c r="J9" s="18" t="s">
        <v>31</v>
      </c>
      <c r="K9" s="18" t="s">
        <v>31</v>
      </c>
      <c r="L9" s="124" t="s">
        <v>9</v>
      </c>
      <c r="U9" s="119"/>
      <c r="V9" s="119"/>
      <c r="W9" s="119"/>
      <c r="X9" s="119"/>
      <c r="Y9" s="119"/>
      <c r="Z9" s="369"/>
      <c r="AA9" s="369"/>
      <c r="AB9" s="119"/>
      <c r="AC9" s="119"/>
      <c r="AD9" s="86"/>
      <c r="AE9" s="86"/>
    </row>
    <row r="10" spans="2:31">
      <c r="C10" s="276" t="s">
        <v>1</v>
      </c>
      <c r="D10" s="276" t="s">
        <v>2</v>
      </c>
      <c r="E10" s="276" t="s">
        <v>3</v>
      </c>
      <c r="F10" s="276" t="s">
        <v>4</v>
      </c>
      <c r="G10" s="276" t="s">
        <v>5</v>
      </c>
      <c r="H10" s="276" t="s">
        <v>7</v>
      </c>
      <c r="I10" s="276" t="s">
        <v>22</v>
      </c>
      <c r="J10" s="276" t="s">
        <v>23</v>
      </c>
      <c r="K10" s="276" t="s">
        <v>24</v>
      </c>
      <c r="L10" s="125" t="s">
        <v>24</v>
      </c>
      <c r="U10" s="119"/>
      <c r="V10" s="119"/>
      <c r="W10" s="119"/>
      <c r="X10" s="119"/>
      <c r="Y10" s="119"/>
      <c r="Z10" s="119"/>
      <c r="AA10" s="119"/>
      <c r="AB10" s="119"/>
      <c r="AC10" s="119"/>
      <c r="AD10" s="86"/>
      <c r="AE10" s="86"/>
    </row>
    <row r="11" spans="2:31" ht="6" customHeight="1">
      <c r="L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86"/>
      <c r="AE11" s="86"/>
    </row>
    <row r="12" spans="2:31" ht="15.75">
      <c r="B12" s="43" t="str">
        <f>C52</f>
        <v>Naughton - 185 MW - SCCT Frame "F" x1 - East Side Resource (6,050')</v>
      </c>
      <c r="C12" s="86"/>
      <c r="E12" s="86"/>
      <c r="F12" s="86"/>
      <c r="G12" s="86"/>
      <c r="H12" s="86"/>
      <c r="I12" s="273"/>
      <c r="J12" s="273"/>
      <c r="K12" s="273"/>
      <c r="L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86"/>
      <c r="AE12" s="86"/>
    </row>
    <row r="13" spans="2:31" ht="18.75" customHeight="1">
      <c r="B13" s="277"/>
      <c r="C13" s="278"/>
      <c r="D13" s="279"/>
      <c r="E13" s="280"/>
      <c r="F13" s="280"/>
      <c r="G13" s="281"/>
      <c r="H13" s="281"/>
      <c r="I13" s="281"/>
      <c r="J13" s="281"/>
      <c r="K13" s="281"/>
      <c r="L13" s="128"/>
      <c r="U13" s="164"/>
      <c r="V13" s="160"/>
      <c r="W13" s="160"/>
      <c r="X13" s="160"/>
      <c r="Y13" s="119"/>
      <c r="Z13" s="160"/>
      <c r="AA13" s="160"/>
      <c r="AB13" s="119"/>
      <c r="AC13" s="119"/>
      <c r="AD13" s="86"/>
      <c r="AE13" s="86"/>
    </row>
    <row r="14" spans="2:31">
      <c r="B14" s="277">
        <v>2016</v>
      </c>
      <c r="C14" s="278"/>
      <c r="D14" s="279"/>
      <c r="E14" s="280"/>
      <c r="F14" s="280"/>
      <c r="G14" s="281"/>
      <c r="H14" s="281"/>
      <c r="I14" s="281"/>
      <c r="J14" s="281"/>
      <c r="K14" s="281"/>
      <c r="L14" s="128"/>
      <c r="U14" s="119"/>
      <c r="V14" s="119"/>
      <c r="W14" s="160"/>
      <c r="X14" s="160"/>
      <c r="Y14" s="119"/>
      <c r="Z14" s="160"/>
      <c r="AA14" s="160"/>
      <c r="AB14" s="119"/>
      <c r="AC14" s="119"/>
      <c r="AD14" s="86"/>
      <c r="AE14" s="86"/>
    </row>
    <row r="15" spans="2:31">
      <c r="B15" s="277">
        <f t="shared" ref="B15:B40" si="0">B14+1</f>
        <v>2017</v>
      </c>
      <c r="C15" s="282"/>
      <c r="D15" s="279"/>
      <c r="E15" s="279"/>
      <c r="F15" s="279"/>
      <c r="G15" s="283"/>
      <c r="H15" s="283"/>
      <c r="I15" s="281"/>
      <c r="J15" s="281"/>
      <c r="K15" s="281"/>
      <c r="L15" s="128">
        <f>(E15+F15+G15)</f>
        <v>0</v>
      </c>
      <c r="M15" s="41"/>
      <c r="U15" s="119"/>
      <c r="V15" s="119"/>
      <c r="W15" s="160"/>
      <c r="X15" s="160"/>
      <c r="Y15" s="119"/>
      <c r="Z15" s="160"/>
      <c r="AA15" s="160"/>
      <c r="AB15" s="119"/>
      <c r="AC15" s="119"/>
      <c r="AD15" s="86"/>
      <c r="AE15" s="86"/>
    </row>
    <row r="16" spans="2:31">
      <c r="B16" s="277">
        <f t="shared" si="0"/>
        <v>2018</v>
      </c>
      <c r="C16" s="278"/>
      <c r="D16" s="279"/>
      <c r="E16" s="128"/>
      <c r="F16" s="280">
        <f>$J$63</f>
        <v>7.76</v>
      </c>
      <c r="G16" s="281"/>
      <c r="H16" s="281"/>
      <c r="I16" s="281"/>
      <c r="J16" s="281"/>
      <c r="K16" s="281"/>
      <c r="L16" s="128">
        <f t="shared" ref="L16:L40" si="1">(E16+F16+G16)</f>
        <v>7.76</v>
      </c>
      <c r="M16" s="41"/>
      <c r="U16" s="164"/>
      <c r="V16" s="160"/>
      <c r="W16" s="160"/>
      <c r="X16" s="370"/>
      <c r="Y16" s="119"/>
      <c r="Z16" s="160"/>
      <c r="AA16" s="160"/>
      <c r="AB16" s="119"/>
      <c r="AC16" s="119"/>
      <c r="AD16" s="86"/>
      <c r="AE16" s="86"/>
    </row>
    <row r="17" spans="2:31">
      <c r="B17" s="277">
        <f t="shared" si="0"/>
        <v>2019</v>
      </c>
      <c r="C17" s="282"/>
      <c r="D17" s="128"/>
      <c r="E17" s="128"/>
      <c r="F17" s="128">
        <f t="shared" ref="F17:F36" si="2">ROUND(F16*(1+(IFERROR(INDEX($D$81:$D$89,MATCH($B17,$C$81:$C$89,0),1),0)+IFERROR(INDEX($G$81:$G$89,MATCH($B17,$F$81:$F$89,0),1),0)+IFERROR(INDEX($J$81:$J$89,MATCH($B17,$I$81:$I$89,0),1),0))),2)</f>
        <v>7.9</v>
      </c>
      <c r="G17" s="281"/>
      <c r="H17" s="281"/>
      <c r="I17" s="281"/>
      <c r="J17" s="281"/>
      <c r="K17" s="281"/>
      <c r="L17" s="128">
        <f t="shared" si="1"/>
        <v>7.9</v>
      </c>
      <c r="M17" s="41"/>
      <c r="U17" s="164"/>
      <c r="V17" s="119"/>
      <c r="W17" s="160"/>
      <c r="X17" s="370"/>
      <c r="Y17" s="119"/>
      <c r="Z17" s="160"/>
      <c r="AA17" s="160"/>
      <c r="AB17" s="119"/>
      <c r="AC17" s="119"/>
      <c r="AD17" s="86"/>
      <c r="AE17" s="86"/>
    </row>
    <row r="18" spans="2:31">
      <c r="B18" s="277">
        <f t="shared" si="0"/>
        <v>2020</v>
      </c>
      <c r="C18" s="282"/>
      <c r="D18" s="128"/>
      <c r="E18" s="128"/>
      <c r="F18" s="128">
        <f t="shared" si="2"/>
        <v>7.99</v>
      </c>
      <c r="G18" s="281"/>
      <c r="H18" s="281"/>
      <c r="I18" s="281"/>
      <c r="J18" s="281"/>
      <c r="K18" s="281"/>
      <c r="L18" s="128">
        <f t="shared" si="1"/>
        <v>7.99</v>
      </c>
      <c r="M18" s="41"/>
      <c r="U18" s="164"/>
      <c r="V18" s="119"/>
      <c r="W18" s="160"/>
      <c r="X18" s="370"/>
      <c r="Y18" s="119"/>
      <c r="Z18" s="160"/>
      <c r="AA18" s="160"/>
      <c r="AB18" s="119"/>
      <c r="AC18" s="119"/>
      <c r="AD18" s="86"/>
      <c r="AE18" s="86"/>
    </row>
    <row r="19" spans="2:31">
      <c r="B19" s="277">
        <f t="shared" si="0"/>
        <v>2021</v>
      </c>
      <c r="C19" s="282"/>
      <c r="D19" s="128"/>
      <c r="E19" s="128"/>
      <c r="F19" s="128">
        <f t="shared" si="2"/>
        <v>8.14</v>
      </c>
      <c r="G19" s="281"/>
      <c r="H19" s="281"/>
      <c r="I19" s="281"/>
      <c r="J19" s="281"/>
      <c r="K19" s="281"/>
      <c r="L19" s="128">
        <f t="shared" si="1"/>
        <v>8.14</v>
      </c>
      <c r="M19" s="41"/>
      <c r="U19" s="164"/>
      <c r="V19" s="160"/>
      <c r="W19" s="160"/>
      <c r="X19" s="370"/>
      <c r="Y19" s="160"/>
      <c r="Z19" s="160"/>
      <c r="AA19" s="160"/>
      <c r="AB19" s="119"/>
      <c r="AC19" s="119"/>
      <c r="AD19" s="86"/>
      <c r="AE19" s="86"/>
    </row>
    <row r="20" spans="2:31">
      <c r="B20" s="277">
        <f t="shared" si="0"/>
        <v>2022</v>
      </c>
      <c r="C20" s="282"/>
      <c r="D20" s="128"/>
      <c r="E20" s="128"/>
      <c r="F20" s="128">
        <f t="shared" si="2"/>
        <v>8.32</v>
      </c>
      <c r="G20" s="281"/>
      <c r="H20" s="281"/>
      <c r="I20" s="281"/>
      <c r="J20" s="281"/>
      <c r="K20" s="281"/>
      <c r="L20" s="128">
        <f t="shared" si="1"/>
        <v>8.32</v>
      </c>
      <c r="M20" s="41"/>
      <c r="U20" s="164"/>
      <c r="V20" s="160"/>
      <c r="W20" s="160"/>
      <c r="X20" s="370"/>
      <c r="Y20" s="160"/>
      <c r="Z20" s="160"/>
      <c r="AA20" s="160"/>
      <c r="AB20" s="119"/>
      <c r="AC20" s="119"/>
      <c r="AD20" s="86"/>
      <c r="AE20" s="86"/>
    </row>
    <row r="21" spans="2:31">
      <c r="B21" s="277">
        <f t="shared" si="0"/>
        <v>2023</v>
      </c>
      <c r="C21" s="282"/>
      <c r="D21" s="128"/>
      <c r="E21" s="128"/>
      <c r="F21" s="128">
        <f t="shared" si="2"/>
        <v>8.49</v>
      </c>
      <c r="G21" s="281"/>
      <c r="H21" s="281"/>
      <c r="I21" s="281"/>
      <c r="J21" s="281"/>
      <c r="K21" s="281"/>
      <c r="L21" s="128">
        <f t="shared" si="1"/>
        <v>8.49</v>
      </c>
      <c r="M21" s="41"/>
      <c r="U21" s="164"/>
      <c r="V21" s="160"/>
      <c r="W21" s="160"/>
      <c r="X21" s="370"/>
      <c r="Y21" s="160"/>
      <c r="Z21" s="160"/>
      <c r="AA21" s="160"/>
      <c r="AB21" s="119"/>
      <c r="AC21" s="119"/>
      <c r="AD21" s="86"/>
      <c r="AE21" s="86"/>
    </row>
    <row r="22" spans="2:31">
      <c r="B22" s="277">
        <f t="shared" si="0"/>
        <v>2024</v>
      </c>
      <c r="C22" s="282"/>
      <c r="D22" s="128"/>
      <c r="E22" s="128"/>
      <c r="F22" s="128">
        <f t="shared" si="2"/>
        <v>8.66</v>
      </c>
      <c r="G22" s="281"/>
      <c r="H22" s="281"/>
      <c r="I22" s="281"/>
      <c r="J22" s="281"/>
      <c r="K22" s="281"/>
      <c r="L22" s="128">
        <f t="shared" si="1"/>
        <v>8.66</v>
      </c>
      <c r="M22" s="41"/>
      <c r="U22" s="164"/>
      <c r="V22" s="160"/>
      <c r="W22" s="160"/>
      <c r="X22" s="370"/>
      <c r="Y22" s="160"/>
      <c r="Z22" s="160"/>
      <c r="AA22" s="160"/>
      <c r="AB22" s="119"/>
      <c r="AC22" s="119"/>
      <c r="AD22" s="86"/>
      <c r="AE22" s="86"/>
    </row>
    <row r="23" spans="2:31">
      <c r="B23" s="277">
        <f t="shared" si="0"/>
        <v>2025</v>
      </c>
      <c r="C23" s="282"/>
      <c r="D23" s="128"/>
      <c r="E23" s="128"/>
      <c r="F23" s="128">
        <f t="shared" si="2"/>
        <v>8.84</v>
      </c>
      <c r="G23" s="281"/>
      <c r="H23" s="281"/>
      <c r="I23" s="281"/>
      <c r="J23" s="281"/>
      <c r="K23" s="281"/>
      <c r="L23" s="128">
        <f t="shared" si="1"/>
        <v>8.84</v>
      </c>
      <c r="M23" s="41"/>
      <c r="U23" s="164"/>
      <c r="V23" s="160"/>
      <c r="W23" s="160"/>
      <c r="X23" s="370"/>
      <c r="Y23" s="160"/>
      <c r="Z23" s="160"/>
      <c r="AA23" s="160"/>
      <c r="AB23" s="119"/>
      <c r="AC23" s="119"/>
      <c r="AD23" s="86"/>
      <c r="AE23" s="86"/>
    </row>
    <row r="24" spans="2:31">
      <c r="B24" s="277">
        <f t="shared" si="0"/>
        <v>2026</v>
      </c>
      <c r="C24" s="335">
        <v>718.66414277988076</v>
      </c>
      <c r="D24" s="279">
        <f>ROUND(C24*$C$74,2)</f>
        <v>50.01</v>
      </c>
      <c r="E24" s="256">
        <v>38.05330989724176</v>
      </c>
      <c r="F24" s="128">
        <f t="shared" si="2"/>
        <v>9.0299999999999994</v>
      </c>
      <c r="G24" s="281">
        <f t="shared" ref="G24:G36" si="3">ROUND(F24*(8.76*$G$63)+E24,2)</f>
        <v>64.16</v>
      </c>
      <c r="H24" s="281">
        <f t="shared" ref="H24:H36" si="4">ROUND(D24+G24,2)</f>
        <v>114.17</v>
      </c>
      <c r="I24" s="281">
        <f>VLOOKUP(B24,'Table 4'!$B$13:$D$43,3,FALSE)</f>
        <v>3.59</v>
      </c>
      <c r="J24" s="281">
        <f t="shared" ref="J24:J36" si="5">ROUND($K$63*I24/1000,2)</f>
        <v>35.130000000000003</v>
      </c>
      <c r="K24" s="281">
        <f t="shared" ref="K24:K36" si="6">ROUND(H24*1000/8760/$G$63+J24,2)</f>
        <v>74.62</v>
      </c>
      <c r="L24" s="128">
        <f t="shared" si="1"/>
        <v>111.24330989724176</v>
      </c>
      <c r="M24" s="41"/>
      <c r="U24" s="164"/>
      <c r="V24" s="160"/>
      <c r="W24" s="160"/>
      <c r="X24" s="160"/>
      <c r="Y24" s="160"/>
      <c r="Z24" s="160"/>
      <c r="AA24" s="160"/>
      <c r="AB24" s="119"/>
      <c r="AC24" s="119"/>
      <c r="AD24" s="86"/>
      <c r="AE24" s="86"/>
    </row>
    <row r="25" spans="2:31">
      <c r="B25" s="277">
        <f t="shared" si="0"/>
        <v>2027</v>
      </c>
      <c r="C25" s="282"/>
      <c r="D25" s="128">
        <f t="shared" ref="D25:D36" si="7">ROUND(D24*(1+(IFERROR(INDEX($D$81:$D$89,MATCH($B25,$C$81:$C$89,0),1),0)+IFERROR(INDEX($G$81:$G$89,MATCH($B25,$F$81:$F$89,0),1),0)+IFERROR(INDEX($J$81:$J$89,MATCH($B25,$I$81:$I$89,0),1),0))),2)</f>
        <v>51.16</v>
      </c>
      <c r="E25" s="128">
        <f t="shared" ref="E25:E36" si="8">ROUND(E24*(1+(IFERROR(INDEX($D$81:$D$89,MATCH($B25,$C$81:$C$89,0),1),0)+IFERROR(INDEX($G$81:$G$89,MATCH($B25,$F$81:$F$89,0),1),0)+IFERROR(INDEX($J$81:$J$89,MATCH($B25,$I$81:$I$89,0),1),0))),2)</f>
        <v>38.93</v>
      </c>
      <c r="F25" s="128">
        <f t="shared" si="2"/>
        <v>9.24</v>
      </c>
      <c r="G25" s="281">
        <f t="shared" si="3"/>
        <v>65.64</v>
      </c>
      <c r="H25" s="281">
        <f t="shared" si="4"/>
        <v>116.8</v>
      </c>
      <c r="I25" s="281">
        <f>VLOOKUP(B25,'Table 4'!$B$13:$D$43,3,FALSE)</f>
        <v>3.68</v>
      </c>
      <c r="J25" s="281">
        <f t="shared" si="5"/>
        <v>36.01</v>
      </c>
      <c r="K25" s="281">
        <f t="shared" si="6"/>
        <v>76.41</v>
      </c>
      <c r="L25" s="128">
        <f t="shared" si="1"/>
        <v>113.81</v>
      </c>
      <c r="M25" s="41"/>
      <c r="P25" s="339"/>
      <c r="U25" s="371"/>
      <c r="V25" s="160"/>
      <c r="W25" s="160"/>
      <c r="X25" s="160"/>
      <c r="Y25" s="160"/>
      <c r="Z25" s="160"/>
      <c r="AA25" s="160"/>
      <c r="AB25" s="119"/>
      <c r="AC25" s="119"/>
      <c r="AD25" s="86"/>
      <c r="AE25" s="86"/>
    </row>
    <row r="26" spans="2:31">
      <c r="B26" s="277">
        <f t="shared" si="0"/>
        <v>2028</v>
      </c>
      <c r="C26" s="282"/>
      <c r="D26" s="128">
        <f t="shared" si="7"/>
        <v>52.34</v>
      </c>
      <c r="E26" s="128">
        <f t="shared" si="8"/>
        <v>39.83</v>
      </c>
      <c r="F26" s="128">
        <f t="shared" si="2"/>
        <v>9.4499999999999993</v>
      </c>
      <c r="G26" s="281">
        <f t="shared" si="3"/>
        <v>67.150000000000006</v>
      </c>
      <c r="H26" s="281">
        <f t="shared" si="4"/>
        <v>119.49</v>
      </c>
      <c r="I26" s="281">
        <f>VLOOKUP(B26,'Table 4'!$B$13:$D$43,3,FALSE)</f>
        <v>3.87</v>
      </c>
      <c r="J26" s="281">
        <f t="shared" si="5"/>
        <v>37.869999999999997</v>
      </c>
      <c r="K26" s="281">
        <f t="shared" si="6"/>
        <v>79.2</v>
      </c>
      <c r="L26" s="128">
        <f t="shared" si="1"/>
        <v>116.43</v>
      </c>
      <c r="M26" s="41"/>
      <c r="U26" s="164"/>
      <c r="V26" s="160"/>
      <c r="W26" s="160"/>
      <c r="X26" s="160"/>
      <c r="Y26" s="160"/>
      <c r="Z26" s="160"/>
      <c r="AA26" s="160"/>
      <c r="AB26" s="119"/>
      <c r="AC26" s="119"/>
      <c r="AD26" s="86"/>
      <c r="AE26" s="86"/>
    </row>
    <row r="27" spans="2:31">
      <c r="B27" s="277">
        <f t="shared" si="0"/>
        <v>2029</v>
      </c>
      <c r="C27" s="282"/>
      <c r="D27" s="128">
        <f t="shared" si="7"/>
        <v>53.54</v>
      </c>
      <c r="E27" s="128">
        <f t="shared" si="8"/>
        <v>40.75</v>
      </c>
      <c r="F27" s="128">
        <f t="shared" si="2"/>
        <v>9.67</v>
      </c>
      <c r="G27" s="281">
        <f t="shared" si="3"/>
        <v>68.7</v>
      </c>
      <c r="H27" s="281">
        <f t="shared" si="4"/>
        <v>122.24</v>
      </c>
      <c r="I27" s="281">
        <f>VLOOKUP(B27,'Table 4'!$B$13:$D$43,3,FALSE)</f>
        <v>4.1399999999999997</v>
      </c>
      <c r="J27" s="281">
        <f t="shared" si="5"/>
        <v>40.51</v>
      </c>
      <c r="K27" s="281">
        <f t="shared" si="6"/>
        <v>82.8</v>
      </c>
      <c r="L27" s="128">
        <f t="shared" si="1"/>
        <v>119.12</v>
      </c>
      <c r="M27" s="41"/>
      <c r="U27" s="164"/>
      <c r="V27" s="160"/>
      <c r="W27" s="160"/>
      <c r="X27" s="160"/>
      <c r="Y27" s="160"/>
      <c r="Z27" s="160"/>
      <c r="AA27" s="160"/>
      <c r="AB27" s="119"/>
      <c r="AC27" s="119"/>
      <c r="AD27" s="86"/>
      <c r="AE27" s="86"/>
    </row>
    <row r="28" spans="2:31" s="286" customFormat="1">
      <c r="B28" s="284">
        <f t="shared" si="0"/>
        <v>2030</v>
      </c>
      <c r="C28" s="285"/>
      <c r="D28" s="128">
        <f t="shared" si="7"/>
        <v>54.77</v>
      </c>
      <c r="E28" s="128">
        <f t="shared" si="8"/>
        <v>41.69</v>
      </c>
      <c r="F28" s="128">
        <f t="shared" si="2"/>
        <v>9.89</v>
      </c>
      <c r="G28" s="281">
        <f t="shared" si="3"/>
        <v>70.28</v>
      </c>
      <c r="H28" s="281">
        <f t="shared" si="4"/>
        <v>125.05</v>
      </c>
      <c r="I28" s="281">
        <f>VLOOKUP(B28,'Table 4'!$B$13:$D$43,3,FALSE)</f>
        <v>4.4400000000000004</v>
      </c>
      <c r="J28" s="281">
        <f t="shared" si="5"/>
        <v>43.45</v>
      </c>
      <c r="K28" s="281">
        <f t="shared" si="6"/>
        <v>86.71</v>
      </c>
      <c r="L28" s="128">
        <f t="shared" si="1"/>
        <v>121.86</v>
      </c>
      <c r="M28" s="50"/>
      <c r="N28" s="85"/>
      <c r="O28" s="85"/>
      <c r="U28" s="164"/>
      <c r="V28" s="160"/>
      <c r="W28" s="160"/>
      <c r="X28" s="160"/>
      <c r="Y28" s="160"/>
      <c r="Z28" s="160"/>
      <c r="AA28" s="160"/>
      <c r="AB28" s="119"/>
      <c r="AC28" s="119"/>
      <c r="AD28" s="372"/>
      <c r="AE28" s="372"/>
    </row>
    <row r="29" spans="2:31" s="286" customFormat="1">
      <c r="B29" s="284">
        <f t="shared" si="0"/>
        <v>2031</v>
      </c>
      <c r="C29" s="285"/>
      <c r="D29" s="128">
        <f t="shared" si="7"/>
        <v>56.03</v>
      </c>
      <c r="E29" s="128">
        <f t="shared" si="8"/>
        <v>42.65</v>
      </c>
      <c r="F29" s="128">
        <f t="shared" si="2"/>
        <v>10.119999999999999</v>
      </c>
      <c r="G29" s="281">
        <f t="shared" si="3"/>
        <v>71.900000000000006</v>
      </c>
      <c r="H29" s="281">
        <f t="shared" si="4"/>
        <v>127.93</v>
      </c>
      <c r="I29" s="281">
        <f>VLOOKUP(B29,'Table 4'!$B$13:$D$43,3,FALSE)</f>
        <v>4.63</v>
      </c>
      <c r="J29" s="281">
        <f t="shared" si="5"/>
        <v>45.31</v>
      </c>
      <c r="K29" s="281">
        <f t="shared" si="6"/>
        <v>89.56</v>
      </c>
      <c r="L29" s="128">
        <f t="shared" si="1"/>
        <v>124.67</v>
      </c>
      <c r="M29" s="50"/>
      <c r="N29" s="85"/>
      <c r="O29" s="85"/>
      <c r="U29" s="164"/>
      <c r="V29" s="160"/>
      <c r="W29" s="160"/>
      <c r="X29" s="160"/>
      <c r="Y29" s="160"/>
      <c r="Z29" s="160"/>
      <c r="AA29" s="160"/>
      <c r="AB29" s="119"/>
      <c r="AC29" s="119"/>
      <c r="AD29" s="372"/>
      <c r="AE29" s="372"/>
    </row>
    <row r="30" spans="2:31" s="286" customFormat="1">
      <c r="B30" s="284">
        <f t="shared" si="0"/>
        <v>2032</v>
      </c>
      <c r="C30" s="285"/>
      <c r="D30" s="128">
        <f t="shared" si="7"/>
        <v>57.32</v>
      </c>
      <c r="E30" s="128">
        <f t="shared" si="8"/>
        <v>43.63</v>
      </c>
      <c r="F30" s="128">
        <f t="shared" si="2"/>
        <v>10.35</v>
      </c>
      <c r="G30" s="281">
        <f t="shared" si="3"/>
        <v>73.55</v>
      </c>
      <c r="H30" s="281">
        <f t="shared" si="4"/>
        <v>130.87</v>
      </c>
      <c r="I30" s="281">
        <f>VLOOKUP(B30,'Table 4'!$B$13:$D$43,3,FALSE)</f>
        <v>4.67</v>
      </c>
      <c r="J30" s="281">
        <f t="shared" si="5"/>
        <v>45.7</v>
      </c>
      <c r="K30" s="281">
        <f t="shared" si="6"/>
        <v>90.97</v>
      </c>
      <c r="L30" s="128">
        <f t="shared" si="1"/>
        <v>127.53</v>
      </c>
      <c r="M30" s="50"/>
      <c r="N30" s="85"/>
      <c r="O30" s="85"/>
      <c r="U30" s="164"/>
      <c r="V30" s="160"/>
      <c r="W30" s="160"/>
      <c r="X30" s="160"/>
      <c r="Y30" s="160"/>
      <c r="Z30" s="160"/>
      <c r="AA30" s="160"/>
      <c r="AB30" s="119"/>
      <c r="AC30" s="119"/>
      <c r="AD30" s="372"/>
      <c r="AE30" s="372"/>
    </row>
    <row r="31" spans="2:31" s="286" customFormat="1">
      <c r="B31" s="284">
        <f t="shared" si="0"/>
        <v>2033</v>
      </c>
      <c r="C31" s="285"/>
      <c r="D31" s="128">
        <f t="shared" si="7"/>
        <v>58.64</v>
      </c>
      <c r="E31" s="128">
        <f t="shared" si="8"/>
        <v>44.63</v>
      </c>
      <c r="F31" s="128">
        <f t="shared" si="2"/>
        <v>10.59</v>
      </c>
      <c r="G31" s="281">
        <f t="shared" si="3"/>
        <v>75.239999999999995</v>
      </c>
      <c r="H31" s="281">
        <f t="shared" si="4"/>
        <v>133.88</v>
      </c>
      <c r="I31" s="281">
        <f>VLOOKUP(B31,'Table 4'!$B$13:$D$43,3,FALSE)</f>
        <v>4.8</v>
      </c>
      <c r="J31" s="281">
        <f t="shared" si="5"/>
        <v>46.97</v>
      </c>
      <c r="K31" s="281">
        <f t="shared" si="6"/>
        <v>93.28</v>
      </c>
      <c r="L31" s="128">
        <f t="shared" si="1"/>
        <v>130.45999999999998</v>
      </c>
      <c r="M31" s="50"/>
      <c r="N31" s="85"/>
      <c r="O31" s="85"/>
      <c r="U31" s="164"/>
      <c r="V31" s="160"/>
      <c r="W31" s="160"/>
      <c r="X31" s="160"/>
      <c r="Y31" s="160"/>
      <c r="Z31" s="160"/>
      <c r="AA31" s="160"/>
      <c r="AB31" s="119"/>
      <c r="AC31" s="119"/>
      <c r="AD31" s="372"/>
      <c r="AE31" s="372"/>
    </row>
    <row r="32" spans="2:31" s="286" customFormat="1">
      <c r="B32" s="284">
        <f t="shared" si="0"/>
        <v>2034</v>
      </c>
      <c r="C32" s="285"/>
      <c r="D32" s="128">
        <f t="shared" si="7"/>
        <v>59.99</v>
      </c>
      <c r="E32" s="128">
        <f t="shared" si="8"/>
        <v>45.66</v>
      </c>
      <c r="F32" s="128">
        <f t="shared" si="2"/>
        <v>10.83</v>
      </c>
      <c r="G32" s="281">
        <f t="shared" si="3"/>
        <v>76.97</v>
      </c>
      <c r="H32" s="281">
        <f t="shared" si="4"/>
        <v>136.96</v>
      </c>
      <c r="I32" s="281">
        <f>VLOOKUP(B32,'Table 4'!$B$13:$D$43,3,FALSE)</f>
        <v>4.96</v>
      </c>
      <c r="J32" s="281">
        <f t="shared" si="5"/>
        <v>48.54</v>
      </c>
      <c r="K32" s="281">
        <f t="shared" si="6"/>
        <v>95.92</v>
      </c>
      <c r="L32" s="128">
        <f t="shared" si="1"/>
        <v>133.45999999999998</v>
      </c>
      <c r="M32" s="50"/>
      <c r="N32" s="85"/>
      <c r="O32" s="85"/>
      <c r="U32" s="164"/>
      <c r="V32" s="160"/>
      <c r="W32" s="160"/>
      <c r="X32" s="160"/>
      <c r="Y32" s="160"/>
      <c r="Z32" s="160"/>
      <c r="AA32" s="160"/>
      <c r="AB32" s="119"/>
      <c r="AC32" s="119"/>
      <c r="AD32" s="372"/>
      <c r="AE32" s="372"/>
    </row>
    <row r="33" spans="2:31">
      <c r="B33" s="277">
        <f t="shared" si="0"/>
        <v>2035</v>
      </c>
      <c r="C33" s="282"/>
      <c r="D33" s="128">
        <f t="shared" si="7"/>
        <v>61.37</v>
      </c>
      <c r="E33" s="128">
        <f t="shared" si="8"/>
        <v>46.71</v>
      </c>
      <c r="F33" s="128">
        <f t="shared" si="2"/>
        <v>11.08</v>
      </c>
      <c r="G33" s="281">
        <f t="shared" si="3"/>
        <v>78.739999999999995</v>
      </c>
      <c r="H33" s="281">
        <f t="shared" si="4"/>
        <v>140.11000000000001</v>
      </c>
      <c r="I33" s="281">
        <f>VLOOKUP(B33,'Table 4'!$B$13:$D$43,3,FALSE)</f>
        <v>5.09</v>
      </c>
      <c r="J33" s="281">
        <f t="shared" si="5"/>
        <v>49.81</v>
      </c>
      <c r="K33" s="281">
        <f t="shared" si="6"/>
        <v>98.28</v>
      </c>
      <c r="L33" s="128">
        <f t="shared" si="1"/>
        <v>136.53</v>
      </c>
      <c r="M33" s="50"/>
      <c r="U33" s="164"/>
      <c r="V33" s="160"/>
      <c r="W33" s="160"/>
      <c r="X33" s="160"/>
      <c r="Y33" s="160"/>
      <c r="Z33" s="160"/>
      <c r="AA33" s="160"/>
      <c r="AB33" s="119"/>
      <c r="AC33" s="119"/>
      <c r="AD33" s="86"/>
      <c r="AE33" s="86"/>
    </row>
    <row r="34" spans="2:31">
      <c r="B34" s="277">
        <f t="shared" si="0"/>
        <v>2036</v>
      </c>
      <c r="C34" s="282"/>
      <c r="D34" s="128">
        <f t="shared" si="7"/>
        <v>62.78</v>
      </c>
      <c r="E34" s="128">
        <f t="shared" si="8"/>
        <v>47.78</v>
      </c>
      <c r="F34" s="128">
        <f t="shared" si="2"/>
        <v>11.33</v>
      </c>
      <c r="G34" s="281">
        <f t="shared" si="3"/>
        <v>80.53</v>
      </c>
      <c r="H34" s="281">
        <f t="shared" si="4"/>
        <v>143.31</v>
      </c>
      <c r="I34" s="281">
        <f>VLOOKUP(B34,'Table 4'!$B$13:$D$43,3,FALSE)</f>
        <v>5.25</v>
      </c>
      <c r="J34" s="281">
        <f t="shared" si="5"/>
        <v>51.38</v>
      </c>
      <c r="K34" s="281">
        <f t="shared" si="6"/>
        <v>100.95</v>
      </c>
      <c r="L34" s="128">
        <f t="shared" si="1"/>
        <v>139.63999999999999</v>
      </c>
      <c r="M34" s="50"/>
      <c r="U34" s="86"/>
      <c r="V34" s="86"/>
      <c r="W34" s="86"/>
      <c r="X34" s="86"/>
      <c r="Y34" s="86"/>
      <c r="Z34" s="86"/>
      <c r="AA34" s="86"/>
      <c r="AB34" s="119"/>
      <c r="AC34" s="119"/>
      <c r="AD34" s="86"/>
      <c r="AE34" s="86"/>
    </row>
    <row r="35" spans="2:31">
      <c r="B35" s="277">
        <f t="shared" si="0"/>
        <v>2037</v>
      </c>
      <c r="C35" s="282"/>
      <c r="D35" s="128">
        <f t="shared" si="7"/>
        <v>64.22</v>
      </c>
      <c r="E35" s="128">
        <f t="shared" si="8"/>
        <v>48.88</v>
      </c>
      <c r="F35" s="128">
        <f t="shared" si="2"/>
        <v>11.59</v>
      </c>
      <c r="G35" s="281">
        <f t="shared" si="3"/>
        <v>82.38</v>
      </c>
      <c r="H35" s="281">
        <f t="shared" si="4"/>
        <v>146.6</v>
      </c>
      <c r="I35" s="281">
        <f>VLOOKUP(B35,'Table 4'!$B$13:$D$43,3,FALSE)</f>
        <v>5.27</v>
      </c>
      <c r="J35" s="281">
        <f t="shared" si="5"/>
        <v>51.57</v>
      </c>
      <c r="K35" s="281">
        <f t="shared" si="6"/>
        <v>102.28</v>
      </c>
      <c r="L35" s="128">
        <f t="shared" si="1"/>
        <v>142.85</v>
      </c>
      <c r="M35" s="50"/>
      <c r="U35" s="86"/>
      <c r="V35" s="86"/>
      <c r="W35" s="86"/>
      <c r="X35" s="86"/>
      <c r="Y35" s="86"/>
      <c r="Z35" s="86"/>
      <c r="AA35" s="86"/>
      <c r="AB35" s="119"/>
      <c r="AC35" s="119"/>
      <c r="AD35" s="86"/>
      <c r="AE35" s="86"/>
    </row>
    <row r="36" spans="2:31">
      <c r="B36" s="277">
        <f t="shared" si="0"/>
        <v>2038</v>
      </c>
      <c r="C36" s="282"/>
      <c r="D36" s="128">
        <f t="shared" si="7"/>
        <v>65.7</v>
      </c>
      <c r="E36" s="128">
        <f t="shared" si="8"/>
        <v>50</v>
      </c>
      <c r="F36" s="128">
        <f t="shared" si="2"/>
        <v>11.86</v>
      </c>
      <c r="G36" s="281">
        <f t="shared" si="3"/>
        <v>84.28</v>
      </c>
      <c r="H36" s="281">
        <f t="shared" si="4"/>
        <v>149.97999999999999</v>
      </c>
      <c r="I36" s="281">
        <f>VLOOKUP(B36,'Table 4'!$B$13:$D$43,3,FALSE)</f>
        <v>5.66</v>
      </c>
      <c r="J36" s="281">
        <f t="shared" si="5"/>
        <v>55.39</v>
      </c>
      <c r="K36" s="281">
        <f t="shared" si="6"/>
        <v>107.27</v>
      </c>
      <c r="L36" s="128">
        <f t="shared" si="1"/>
        <v>146.13999999999999</v>
      </c>
      <c r="M36" s="50"/>
      <c r="U36" s="86"/>
      <c r="V36" s="86"/>
      <c r="W36" s="86"/>
      <c r="X36" s="86"/>
      <c r="Y36" s="86"/>
      <c r="Z36" s="86"/>
      <c r="AA36" s="86"/>
      <c r="AB36" s="119"/>
      <c r="AC36" s="119"/>
      <c r="AD36" s="86"/>
      <c r="AE36" s="86"/>
    </row>
    <row r="37" spans="2:31">
      <c r="B37" s="277">
        <f t="shared" si="0"/>
        <v>2039</v>
      </c>
      <c r="C37" s="282"/>
      <c r="D37" s="128">
        <f t="shared" ref="D37:D40" si="9">ROUND(D36*(1+(IFERROR(INDEX($D$81:$D$89,MATCH($B37,$C$81:$C$89,0),1),0)+IFERROR(INDEX($G$81:$G$89,MATCH($B37,$F$81:$F$89,0),1),0)+IFERROR(INDEX($J$81:$J$89,MATCH($B37,$I$81:$I$89,0),1),0))),2)</f>
        <v>67.209999999999994</v>
      </c>
      <c r="E37" s="128">
        <f t="shared" ref="E37:E40" si="10">ROUND(E36*(1+(IFERROR(INDEX($D$81:$D$89,MATCH($B37,$C$81:$C$89,0),1),0)+IFERROR(INDEX($G$81:$G$89,MATCH($B37,$F$81:$F$89,0),1),0)+IFERROR(INDEX($J$81:$J$89,MATCH($B37,$I$81:$I$89,0),1),0))),2)</f>
        <v>51.15</v>
      </c>
      <c r="F37" s="128">
        <f t="shared" ref="F37:F40" si="11">ROUND(F36*(1+(IFERROR(INDEX($D$81:$D$89,MATCH($B37,$C$81:$C$89,0),1),0)+IFERROR(INDEX($G$81:$G$89,MATCH($B37,$F$81:$F$89,0),1),0)+IFERROR(INDEX($J$81:$J$89,MATCH($B37,$I$81:$I$89,0),1),0))),2)</f>
        <v>12.13</v>
      </c>
      <c r="G37" s="281">
        <f t="shared" ref="G37:G40" si="12">ROUND(F37*(8.76*$G$63)+E37,2)</f>
        <v>86.22</v>
      </c>
      <c r="H37" s="281">
        <f t="shared" ref="H37:H40" si="13">ROUND(D37+G37,2)</f>
        <v>153.43</v>
      </c>
      <c r="I37" s="281">
        <f>VLOOKUP(B37,'Table 4'!$B$13:$D$43,3,FALSE)</f>
        <v>6.2</v>
      </c>
      <c r="J37" s="281">
        <f t="shared" ref="J37:J40" si="14">ROUND($K$63*I37/1000,2)</f>
        <v>60.67</v>
      </c>
      <c r="K37" s="281">
        <f t="shared" ref="K37:K40" si="15">ROUND(H37*1000/8760/$G$63+J37,2)</f>
        <v>113.75</v>
      </c>
      <c r="L37" s="128">
        <f t="shared" si="1"/>
        <v>149.5</v>
      </c>
      <c r="U37" s="86"/>
      <c r="V37" s="86"/>
      <c r="W37" s="86"/>
      <c r="X37" s="86"/>
      <c r="Y37" s="86"/>
      <c r="Z37" s="86"/>
      <c r="AA37" s="86"/>
      <c r="AB37" s="119"/>
      <c r="AC37" s="119"/>
      <c r="AD37" s="86"/>
      <c r="AE37" s="86"/>
    </row>
    <row r="38" spans="2:31">
      <c r="B38" s="277">
        <f t="shared" si="0"/>
        <v>2040</v>
      </c>
      <c r="C38" s="282"/>
      <c r="D38" s="128">
        <f t="shared" si="9"/>
        <v>68.760000000000005</v>
      </c>
      <c r="E38" s="128">
        <f t="shared" si="10"/>
        <v>52.33</v>
      </c>
      <c r="F38" s="128">
        <f t="shared" si="11"/>
        <v>12.41</v>
      </c>
      <c r="G38" s="281">
        <f t="shared" si="12"/>
        <v>88.2</v>
      </c>
      <c r="H38" s="281">
        <f t="shared" si="13"/>
        <v>156.96</v>
      </c>
      <c r="I38" s="281">
        <f>VLOOKUP(B38,'Table 4'!$B$13:$D$43,3,FALSE)</f>
        <v>6.57</v>
      </c>
      <c r="J38" s="281">
        <f t="shared" si="14"/>
        <v>64.290000000000006</v>
      </c>
      <c r="K38" s="281">
        <f t="shared" si="15"/>
        <v>118.59</v>
      </c>
      <c r="L38" s="128">
        <f t="shared" si="1"/>
        <v>152.94</v>
      </c>
      <c r="U38" s="86"/>
      <c r="V38" s="86"/>
      <c r="W38" s="86"/>
      <c r="X38" s="86"/>
      <c r="Y38" s="86"/>
      <c r="Z38" s="86"/>
      <c r="AA38" s="86"/>
      <c r="AB38" s="119"/>
      <c r="AC38" s="119"/>
      <c r="AD38" s="86"/>
      <c r="AE38" s="86"/>
    </row>
    <row r="39" spans="2:31">
      <c r="B39" s="277">
        <f t="shared" si="0"/>
        <v>2041</v>
      </c>
      <c r="C39" s="282"/>
      <c r="D39" s="128">
        <f t="shared" si="9"/>
        <v>70.34</v>
      </c>
      <c r="E39" s="128">
        <f t="shared" si="10"/>
        <v>53.53</v>
      </c>
      <c r="F39" s="128">
        <f t="shared" si="11"/>
        <v>12.7</v>
      </c>
      <c r="G39" s="281">
        <f t="shared" si="12"/>
        <v>90.24</v>
      </c>
      <c r="H39" s="281">
        <f t="shared" si="13"/>
        <v>160.58000000000001</v>
      </c>
      <c r="I39" s="128">
        <f t="shared" ref="I39:I40" si="16">ROUND(I38*(1+(IFERROR(INDEX($D$81:$D$89,MATCH($B39,$C$81:$C$89,0),1),0)+IFERROR(INDEX($G$81:$G$89,MATCH($B39,$F$81:$F$89,0),1),0)+IFERROR(INDEX($J$81:$J$89,MATCH($B39,$I$81:$I$89,0),1),0))),2)</f>
        <v>6.72</v>
      </c>
      <c r="J39" s="281">
        <f t="shared" si="14"/>
        <v>65.760000000000005</v>
      </c>
      <c r="K39" s="281">
        <f t="shared" si="15"/>
        <v>121.31</v>
      </c>
      <c r="L39" s="128">
        <f t="shared" si="1"/>
        <v>156.47</v>
      </c>
      <c r="U39" s="86"/>
      <c r="V39" s="86"/>
      <c r="W39" s="86"/>
      <c r="X39" s="86"/>
      <c r="Y39" s="86"/>
      <c r="Z39" s="86"/>
      <c r="AA39" s="86"/>
      <c r="AB39" s="119"/>
      <c r="AC39" s="119"/>
      <c r="AD39" s="86"/>
      <c r="AE39" s="86"/>
    </row>
    <row r="40" spans="2:31">
      <c r="B40" s="277">
        <f t="shared" si="0"/>
        <v>2042</v>
      </c>
      <c r="C40" s="282"/>
      <c r="D40" s="128">
        <f t="shared" si="9"/>
        <v>71.959999999999994</v>
      </c>
      <c r="E40" s="128">
        <f t="shared" si="10"/>
        <v>54.76</v>
      </c>
      <c r="F40" s="128">
        <f t="shared" si="11"/>
        <v>12.99</v>
      </c>
      <c r="G40" s="281">
        <f t="shared" si="12"/>
        <v>92.31</v>
      </c>
      <c r="H40" s="281">
        <f t="shared" si="13"/>
        <v>164.27</v>
      </c>
      <c r="I40" s="128">
        <f t="shared" si="16"/>
        <v>6.87</v>
      </c>
      <c r="J40" s="281">
        <f t="shared" si="14"/>
        <v>67.23</v>
      </c>
      <c r="K40" s="281">
        <f t="shared" si="15"/>
        <v>124.06</v>
      </c>
      <c r="L40" s="128">
        <f t="shared" si="1"/>
        <v>160.06</v>
      </c>
      <c r="U40" s="86"/>
      <c r="V40" s="86"/>
      <c r="W40" s="86"/>
      <c r="X40" s="86"/>
      <c r="Y40" s="86"/>
      <c r="Z40" s="86"/>
      <c r="AA40" s="86"/>
      <c r="AB40" s="119"/>
      <c r="AC40" s="119"/>
      <c r="AD40" s="86"/>
      <c r="AE40" s="86"/>
    </row>
    <row r="41" spans="2:31">
      <c r="M41" s="277"/>
      <c r="O41" s="287"/>
      <c r="U41" s="86"/>
      <c r="V41" s="86"/>
      <c r="W41" s="86"/>
      <c r="X41" s="86"/>
      <c r="Y41" s="86"/>
      <c r="Z41" s="86"/>
      <c r="AA41" s="86"/>
      <c r="AB41" s="119"/>
      <c r="AC41" s="119"/>
      <c r="AD41" s="86"/>
      <c r="AE41" s="86"/>
    </row>
    <row r="42" spans="2:31" ht="14.25">
      <c r="B42" s="4" t="s">
        <v>25</v>
      </c>
      <c r="C42" s="20"/>
      <c r="D42" s="20"/>
      <c r="E42" s="20"/>
      <c r="F42" s="20"/>
      <c r="G42" s="20"/>
      <c r="H42" s="20"/>
      <c r="I42" s="20"/>
      <c r="J42" s="20"/>
      <c r="K42" s="20"/>
      <c r="M42" s="277"/>
      <c r="N42" s="287"/>
      <c r="O42" s="287"/>
      <c r="U42" s="86"/>
      <c r="V42" s="86"/>
      <c r="W42" s="86"/>
      <c r="X42" s="86"/>
      <c r="Y42" s="86"/>
      <c r="Z42" s="86"/>
      <c r="AA42" s="86"/>
      <c r="AB42" s="119"/>
      <c r="AC42" s="119"/>
      <c r="AD42" s="86"/>
      <c r="AE42" s="86"/>
    </row>
    <row r="43" spans="2:31">
      <c r="U43" s="86"/>
      <c r="V43" s="86"/>
      <c r="W43" s="86"/>
      <c r="X43" s="86"/>
      <c r="Y43" s="86"/>
      <c r="Z43" s="86"/>
      <c r="AA43" s="86"/>
      <c r="AB43" s="119"/>
      <c r="AC43" s="119"/>
      <c r="AD43" s="86"/>
      <c r="AE43" s="86"/>
    </row>
    <row r="44" spans="2:31">
      <c r="B44" s="85" t="s">
        <v>117</v>
      </c>
      <c r="D44" s="288" t="s">
        <v>139</v>
      </c>
      <c r="U44" s="86"/>
      <c r="V44" s="86"/>
      <c r="W44" s="86"/>
      <c r="X44" s="86"/>
      <c r="Y44" s="86"/>
      <c r="Z44" s="86"/>
      <c r="AA44" s="86"/>
      <c r="AB44" s="119"/>
      <c r="AC44" s="119"/>
      <c r="AD44" s="86"/>
      <c r="AE44" s="86"/>
    </row>
    <row r="45" spans="2:31">
      <c r="C45" s="289" t="str">
        <f>D10</f>
        <v>(b)</v>
      </c>
      <c r="D45" s="281" t="str">
        <f>"= "&amp;C10&amp;" x "&amp;C74</f>
        <v>= (a) x 0.0695884915153164</v>
      </c>
      <c r="U45" s="86"/>
      <c r="V45" s="86"/>
      <c r="W45" s="86"/>
      <c r="X45" s="86"/>
      <c r="Y45" s="86"/>
      <c r="Z45" s="86"/>
      <c r="AA45" s="86"/>
      <c r="AB45" s="119"/>
      <c r="AC45" s="119"/>
      <c r="AD45" s="86"/>
      <c r="AE45" s="86"/>
    </row>
    <row r="46" spans="2:31">
      <c r="C46" s="289" t="str">
        <f>G10</f>
        <v>(e)</v>
      </c>
      <c r="D46" s="281" t="str">
        <f>"= "&amp;$F$10&amp;" x  (8.76 x "&amp;TEXT(G63,"0.0%")&amp;") + "&amp;$E$10</f>
        <v>= (d) x  (8.76 x 33.0%) + (c)</v>
      </c>
      <c r="U46" s="86"/>
      <c r="V46" s="86"/>
      <c r="W46" s="86"/>
      <c r="X46" s="86"/>
      <c r="Y46" s="86"/>
      <c r="Z46" s="86"/>
      <c r="AA46" s="86"/>
      <c r="AB46" s="119"/>
      <c r="AC46" s="119"/>
      <c r="AD46" s="86"/>
      <c r="AE46" s="86"/>
    </row>
    <row r="47" spans="2:31">
      <c r="C47" s="289" t="str">
        <f>H10</f>
        <v>(f)</v>
      </c>
      <c r="D47" s="281" t="str">
        <f>"= "&amp;D10&amp;" + "&amp;G10</f>
        <v>= (b) + (e)</v>
      </c>
      <c r="U47" s="86"/>
      <c r="V47" s="86"/>
      <c r="W47" s="86"/>
      <c r="X47" s="86"/>
      <c r="Y47" s="86"/>
      <c r="Z47" s="86"/>
      <c r="AA47" s="86"/>
      <c r="AB47" s="119"/>
      <c r="AC47" s="119"/>
      <c r="AD47" s="86"/>
      <c r="AE47" s="86"/>
    </row>
    <row r="48" spans="2:31">
      <c r="C48" s="289" t="str">
        <f>I10</f>
        <v>(g)</v>
      </c>
      <c r="D48" s="290" t="str">
        <f>'Table 4'!B3&amp;" - "&amp;'Table 4'!B4</f>
        <v>Table 4 - Burnertip Natural Gas Price Forecast</v>
      </c>
      <c r="U48" s="86"/>
      <c r="V48" s="86"/>
      <c r="W48" s="86"/>
      <c r="X48" s="86"/>
      <c r="Y48" s="86"/>
      <c r="Z48" s="86"/>
      <c r="AA48" s="86"/>
      <c r="AB48" s="119"/>
      <c r="AC48" s="119"/>
      <c r="AD48" s="86"/>
      <c r="AE48" s="86"/>
    </row>
    <row r="49" spans="3:31">
      <c r="C49" s="289" t="str">
        <f>J10</f>
        <v>(h)</v>
      </c>
      <c r="D49" s="281" t="str">
        <f>"= "&amp;TEXT(K63,"?,0")&amp;" MMBtu/MWH x "&amp;I9</f>
        <v>= 9,786 MMBtu/MWH x $/MMBtu</v>
      </c>
      <c r="U49" s="86"/>
      <c r="V49" s="86"/>
      <c r="W49" s="86"/>
      <c r="X49" s="86"/>
      <c r="Y49" s="86"/>
      <c r="Z49" s="86"/>
      <c r="AA49" s="86"/>
      <c r="AB49" s="119"/>
      <c r="AC49" s="119"/>
      <c r="AD49" s="86"/>
      <c r="AE49" s="86"/>
    </row>
    <row r="50" spans="3:31">
      <c r="C50" s="289" t="str">
        <f>K10</f>
        <v>(i)</v>
      </c>
      <c r="D50" s="281" t="str">
        <f>"= "&amp;H10&amp;" / (8.76 x 'Capacity Factor' ) + "&amp;J10</f>
        <v>= (f) / (8.76 x 'Capacity Factor' ) + (h)</v>
      </c>
      <c r="U50" s="86"/>
      <c r="V50" s="86"/>
      <c r="W50" s="86"/>
      <c r="X50" s="86"/>
      <c r="Y50" s="86"/>
      <c r="Z50" s="86"/>
      <c r="AA50" s="86"/>
      <c r="AB50" s="119"/>
      <c r="AC50" s="119"/>
      <c r="AD50" s="86"/>
      <c r="AE50" s="86"/>
    </row>
    <row r="51" spans="3:31" ht="13.5" thickBot="1">
      <c r="U51" s="86"/>
      <c r="V51" s="86"/>
      <c r="W51" s="86"/>
      <c r="X51" s="86"/>
      <c r="Y51" s="86"/>
      <c r="Z51" s="86"/>
      <c r="AA51" s="86"/>
      <c r="AB51" s="119"/>
      <c r="AC51" s="119"/>
      <c r="AD51" s="86"/>
      <c r="AE51" s="86"/>
    </row>
    <row r="52" spans="3:31" ht="13.5" thickBot="1">
      <c r="C52" s="42" t="s">
        <v>143</v>
      </c>
      <c r="D52" s="291"/>
      <c r="E52" s="291"/>
      <c r="F52" s="291"/>
      <c r="G52" s="291"/>
      <c r="H52" s="291"/>
      <c r="I52" s="291"/>
      <c r="J52" s="292"/>
      <c r="K52" s="293"/>
    </row>
    <row r="53" spans="3:31" ht="5.25" customHeight="1"/>
    <row r="54" spans="3:31" ht="5.25" customHeight="1"/>
    <row r="55" spans="3:31">
      <c r="C55" s="294" t="s">
        <v>118</v>
      </c>
      <c r="D55" s="295"/>
      <c r="E55" s="294"/>
      <c r="F55" s="296" t="s">
        <v>32</v>
      </c>
      <c r="G55" s="296" t="s">
        <v>119</v>
      </c>
      <c r="H55" s="296" t="s">
        <v>120</v>
      </c>
      <c r="I55" s="296" t="s">
        <v>33</v>
      </c>
    </row>
    <row r="56" spans="3:31">
      <c r="C56" s="286" t="s">
        <v>121</v>
      </c>
      <c r="F56" s="297">
        <f>C67</f>
        <v>185</v>
      </c>
      <c r="G56" s="41">
        <f>F56/F58</f>
        <v>1</v>
      </c>
      <c r="H56" s="298">
        <f>C68</f>
        <v>745.12812495389073</v>
      </c>
      <c r="I56" s="299">
        <f>C71</f>
        <v>31.908814304665992</v>
      </c>
      <c r="P56" s="117"/>
      <c r="Q56" s="117" t="s">
        <v>103</v>
      </c>
      <c r="R56" s="262">
        <v>2026</v>
      </c>
      <c r="S56" s="117"/>
      <c r="T56" s="117"/>
      <c r="U56" s="117"/>
    </row>
    <row r="57" spans="3:31">
      <c r="C57" s="286"/>
      <c r="F57" s="300">
        <f>D67</f>
        <v>0</v>
      </c>
      <c r="G57" s="301">
        <f>1-G56</f>
        <v>0</v>
      </c>
      <c r="H57" s="302">
        <f>D68</f>
        <v>0</v>
      </c>
      <c r="I57" s="303">
        <f>D71</f>
        <v>0</v>
      </c>
      <c r="P57" s="338">
        <v>184.90000000000006</v>
      </c>
      <c r="Q57" s="117" t="s">
        <v>32</v>
      </c>
      <c r="R57" s="262" t="s">
        <v>151</v>
      </c>
      <c r="S57" s="262"/>
      <c r="T57" s="117"/>
      <c r="U57" s="262" t="str">
        <f>$R$57&amp;"Proposed Station Capital Costs"</f>
        <v>I_NTN_SC_FRMProposed Station Capital Costs</v>
      </c>
    </row>
    <row r="58" spans="3:31">
      <c r="C58" s="286" t="s">
        <v>122</v>
      </c>
      <c r="F58" s="297">
        <f>F56+F57</f>
        <v>185</v>
      </c>
      <c r="G58" s="41">
        <f>G56+G57</f>
        <v>1</v>
      </c>
      <c r="H58" s="298">
        <f>ROUND(((F56*H56)+(F57*H57))/F58,0)</f>
        <v>745</v>
      </c>
      <c r="I58" s="299">
        <f>ROUND(((F56*I56)+(F57*I57))/F58,2)</f>
        <v>31.91</v>
      </c>
      <c r="P58" s="338"/>
      <c r="Q58" s="117" t="s">
        <v>32</v>
      </c>
      <c r="R58" s="262"/>
      <c r="S58" s="119"/>
      <c r="T58" s="117"/>
      <c r="U58" s="262" t="str">
        <f>$R$57&amp;"Proposed Station Fixed Costs"</f>
        <v>I_NTN_SC_FRMProposed Station Fixed Costs</v>
      </c>
    </row>
    <row r="59" spans="3:31">
      <c r="C59" s="286"/>
      <c r="F59" s="297"/>
      <c r="G59" s="41"/>
      <c r="H59" s="304"/>
      <c r="I59" s="305"/>
      <c r="P59" s="117"/>
      <c r="Q59" s="117"/>
      <c r="R59" s="334" t="str">
        <f>R57&amp;R56</f>
        <v>I_NTN_SC_FRM2026</v>
      </c>
      <c r="S59" s="117"/>
      <c r="T59" s="117"/>
      <c r="U59" s="262" t="str">
        <f>$R$57&amp;"Proposed Station Variable O&amp;M Costs"</f>
        <v>I_NTN_SC_FRMProposed Station Variable O&amp;M Costs</v>
      </c>
    </row>
    <row r="60" spans="3:31">
      <c r="C60" s="306" t="s">
        <v>118</v>
      </c>
      <c r="D60" s="295"/>
      <c r="E60" s="294"/>
      <c r="F60" s="296" t="s">
        <v>32</v>
      </c>
      <c r="G60" s="296" t="s">
        <v>34</v>
      </c>
      <c r="H60" s="296" t="s">
        <v>123</v>
      </c>
      <c r="I60" s="296" t="s">
        <v>119</v>
      </c>
      <c r="J60" s="296" t="s">
        <v>124</v>
      </c>
      <c r="K60" s="296" t="s">
        <v>125</v>
      </c>
    </row>
    <row r="61" spans="3:31">
      <c r="C61" s="307" t="str">
        <f>C56</f>
        <v>SCCT Dry "F" - Turbine</v>
      </c>
      <c r="D61" s="308"/>
      <c r="E61" s="308"/>
      <c r="F61" s="85">
        <f>C67</f>
        <v>185</v>
      </c>
      <c r="G61" s="41">
        <f>C75</f>
        <v>0.33</v>
      </c>
      <c r="H61" s="309">
        <f>G61*F61</f>
        <v>61.050000000000004</v>
      </c>
      <c r="I61" s="41">
        <f>H61/H63</f>
        <v>1</v>
      </c>
      <c r="J61" s="305">
        <f>C72</f>
        <v>7.7612665227267676</v>
      </c>
      <c r="K61" s="310">
        <f>C73</f>
        <v>9786.4587359536672</v>
      </c>
    </row>
    <row r="62" spans="3:31">
      <c r="C62" s="307">
        <f>C57</f>
        <v>0</v>
      </c>
      <c r="D62" s="308"/>
      <c r="E62" s="308"/>
      <c r="F62" s="311">
        <f>D67</f>
        <v>0</v>
      </c>
      <c r="G62" s="301">
        <f>D75</f>
        <v>0</v>
      </c>
      <c r="H62" s="312">
        <f>G62*F62</f>
        <v>0</v>
      </c>
      <c r="I62" s="301">
        <f>1-I61</f>
        <v>0</v>
      </c>
      <c r="J62" s="313">
        <f>D72</f>
        <v>0</v>
      </c>
      <c r="K62" s="314">
        <f>D73</f>
        <v>0</v>
      </c>
    </row>
    <row r="63" spans="3:31">
      <c r="C63" s="286" t="s">
        <v>126</v>
      </c>
      <c r="F63" s="85">
        <f>F61+F62</f>
        <v>185</v>
      </c>
      <c r="G63" s="315">
        <f>ROUND(H63/F63,3)</f>
        <v>0.33</v>
      </c>
      <c r="H63" s="309">
        <f>SUM(H61:H62)</f>
        <v>61.050000000000004</v>
      </c>
      <c r="I63" s="41">
        <f>I61+I62</f>
        <v>1</v>
      </c>
      <c r="J63" s="305">
        <f>ROUND(($I61*J61)+($I62*J62),2)</f>
        <v>7.76</v>
      </c>
      <c r="K63" s="316">
        <f>ROUND(($I61*K61)+($I62*K62),0)</f>
        <v>9786</v>
      </c>
    </row>
    <row r="64" spans="3:31">
      <c r="G64" s="315"/>
      <c r="I64" s="41"/>
      <c r="J64" s="305"/>
      <c r="K64" s="317" t="s">
        <v>127</v>
      </c>
    </row>
    <row r="66" spans="2:29">
      <c r="C66" s="296" t="s">
        <v>128</v>
      </c>
      <c r="D66" s="296" t="s">
        <v>129</v>
      </c>
      <c r="E66" s="318" t="str">
        <f>D44</f>
        <v xml:space="preserve">Plant Costs  - 2019 IRP - Table 6.1 &amp; 6.2 </v>
      </c>
      <c r="F66" s="319"/>
      <c r="G66" s="319"/>
      <c r="H66" s="319"/>
      <c r="I66" s="319"/>
      <c r="J66" s="319"/>
      <c r="K66" s="320"/>
    </row>
    <row r="67" spans="2:29">
      <c r="C67" s="328">
        <v>185</v>
      </c>
      <c r="E67" s="85" t="s">
        <v>130</v>
      </c>
      <c r="H67" s="321"/>
    </row>
    <row r="68" spans="2:29">
      <c r="B68" s="85" t="s">
        <v>101</v>
      </c>
      <c r="C68" s="327">
        <v>745.12812495389073</v>
      </c>
      <c r="D68" s="304"/>
      <c r="E68" s="85" t="s">
        <v>131</v>
      </c>
      <c r="M68" s="326"/>
    </row>
    <row r="69" spans="2:29">
      <c r="B69" s="85" t="s">
        <v>101</v>
      </c>
      <c r="C69" s="330">
        <v>17.005460468665991</v>
      </c>
      <c r="D69" s="305"/>
      <c r="E69" s="85" t="s">
        <v>132</v>
      </c>
    </row>
    <row r="70" spans="2:29">
      <c r="B70" s="85" t="s">
        <v>101</v>
      </c>
      <c r="C70" s="331">
        <v>14.903353836000001</v>
      </c>
      <c r="D70" s="322"/>
      <c r="E70" s="85" t="s">
        <v>133</v>
      </c>
    </row>
    <row r="71" spans="2:29">
      <c r="B71" s="85" t="s">
        <v>101</v>
      </c>
      <c r="C71" s="305">
        <f>C69+C70</f>
        <v>31.908814304665992</v>
      </c>
      <c r="D71" s="305"/>
      <c r="E71" s="85" t="s">
        <v>134</v>
      </c>
    </row>
    <row r="72" spans="2:29">
      <c r="B72" s="85" t="s">
        <v>101</v>
      </c>
      <c r="C72" s="330">
        <v>7.7612665227267676</v>
      </c>
      <c r="D72" s="305"/>
      <c r="E72" s="85" t="s">
        <v>135</v>
      </c>
    </row>
    <row r="73" spans="2:29">
      <c r="C73" s="333">
        <v>9786.4587359536672</v>
      </c>
      <c r="D73" s="316"/>
      <c r="E73" s="85" t="s">
        <v>136</v>
      </c>
    </row>
    <row r="74" spans="2:29">
      <c r="C74" s="329">
        <v>6.9588491515316389E-2</v>
      </c>
      <c r="D74" s="323"/>
      <c r="E74" s="85" t="s">
        <v>36</v>
      </c>
      <c r="AB74" s="119"/>
      <c r="AC74" s="119"/>
    </row>
    <row r="75" spans="2:29">
      <c r="C75" s="332">
        <v>0.33</v>
      </c>
      <c r="D75" s="324"/>
      <c r="E75" s="85" t="s">
        <v>37</v>
      </c>
      <c r="AB75" s="119"/>
      <c r="AC75" s="119"/>
    </row>
    <row r="76" spans="2:29">
      <c r="D76" s="41">
        <f>ROUND(H63/F63,3)</f>
        <v>0.33</v>
      </c>
      <c r="E76" s="85" t="s">
        <v>137</v>
      </c>
      <c r="AB76" s="119"/>
      <c r="AC76" s="119"/>
    </row>
    <row r="77" spans="2:29">
      <c r="D77" s="315"/>
      <c r="E77" s="50"/>
      <c r="AB77" s="119"/>
      <c r="AC77" s="119"/>
    </row>
    <row r="78" spans="2:29">
      <c r="B78"/>
      <c r="C78"/>
      <c r="D78"/>
      <c r="E78"/>
      <c r="F78"/>
      <c r="AB78" s="119"/>
      <c r="AC78" s="119"/>
    </row>
    <row r="79" spans="2:29" ht="13.5" thickBot="1"/>
    <row r="80" spans="2:29" ht="13.5" thickBot="1">
      <c r="C80" s="40" t="str">
        <f>"Company Official Inflation Forecast Dated "&amp;TEXT('Table 4'!$H$5,"mmmm dd, yyyy")</f>
        <v>Company Official Inflation Forecast Dated December 31, 2020</v>
      </c>
      <c r="D80" s="142"/>
      <c r="E80" s="142"/>
      <c r="F80" s="142"/>
      <c r="G80" s="142"/>
      <c r="H80" s="142"/>
      <c r="I80" s="142"/>
      <c r="J80" s="142"/>
      <c r="K80" s="142"/>
      <c r="L80" s="144"/>
    </row>
    <row r="81" spans="3:29">
      <c r="C81" s="87">
        <v>2017</v>
      </c>
      <c r="D81" s="41">
        <v>0.02</v>
      </c>
      <c r="F81" s="87">
        <f>C89+1</f>
        <v>2026</v>
      </c>
      <c r="G81" s="41">
        <v>2.1999999999999999E-2</v>
      </c>
      <c r="H81" s="41"/>
      <c r="I81" s="87">
        <f>F89+1</f>
        <v>2035</v>
      </c>
      <c r="J81" s="41">
        <v>2.3E-2</v>
      </c>
      <c r="K81" s="117"/>
      <c r="L81" s="117"/>
    </row>
    <row r="82" spans="3:29">
      <c r="C82" s="87">
        <f t="shared" ref="C82:C89" si="17">C81+1</f>
        <v>2018</v>
      </c>
      <c r="D82" s="41">
        <v>2.4E-2</v>
      </c>
      <c r="F82" s="87">
        <f t="shared" ref="F82:F89" si="18">F81+1</f>
        <v>2027</v>
      </c>
      <c r="G82" s="41">
        <v>2.3E-2</v>
      </c>
      <c r="H82" s="41"/>
      <c r="I82" s="87">
        <f>I81+1</f>
        <v>2036</v>
      </c>
      <c r="J82" s="41">
        <v>2.3E-2</v>
      </c>
      <c r="K82" s="117"/>
      <c r="L82" s="117"/>
    </row>
    <row r="83" spans="3:29">
      <c r="C83" s="87">
        <f t="shared" si="17"/>
        <v>2019</v>
      </c>
      <c r="D83" s="41">
        <v>1.7999999999999999E-2</v>
      </c>
      <c r="F83" s="87">
        <f t="shared" si="18"/>
        <v>2028</v>
      </c>
      <c r="G83" s="41">
        <v>2.3E-2</v>
      </c>
      <c r="H83" s="41"/>
      <c r="I83" s="87">
        <f t="shared" ref="I83:I89" si="19">I82+1</f>
        <v>2037</v>
      </c>
      <c r="J83" s="41">
        <v>2.3E-2</v>
      </c>
      <c r="K83" s="117"/>
      <c r="L83" s="117"/>
    </row>
    <row r="84" spans="3:29">
      <c r="C84" s="87">
        <f t="shared" si="17"/>
        <v>2020</v>
      </c>
      <c r="D84" s="41">
        <v>1.2E-2</v>
      </c>
      <c r="F84" s="87">
        <f t="shared" si="18"/>
        <v>2029</v>
      </c>
      <c r="G84" s="41">
        <v>2.3E-2</v>
      </c>
      <c r="H84" s="41"/>
      <c r="I84" s="87">
        <f t="shared" si="19"/>
        <v>2038</v>
      </c>
      <c r="J84" s="41">
        <v>2.3E-2</v>
      </c>
      <c r="K84" s="117"/>
      <c r="L84" s="117"/>
    </row>
    <row r="85" spans="3:29">
      <c r="C85" s="87">
        <f t="shared" si="17"/>
        <v>2021</v>
      </c>
      <c r="D85" s="41">
        <v>1.9E-2</v>
      </c>
      <c r="F85" s="87">
        <f t="shared" si="18"/>
        <v>2030</v>
      </c>
      <c r="G85" s="41">
        <v>2.3E-2</v>
      </c>
      <c r="H85" s="41"/>
      <c r="I85" s="87">
        <f t="shared" si="19"/>
        <v>2039</v>
      </c>
      <c r="J85" s="41">
        <v>2.3E-2</v>
      </c>
      <c r="K85" s="117"/>
      <c r="L85" s="117"/>
    </row>
    <row r="86" spans="3:29">
      <c r="C86" s="87">
        <f t="shared" si="17"/>
        <v>2022</v>
      </c>
      <c r="D86" s="41">
        <v>2.1999999999999999E-2</v>
      </c>
      <c r="F86" s="87">
        <f t="shared" si="18"/>
        <v>2031</v>
      </c>
      <c r="G86" s="41">
        <v>2.3E-2</v>
      </c>
      <c r="H86" s="41"/>
      <c r="I86" s="87">
        <f t="shared" si="19"/>
        <v>2040</v>
      </c>
      <c r="J86" s="41">
        <v>2.3E-2</v>
      </c>
      <c r="K86" s="117"/>
      <c r="L86" s="117"/>
    </row>
    <row r="87" spans="3:29" s="86" customFormat="1">
      <c r="C87" s="87">
        <f t="shared" si="17"/>
        <v>2023</v>
      </c>
      <c r="D87" s="41">
        <v>0.02</v>
      </c>
      <c r="F87" s="87">
        <f t="shared" si="18"/>
        <v>2032</v>
      </c>
      <c r="G87" s="41">
        <v>2.3E-2</v>
      </c>
      <c r="H87" s="41"/>
      <c r="I87" s="87">
        <f t="shared" si="19"/>
        <v>2041</v>
      </c>
      <c r="J87" s="41">
        <v>2.3E-2</v>
      </c>
      <c r="K87" s="119"/>
      <c r="L87" s="119"/>
      <c r="N87" s="85"/>
      <c r="O87" s="85"/>
      <c r="AB87" s="117"/>
      <c r="AC87" s="117"/>
    </row>
    <row r="88" spans="3:29" s="86" customFormat="1">
      <c r="C88" s="87">
        <f t="shared" si="17"/>
        <v>2024</v>
      </c>
      <c r="D88" s="41">
        <v>0.02</v>
      </c>
      <c r="F88" s="87">
        <f t="shared" si="18"/>
        <v>2033</v>
      </c>
      <c r="G88" s="41">
        <v>2.3E-2</v>
      </c>
      <c r="H88" s="41"/>
      <c r="I88" s="87">
        <f t="shared" si="19"/>
        <v>2042</v>
      </c>
      <c r="J88" s="41">
        <v>2.3E-2</v>
      </c>
      <c r="K88" s="119"/>
      <c r="L88" s="119"/>
      <c r="N88" s="85"/>
      <c r="O88" s="85"/>
      <c r="AB88" s="117"/>
      <c r="AC88" s="117"/>
    </row>
    <row r="89" spans="3:29" s="86" customFormat="1">
      <c r="C89" s="87">
        <f t="shared" si="17"/>
        <v>2025</v>
      </c>
      <c r="D89" s="41">
        <v>2.1000000000000001E-2</v>
      </c>
      <c r="F89" s="87">
        <f t="shared" si="18"/>
        <v>2034</v>
      </c>
      <c r="G89" s="41">
        <v>2.3E-2</v>
      </c>
      <c r="H89" s="41"/>
      <c r="I89" s="87">
        <f t="shared" si="19"/>
        <v>2043</v>
      </c>
      <c r="J89" s="41">
        <v>2.4E-2</v>
      </c>
      <c r="K89" s="119"/>
      <c r="L89" s="119"/>
      <c r="N89" s="85"/>
      <c r="O89" s="85"/>
      <c r="AB89" s="117"/>
      <c r="AC89" s="117"/>
    </row>
    <row r="90" spans="3:29" s="86" customFormat="1">
      <c r="N90" s="85"/>
      <c r="O90" s="85"/>
      <c r="AB90" s="117"/>
      <c r="AC90" s="117"/>
    </row>
    <row r="91" spans="3:29" s="86" customFormat="1">
      <c r="N91" s="85"/>
      <c r="O91" s="85"/>
      <c r="AB91" s="117"/>
      <c r="AC91" s="117"/>
    </row>
    <row r="92" spans="3:29">
      <c r="D92" s="325"/>
    </row>
    <row r="93" spans="3:29">
      <c r="D93" s="325"/>
    </row>
  </sheetData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50" max="10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A102"/>
  <sheetViews>
    <sheetView zoomScale="80" zoomScaleNormal="80" workbookViewId="0">
      <selection activeCell="J23" sqref="J23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1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/>
    <col min="16" max="16" width="10" style="117" customWidth="1"/>
    <col min="17" max="17" width="25.1640625" style="117" customWidth="1"/>
    <col min="18" max="18" width="18.1640625" style="117" customWidth="1"/>
    <col min="19" max="19" width="9.33203125" style="117"/>
    <col min="20" max="20" width="16.6640625" style="117" customWidth="1"/>
    <col min="21" max="21" width="11.83203125" style="117" customWidth="1"/>
    <col min="22" max="22" width="9.6640625" style="117" bestFit="1" customWidth="1"/>
    <col min="23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156</v>
      </c>
      <c r="C2" s="116"/>
      <c r="D2" s="116"/>
      <c r="E2" s="116"/>
      <c r="F2" s="116"/>
      <c r="G2" s="116"/>
      <c r="H2" s="116"/>
      <c r="I2" s="116"/>
      <c r="J2" s="116"/>
    </row>
    <row r="3" spans="2:27" ht="15.75">
      <c r="B3" s="115" t="str">
        <f>TEXT($C$63,"0%")&amp;" Capacity Factor"</f>
        <v>37%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01"/>
      <c r="N5" s="201"/>
      <c r="P5" s="201"/>
      <c r="R5" s="263"/>
      <c r="S5" s="119"/>
      <c r="T5" s="119"/>
      <c r="U5" s="119"/>
      <c r="V5" s="119"/>
      <c r="W5" s="119"/>
      <c r="X5" s="119"/>
      <c r="Y5" s="369"/>
      <c r="Z5" s="119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64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2019 IRP Yakima Wind with Storage Resource - 37%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>
      <c r="B12" s="135">
        <f t="shared" si="0"/>
        <v>2018</v>
      </c>
      <c r="C12" s="136"/>
      <c r="D12" s="128"/>
      <c r="E12" s="148"/>
      <c r="F12" s="148"/>
      <c r="G12" s="130"/>
      <c r="H12" s="148">
        <f>$C$58</f>
        <v>10</v>
      </c>
      <c r="I12" s="130"/>
      <c r="J12" s="130"/>
      <c r="K12" s="128">
        <f>(D12+E12+F12)</f>
        <v>0</v>
      </c>
      <c r="L12" s="119"/>
      <c r="N12" s="117"/>
      <c r="R12" s="375"/>
      <c r="S12" s="119"/>
      <c r="T12" s="164"/>
      <c r="U12" s="160"/>
      <c r="V12" s="160"/>
      <c r="W12" s="160"/>
      <c r="X12" s="160"/>
      <c r="Y12" s="160"/>
      <c r="Z12" s="119"/>
      <c r="AA12" s="119"/>
    </row>
    <row r="13" spans="2:27">
      <c r="B13" s="135">
        <f t="shared" si="0"/>
        <v>2019</v>
      </c>
      <c r="C13" s="136"/>
      <c r="D13" s="128"/>
      <c r="E13" s="148"/>
      <c r="F13" s="148"/>
      <c r="G13" s="130"/>
      <c r="H13" s="128">
        <f>ROUND(H12*(1+(IFERROR(INDEX($D$66:$D$74,MATCH($B13,$C$66:$C$74,0),1),0)+IFERROR(INDEX($G$66:$G$74,MATCH($B13,$F$66:$F$74,0),1),0)+IFERROR(INDEX(#REF!,MATCH($B13,$I$66:$I$74,0),1),0))),2)</f>
        <v>10.18</v>
      </c>
      <c r="I13" s="130"/>
      <c r="J13" s="130"/>
      <c r="K13" s="128">
        <f t="shared" ref="K13:K37" si="1">(D13+E13+F13)</f>
        <v>0</v>
      </c>
      <c r="L13" s="119"/>
      <c r="N13" s="117"/>
      <c r="R13" s="119"/>
      <c r="S13" s="119"/>
      <c r="T13" s="119"/>
      <c r="U13" s="119"/>
      <c r="V13" s="160"/>
      <c r="W13" s="160"/>
      <c r="X13" s="160"/>
      <c r="Y13" s="160"/>
      <c r="Z13" s="119"/>
      <c r="AA13" s="119"/>
    </row>
    <row r="14" spans="2:27">
      <c r="B14" s="135">
        <f t="shared" si="0"/>
        <v>2020</v>
      </c>
      <c r="C14" s="136"/>
      <c r="D14" s="128"/>
      <c r="E14" s="128"/>
      <c r="F14" s="128"/>
      <c r="G14" s="130"/>
      <c r="H14" s="128">
        <f>ROUND(H13*(1+(IFERROR(INDEX($D$66:$D$74,MATCH($B14,$C$66:$C$74,0),1),0)+IFERROR(INDEX($G$66:$G$74,MATCH($B14,$F$66:$F$74,0),1),0)+IFERROR(INDEX(#REF!,MATCH($B14,$I$66:$I$74,0),1),0))),2)</f>
        <v>10.3</v>
      </c>
      <c r="I14" s="130"/>
      <c r="J14" s="130"/>
      <c r="K14" s="128">
        <f t="shared" si="1"/>
        <v>0</v>
      </c>
      <c r="L14" s="119"/>
      <c r="N14" s="117"/>
      <c r="O14" s="132"/>
      <c r="P14" s="133"/>
      <c r="Q14" s="134"/>
      <c r="R14" s="119"/>
      <c r="S14" s="119"/>
      <c r="T14" s="119"/>
      <c r="U14" s="119"/>
      <c r="V14" s="160"/>
      <c r="W14" s="160"/>
      <c r="X14" s="160"/>
      <c r="Y14" s="160"/>
      <c r="Z14" s="119"/>
      <c r="AA14" s="119"/>
    </row>
    <row r="15" spans="2:27">
      <c r="B15" s="135">
        <f t="shared" si="0"/>
        <v>2021</v>
      </c>
      <c r="C15" s="136"/>
      <c r="D15" s="128"/>
      <c r="E15" s="128"/>
      <c r="F15" s="128"/>
      <c r="G15" s="130"/>
      <c r="H15" s="128">
        <f>ROUND(H14*(1+(IFERROR(INDEX($D$66:$D$74,MATCH($B15,$C$66:$C$74,0),1),0)+IFERROR(INDEX($G$66:$G$74,MATCH($B15,$F$66:$F$74,0),1),0)+IFERROR(INDEX(#REF!,MATCH($B15,$I$66:$I$74,0),1),0))),2)</f>
        <v>10.5</v>
      </c>
      <c r="I15" s="130"/>
      <c r="J15" s="130"/>
      <c r="K15" s="128">
        <f t="shared" si="1"/>
        <v>0</v>
      </c>
      <c r="L15" s="119"/>
      <c r="N15" s="117"/>
      <c r="O15" s="259"/>
      <c r="P15" s="133"/>
      <c r="Q15" s="134"/>
      <c r="R15" s="119"/>
      <c r="S15" s="119"/>
      <c r="T15" s="119"/>
      <c r="U15" s="119"/>
      <c r="V15" s="160"/>
      <c r="W15" s="160"/>
      <c r="X15" s="160"/>
      <c r="Y15" s="160"/>
      <c r="Z15" s="119"/>
      <c r="AA15" s="119"/>
    </row>
    <row r="16" spans="2:27">
      <c r="B16" s="135">
        <f t="shared" si="0"/>
        <v>2022</v>
      </c>
      <c r="C16" s="136"/>
      <c r="D16" s="128"/>
      <c r="E16" s="128"/>
      <c r="F16" s="128"/>
      <c r="G16" s="130"/>
      <c r="H16" s="128">
        <f>ROUND(H15*(1+(IFERROR(INDEX($D$66:$D$74,MATCH($B16,$C$66:$C$74,0),1),0)+IFERROR(INDEX($G$66:$G$74,MATCH($B16,$F$66:$F$74,0),1),0)+IFERROR(INDEX(#REF!,MATCH($B16,$I$66:$I$74,0),1),0))),2)</f>
        <v>10.73</v>
      </c>
      <c r="I16" s="130"/>
      <c r="J16" s="130"/>
      <c r="K16" s="128">
        <f t="shared" si="1"/>
        <v>0</v>
      </c>
      <c r="L16" s="119"/>
      <c r="N16" s="117"/>
      <c r="R16" s="119"/>
      <c r="S16" s="119"/>
      <c r="T16" s="119"/>
      <c r="U16" s="119"/>
      <c r="V16" s="160"/>
      <c r="W16" s="160"/>
      <c r="X16" s="160"/>
      <c r="Y16" s="160"/>
      <c r="Z16" s="119"/>
      <c r="AA16" s="119"/>
    </row>
    <row r="17" spans="2:27">
      <c r="B17" s="135">
        <f t="shared" si="0"/>
        <v>2023</v>
      </c>
      <c r="C17" s="136"/>
      <c r="D17" s="128"/>
      <c r="E17" s="128"/>
      <c r="F17" s="128"/>
      <c r="G17" s="130"/>
      <c r="H17" s="128">
        <f>ROUND(H16*(1+(IFERROR(INDEX($D$66:$D$74,MATCH($B17,$C$66:$C$74,0),1),0)+IFERROR(INDEX($G$66:$G$74,MATCH($B17,$F$66:$F$74,0),1),0)+IFERROR(INDEX(#REF!,MATCH($B17,$I$66:$I$74,0),1),0))),2)</f>
        <v>10.94</v>
      </c>
      <c r="I17" s="130"/>
      <c r="J17" s="130"/>
      <c r="K17" s="128">
        <f t="shared" si="1"/>
        <v>0</v>
      </c>
      <c r="L17" s="119"/>
      <c r="N17" s="117"/>
      <c r="O17" s="132"/>
      <c r="R17" s="119"/>
      <c r="S17" s="119"/>
      <c r="T17" s="119"/>
      <c r="U17" s="119"/>
      <c r="V17" s="160"/>
      <c r="W17" s="160"/>
      <c r="X17" s="160"/>
      <c r="Y17" s="160"/>
      <c r="Z17" s="119"/>
      <c r="AA17" s="119"/>
    </row>
    <row r="18" spans="2:27">
      <c r="B18" s="135">
        <f t="shared" si="0"/>
        <v>2024</v>
      </c>
      <c r="C18" s="136"/>
      <c r="D18" s="128"/>
      <c r="E18" s="148"/>
      <c r="F18" s="148"/>
      <c r="G18" s="130"/>
      <c r="H18" s="128">
        <f>ROUND(H17*(1+(IFERROR(INDEX($D$66:$D$74,MATCH($B18,$C$66:$C$74,0),1),0)+IFERROR(INDEX($G$66:$G$74,MATCH($B18,$F$66:$F$74,0),1),0)+IFERROR(INDEX(#REF!,MATCH($B18,$I$66:$I$74,0),1),0))),2)</f>
        <v>11.16</v>
      </c>
      <c r="I18" s="130"/>
      <c r="J18" s="130"/>
      <c r="K18" s="128">
        <f t="shared" si="1"/>
        <v>0</v>
      </c>
      <c r="L18" s="119"/>
      <c r="N18" s="117"/>
      <c r="R18" s="119"/>
      <c r="S18" s="119"/>
      <c r="T18" s="164"/>
      <c r="U18" s="160"/>
      <c r="V18" s="160"/>
      <c r="W18" s="160"/>
      <c r="X18" s="160"/>
      <c r="Y18" s="160"/>
      <c r="Z18" s="119"/>
      <c r="AA18" s="119"/>
    </row>
    <row r="19" spans="2:27">
      <c r="B19" s="135">
        <f t="shared" si="0"/>
        <v>2025</v>
      </c>
      <c r="C19" s="136"/>
      <c r="D19" s="128"/>
      <c r="E19" s="148"/>
      <c r="F19" s="148"/>
      <c r="G19" s="130"/>
      <c r="H19" s="128">
        <f>ROUND(H18*(1+(IFERROR(INDEX($D$66:$D$74,MATCH($B19,$C$66:$C$74,0),1),0)+IFERROR(INDEX($G$66:$G$74,MATCH($B19,$F$66:$F$74,0),1),0)+IFERROR(INDEX(#REF!,MATCH($B19,$I$66:$I$74,0),1),0))),2)</f>
        <v>11.39</v>
      </c>
      <c r="I19" s="130"/>
      <c r="J19" s="130"/>
      <c r="K19" s="128">
        <f t="shared" si="1"/>
        <v>0</v>
      </c>
      <c r="L19" s="119"/>
      <c r="N19" s="117"/>
      <c r="R19" s="119"/>
      <c r="S19" s="119"/>
      <c r="T19" s="164"/>
      <c r="U19" s="160"/>
      <c r="V19" s="160"/>
      <c r="W19" s="160"/>
      <c r="X19" s="160"/>
      <c r="Y19" s="160"/>
      <c r="Z19" s="119"/>
      <c r="AA19" s="119"/>
    </row>
    <row r="20" spans="2:27">
      <c r="B20" s="135">
        <f t="shared" si="0"/>
        <v>2026</v>
      </c>
      <c r="C20" s="136"/>
      <c r="D20" s="128"/>
      <c r="E20" s="148"/>
      <c r="F20" s="148"/>
      <c r="G20" s="130"/>
      <c r="H20" s="128">
        <f>ROUND(H19*(1+(IFERROR(INDEX($D$66:$D$74,MATCH($B20,$C$66:$C$74,0),1),0)+IFERROR(INDEX($G$66:$G$74,MATCH($B20,$F$66:$F$74,0),1),0)+IFERROR(INDEX(#REF!,MATCH($B20,$I$66:$I$74,0),1),0))),2)</f>
        <v>11.64</v>
      </c>
      <c r="I20" s="130"/>
      <c r="J20" s="130"/>
      <c r="K20" s="128">
        <f t="shared" si="1"/>
        <v>0</v>
      </c>
      <c r="L20" s="119"/>
      <c r="N20" s="117"/>
      <c r="R20" s="160"/>
      <c r="S20" s="119"/>
      <c r="T20" s="164"/>
      <c r="U20" s="160"/>
      <c r="V20" s="160"/>
      <c r="W20" s="160"/>
      <c r="X20" s="160"/>
      <c r="Y20" s="160"/>
      <c r="Z20" s="119"/>
      <c r="AA20" s="119"/>
    </row>
    <row r="21" spans="2:27">
      <c r="B21" s="135">
        <f t="shared" si="0"/>
        <v>2027</v>
      </c>
      <c r="C21" s="136"/>
      <c r="D21" s="128"/>
      <c r="E21" s="148"/>
      <c r="F21" s="148"/>
      <c r="G21" s="130"/>
      <c r="H21" s="128">
        <f>ROUND(H20*(1+(IFERROR(INDEX($D$66:$D$74,MATCH($B21,$C$66:$C$74,0),1),0)+IFERROR(INDEX($G$66:$G$74,MATCH($B21,$F$66:$F$74,0),1),0)+IFERROR(INDEX(#REF!,MATCH($B21,$I$66:$I$74,0),1),0))),2)</f>
        <v>11.91</v>
      </c>
      <c r="I21" s="130"/>
      <c r="J21" s="130"/>
      <c r="K21" s="128">
        <f t="shared" si="1"/>
        <v>0</v>
      </c>
      <c r="L21" s="119"/>
      <c r="N21" s="117"/>
      <c r="R21" s="160"/>
      <c r="S21" s="119"/>
      <c r="T21" s="164"/>
      <c r="U21" s="160"/>
      <c r="V21" s="160"/>
      <c r="W21" s="160"/>
      <c r="X21" s="160"/>
      <c r="Y21" s="160"/>
      <c r="Z21" s="119"/>
      <c r="AA21" s="119"/>
    </row>
    <row r="22" spans="2:27">
      <c r="B22" s="135">
        <f t="shared" si="0"/>
        <v>2028</v>
      </c>
      <c r="C22" s="136"/>
      <c r="D22" s="128"/>
      <c r="E22" s="148"/>
      <c r="F22" s="148"/>
      <c r="G22" s="130"/>
      <c r="H22" s="128">
        <f>ROUND(H21*(1+(IFERROR(INDEX($D$66:$D$74,MATCH($B22,$C$66:$C$74,0),1),0)+IFERROR(INDEX($G$66:$G$74,MATCH($B22,$F$66:$F$74,0),1),0)+IFERROR(INDEX(#REF!,MATCH($B22,$I$66:$I$74,0),1),0))),2)</f>
        <v>12.18</v>
      </c>
      <c r="I22" s="130"/>
      <c r="J22" s="130"/>
      <c r="K22" s="128">
        <f t="shared" si="1"/>
        <v>0</v>
      </c>
      <c r="L22" s="119"/>
      <c r="N22" s="117"/>
      <c r="R22" s="160"/>
      <c r="S22" s="119"/>
      <c r="T22" s="164"/>
      <c r="U22" s="160"/>
      <c r="V22" s="160"/>
      <c r="W22" s="160"/>
      <c r="X22" s="160"/>
      <c r="Y22" s="160"/>
      <c r="Z22" s="119"/>
      <c r="AA22" s="119"/>
    </row>
    <row r="23" spans="2:27">
      <c r="B23" s="135">
        <f t="shared" si="0"/>
        <v>2029</v>
      </c>
      <c r="C23" s="335">
        <v>1709.591836734694</v>
      </c>
      <c r="D23" s="128">
        <f>C23*$C$62</f>
        <v>117.94474081632653</v>
      </c>
      <c r="E23" s="256">
        <v>25</v>
      </c>
      <c r="F23" s="128">
        <f>INDEX('Table 3 PV wS YK_2024'!$F$10:$F$38,MATCH(B23,'Table 3 PV wS YK_2024'!$B$10:$B$38,0),1)</f>
        <v>0.44</v>
      </c>
      <c r="G23" s="130">
        <f>(D23+E23+F23)/(8.76*$C$63)</f>
        <v>44.118924791790221</v>
      </c>
      <c r="H23" s="128">
        <f>ROUND(H22*(1+(IFERROR(INDEX($D$66:$D$74,MATCH($B23,$C$66:$C$74,0),1),0)+IFERROR(INDEX($G$66:$G$74,MATCH($B23,$F$66:$F$74,0),1),0)+IFERROR(INDEX(#REF!,MATCH($B23,$I$66:$I$74,0),1),0))),2)</f>
        <v>12.46</v>
      </c>
      <c r="I23" s="130">
        <f>(G23+H23)</f>
        <v>56.578924791790222</v>
      </c>
      <c r="J23" s="130">
        <f t="shared" ref="J23" si="2">ROUND(I23*$C$63*8.76,2)</f>
        <v>183.88</v>
      </c>
      <c r="K23" s="128">
        <f t="shared" si="1"/>
        <v>143.38474081632654</v>
      </c>
      <c r="L23" s="119"/>
      <c r="N23" s="117"/>
      <c r="P23" s="185"/>
      <c r="R23" s="160"/>
      <c r="S23" s="119"/>
      <c r="T23" s="164"/>
      <c r="U23" s="160"/>
      <c r="V23" s="160"/>
      <c r="W23" s="160"/>
      <c r="X23" s="160"/>
      <c r="Y23" s="160"/>
      <c r="Z23" s="119"/>
      <c r="AA23" s="119"/>
    </row>
    <row r="24" spans="2:27">
      <c r="B24" s="135">
        <f t="shared" si="0"/>
        <v>2030</v>
      </c>
      <c r="C24" s="136"/>
      <c r="D24" s="128">
        <f t="shared" ref="D24:E37" si="3">ROUND(D23*(1+(IFERROR(INDEX($D$66:$D$74,MATCH($B24,$C$66:$C$74,0),1),0)+IFERROR(INDEX($G$66:$G$74,MATCH($B24,$F$66:$F$74,0),1),0)+IFERROR(INDEX($J$66:$J$74,MATCH($B24,$I$66:$I$74,0),1),0))),2)</f>
        <v>120.66</v>
      </c>
      <c r="E24" s="256">
        <v>25.510204081632654</v>
      </c>
      <c r="F24" s="128">
        <f>INDEX('Table 3 PV wS YK_2024'!$F$10:$F$38,MATCH(B24,'Table 3 PV wS YK_2024'!$B$10:$B$38,0),1)</f>
        <v>0.45</v>
      </c>
      <c r="G24" s="130">
        <f t="shared" ref="G24:G37" si="4">(D24+E24+F24)/(8.76*$C$63)</f>
        <v>45.114464203138702</v>
      </c>
      <c r="H24" s="128">
        <f>ROUND(H23*(1+(IFERROR(INDEX($D$66:$D$74,MATCH($B24,$C$66:$C$74,0),1),0)+IFERROR(INDEX($G$66:$G$74,MATCH($B24,$F$66:$F$74,0),1),0)+IFERROR(INDEX(#REF!,MATCH($B24,$I$66:$I$74,0),1),0))),2)</f>
        <v>12.75</v>
      </c>
      <c r="I24" s="130">
        <f t="shared" ref="I24:I37" si="5">(G24+H24)</f>
        <v>57.864464203138702</v>
      </c>
      <c r="J24" s="130">
        <f t="shared" ref="J24:J32" si="6">ROUND(I24*$C$63*8.76,2)</f>
        <v>188.06</v>
      </c>
      <c r="K24" s="128">
        <f t="shared" si="1"/>
        <v>146.62020408163264</v>
      </c>
      <c r="L24" s="119"/>
      <c r="N24" s="117"/>
      <c r="R24" s="160"/>
      <c r="S24" s="119"/>
      <c r="T24" s="164"/>
      <c r="U24" s="160"/>
      <c r="V24" s="160"/>
      <c r="W24" s="160"/>
      <c r="X24" s="160"/>
      <c r="Y24" s="160"/>
      <c r="Z24" s="119"/>
      <c r="AA24" s="119"/>
    </row>
    <row r="25" spans="2:27">
      <c r="B25" s="135">
        <f t="shared" si="0"/>
        <v>2031</v>
      </c>
      <c r="C25" s="136"/>
      <c r="D25" s="128">
        <f t="shared" si="3"/>
        <v>123.44</v>
      </c>
      <c r="E25" s="256">
        <v>26.122448979591837</v>
      </c>
      <c r="F25" s="128">
        <f>INDEX('Table 3 PV wS YK_2024'!$F$10:$F$38,MATCH(B25,'Table 3 PV wS YK_2024'!$B$10:$B$38,0),1)</f>
        <v>0.46</v>
      </c>
      <c r="G25" s="130">
        <f t="shared" si="4"/>
        <v>46.161321671525762</v>
      </c>
      <c r="H25" s="128">
        <f>ROUND(H24*(1+(IFERROR(INDEX($D$66:$D$74,MATCH($B25,$C$66:$C$74,0),1),0)+IFERROR(INDEX($G$66:$G$74,MATCH($B25,$F$66:$F$74,0),1),0)+IFERROR(INDEX(#REF!,MATCH($B25,$I$66:$I$74,0),1),0))),2)</f>
        <v>13.04</v>
      </c>
      <c r="I25" s="130">
        <f t="shared" si="5"/>
        <v>59.201321671525761</v>
      </c>
      <c r="J25" s="130">
        <f t="shared" si="6"/>
        <v>192.4</v>
      </c>
      <c r="K25" s="128">
        <f t="shared" si="1"/>
        <v>150.02244897959184</v>
      </c>
      <c r="L25" s="119"/>
      <c r="N25" s="117"/>
      <c r="R25" s="160"/>
      <c r="S25" s="119"/>
      <c r="T25" s="164"/>
      <c r="U25" s="160"/>
      <c r="V25" s="160"/>
      <c r="W25" s="160"/>
      <c r="X25" s="160"/>
      <c r="Y25" s="160"/>
      <c r="Z25" s="119"/>
      <c r="AA25" s="119"/>
    </row>
    <row r="26" spans="2:27">
      <c r="B26" s="135">
        <f t="shared" si="0"/>
        <v>2032</v>
      </c>
      <c r="C26" s="136"/>
      <c r="D26" s="128">
        <f t="shared" si="3"/>
        <v>126.28</v>
      </c>
      <c r="E26" s="256">
        <v>26.73469387755102</v>
      </c>
      <c r="F26" s="128">
        <f>INDEX('Table 3 PV wS YK_2024'!$F$10:$F$38,MATCH(B26,'Table 3 PV wS YK_2024'!$B$10:$B$38,0),1)</f>
        <v>0.47</v>
      </c>
      <c r="G26" s="130">
        <f t="shared" si="4"/>
        <v>47.226640905596078</v>
      </c>
      <c r="H26" s="128">
        <f>ROUND(H25*(1+(IFERROR(INDEX($D$66:$D$74,MATCH($B26,$C$66:$C$74,0),1),0)+IFERROR(INDEX($G$66:$G$74,MATCH($B26,$F$66:$F$74,0),1),0)+IFERROR(INDEX(#REF!,MATCH($B26,$I$66:$I$74,0),1),0))),2)</f>
        <v>13.34</v>
      </c>
      <c r="I26" s="130">
        <f t="shared" si="5"/>
        <v>60.566640905596074</v>
      </c>
      <c r="J26" s="130">
        <f t="shared" si="6"/>
        <v>196.84</v>
      </c>
      <c r="K26" s="128">
        <f t="shared" si="1"/>
        <v>153.48469387755102</v>
      </c>
      <c r="L26" s="119"/>
      <c r="N26" s="117"/>
      <c r="R26" s="160"/>
      <c r="S26" s="119"/>
      <c r="T26" s="164"/>
      <c r="U26" s="160"/>
      <c r="V26" s="160"/>
      <c r="W26" s="160"/>
      <c r="X26" s="160"/>
      <c r="Y26" s="160"/>
      <c r="Z26" s="119"/>
      <c r="AA26" s="119"/>
    </row>
    <row r="27" spans="2:27">
      <c r="B27" s="135">
        <f t="shared" si="0"/>
        <v>2033</v>
      </c>
      <c r="C27" s="136"/>
      <c r="D27" s="128">
        <f t="shared" si="3"/>
        <v>129.18</v>
      </c>
      <c r="E27" s="256">
        <v>27.346938775510203</v>
      </c>
      <c r="F27" s="128">
        <f>INDEX('Table 3 PV wS YK_2024'!$F$10:$F$38,MATCH(B27,'Table 3 PV wS YK_2024'!$B$10:$B$38,0),1)</f>
        <v>0.48</v>
      </c>
      <c r="G27" s="130">
        <f t="shared" si="4"/>
        <v>48.310421905349671</v>
      </c>
      <c r="H27" s="128">
        <f>ROUND(H26*(1+(IFERROR(INDEX($D$66:$D$74,MATCH($B27,$C$66:$C$74,0),1),0)+IFERROR(INDEX($G$66:$G$74,MATCH($B27,$F$66:$F$74,0),1),0)+IFERROR(INDEX(#REF!,MATCH($B27,$I$66:$I$74,0),1),0))),2)</f>
        <v>13.65</v>
      </c>
      <c r="I27" s="130">
        <f t="shared" si="5"/>
        <v>61.960421905349669</v>
      </c>
      <c r="J27" s="130">
        <f t="shared" si="6"/>
        <v>201.37</v>
      </c>
      <c r="K27" s="128">
        <f t="shared" si="1"/>
        <v>157.00693877551021</v>
      </c>
      <c r="L27" s="119"/>
      <c r="N27" s="117"/>
      <c r="R27" s="160"/>
      <c r="S27" s="119"/>
      <c r="T27" s="164"/>
      <c r="U27" s="160"/>
      <c r="V27" s="160"/>
      <c r="W27" s="160"/>
      <c r="X27" s="160"/>
      <c r="Y27" s="160"/>
      <c r="Z27" s="119"/>
      <c r="AA27" s="119"/>
    </row>
    <row r="28" spans="2:27">
      <c r="B28" s="135">
        <f t="shared" si="0"/>
        <v>2034</v>
      </c>
      <c r="C28" s="136"/>
      <c r="D28" s="128">
        <f t="shared" si="3"/>
        <v>132.15</v>
      </c>
      <c r="E28" s="256">
        <v>27.959183673469386</v>
      </c>
      <c r="F28" s="128">
        <f>INDEX('Table 3 PV wS YK_2024'!$F$10:$F$38,MATCH(B28,'Table 3 PV wS YK_2024'!$B$10:$B$38,0),1)</f>
        <v>0.49</v>
      </c>
      <c r="G28" s="130">
        <f t="shared" si="4"/>
        <v>49.415741631733752</v>
      </c>
      <c r="H28" s="128">
        <f>ROUND(H27*(1+(IFERROR(INDEX($D$66:$D$74,MATCH($B28,$C$66:$C$74,0),1),0)+IFERROR(INDEX($G$66:$G$74,MATCH($B28,$F$66:$F$74,0),1),0)+IFERROR(INDEX(#REF!,MATCH($B28,$I$66:$I$74,0),1),0))),2)</f>
        <v>13.96</v>
      </c>
      <c r="I28" s="130">
        <f t="shared" si="5"/>
        <v>63.375741631733753</v>
      </c>
      <c r="J28" s="130">
        <f t="shared" si="6"/>
        <v>205.97</v>
      </c>
      <c r="K28" s="128">
        <f t="shared" si="1"/>
        <v>160.59918367346941</v>
      </c>
      <c r="L28" s="119"/>
      <c r="N28" s="117"/>
      <c r="R28" s="160"/>
      <c r="S28" s="119"/>
      <c r="T28" s="164"/>
      <c r="U28" s="160"/>
      <c r="V28" s="160"/>
      <c r="W28" s="160"/>
      <c r="X28" s="160"/>
      <c r="Y28" s="160"/>
      <c r="Z28" s="119"/>
      <c r="AA28" s="119"/>
    </row>
    <row r="29" spans="2:27">
      <c r="B29" s="135">
        <f t="shared" si="0"/>
        <v>2035</v>
      </c>
      <c r="C29" s="136"/>
      <c r="D29" s="128">
        <f t="shared" si="3"/>
        <v>135.19</v>
      </c>
      <c r="E29" s="256">
        <v>28.571428571428573</v>
      </c>
      <c r="F29" s="128">
        <f>INDEX('Table 3 PV wS YK_2024'!$F$10:$F$38,MATCH(B29,'Table 3 PV wS YK_2024'!$B$10:$B$38,0),1)</f>
        <v>0.5</v>
      </c>
      <c r="G29" s="130">
        <f t="shared" si="4"/>
        <v>50.542600084748301</v>
      </c>
      <c r="H29" s="128">
        <f>ROUND(H28*(1+(IFERROR(INDEX($D$66:$D$74,MATCH($B29,$C$66:$C$74,0),1),0)+IFERROR(INDEX($G$66:$G$74,MATCH($B29,$F$66:$F$74,0),1),0)+IFERROR(INDEX(#REF!,MATCH($B29,$I$66:$I$74,0),1),0))),2)</f>
        <v>13.96</v>
      </c>
      <c r="I29" s="130">
        <f t="shared" si="5"/>
        <v>64.502600084748309</v>
      </c>
      <c r="J29" s="130">
        <f t="shared" si="6"/>
        <v>209.63</v>
      </c>
      <c r="K29" s="128">
        <f t="shared" si="1"/>
        <v>164.26142857142858</v>
      </c>
      <c r="L29" s="119"/>
      <c r="N29" s="117"/>
      <c r="R29" s="160"/>
      <c r="S29" s="119"/>
      <c r="T29" s="164"/>
      <c r="U29" s="160"/>
      <c r="V29" s="160"/>
      <c r="W29" s="160"/>
      <c r="X29" s="160"/>
      <c r="Y29" s="160"/>
      <c r="Z29" s="119"/>
      <c r="AA29" s="119"/>
    </row>
    <row r="30" spans="2:27">
      <c r="B30" s="135">
        <f t="shared" si="0"/>
        <v>2036</v>
      </c>
      <c r="C30" s="136"/>
      <c r="D30" s="128">
        <f t="shared" si="3"/>
        <v>138.30000000000001</v>
      </c>
      <c r="E30" s="256">
        <v>29.183673469387756</v>
      </c>
      <c r="F30" s="128">
        <f>INDEX('Table 3 PV wS YK_2024'!$F$10:$F$38,MATCH(B30,'Table 3 PV wS YK_2024'!$B$10:$B$38,0),1)</f>
        <v>0.51</v>
      </c>
      <c r="G30" s="130">
        <f t="shared" si="4"/>
        <v>51.690997264393339</v>
      </c>
      <c r="H30" s="128">
        <f>ROUND(H29*(1+(IFERROR(INDEX($D$66:$D$74,MATCH($B30,$C$66:$C$74,0),1),0)+IFERROR(INDEX($G$66:$G$74,MATCH($B30,$F$66:$F$74,0),1),0)+IFERROR(INDEX(#REF!,MATCH($B30,$I$66:$I$74,0),1),0))),2)</f>
        <v>13.96</v>
      </c>
      <c r="I30" s="130">
        <f t="shared" si="5"/>
        <v>65.650997264393339</v>
      </c>
      <c r="J30" s="130">
        <f t="shared" si="6"/>
        <v>213.36</v>
      </c>
      <c r="K30" s="128">
        <f t="shared" si="1"/>
        <v>167.99367346938777</v>
      </c>
      <c r="L30" s="119"/>
      <c r="N30" s="117"/>
      <c r="R30" s="160"/>
      <c r="S30" s="119"/>
      <c r="T30" s="164"/>
      <c r="U30" s="160"/>
      <c r="V30" s="160"/>
      <c r="W30" s="160"/>
      <c r="X30" s="160"/>
      <c r="Y30" s="160"/>
      <c r="Z30" s="119"/>
      <c r="AA30" s="119"/>
    </row>
    <row r="31" spans="2:27">
      <c r="B31" s="135">
        <f t="shared" si="0"/>
        <v>2037</v>
      </c>
      <c r="C31" s="136"/>
      <c r="D31" s="128">
        <f t="shared" si="3"/>
        <v>141.47999999999999</v>
      </c>
      <c r="E31" s="256">
        <v>29.897959183673468</v>
      </c>
      <c r="F31" s="128">
        <f>INDEX('Table 3 PV wS YK_2024'!$F$10:$F$38,MATCH(B31,'Table 3 PV wS YK_2024'!$B$10:$B$38,0),1)</f>
        <v>0.52</v>
      </c>
      <c r="G31" s="130">
        <f t="shared" si="4"/>
        <v>52.89233073135469</v>
      </c>
      <c r="H31" s="128">
        <f>ROUND(H30*(1+(IFERROR(INDEX($D$66:$D$74,MATCH($B31,$C$66:$C$74,0),1),0)+IFERROR(INDEX($G$66:$G$74,MATCH($B31,$F$66:$F$74,0),1),0)+IFERROR(INDEX(#REF!,MATCH($B31,$I$66:$I$74,0),1),0))),2)</f>
        <v>13.96</v>
      </c>
      <c r="I31" s="130">
        <f t="shared" si="5"/>
        <v>66.852330731354698</v>
      </c>
      <c r="J31" s="130">
        <f t="shared" si="6"/>
        <v>217.27</v>
      </c>
      <c r="K31" s="128">
        <f t="shared" si="1"/>
        <v>171.89795918367346</v>
      </c>
      <c r="L31" s="119"/>
      <c r="N31" s="117"/>
      <c r="R31" s="160"/>
      <c r="S31" s="119"/>
      <c r="T31" s="164"/>
      <c r="U31" s="160"/>
      <c r="V31" s="160"/>
      <c r="W31" s="160"/>
      <c r="X31" s="160"/>
      <c r="Y31" s="160"/>
      <c r="Z31" s="119"/>
      <c r="AA31" s="119"/>
    </row>
    <row r="32" spans="2:27">
      <c r="B32" s="135">
        <f t="shared" si="0"/>
        <v>2038</v>
      </c>
      <c r="C32" s="136"/>
      <c r="D32" s="128">
        <f t="shared" si="3"/>
        <v>144.72999999999999</v>
      </c>
      <c r="E32" s="256">
        <v>30.612244897959183</v>
      </c>
      <c r="F32" s="128">
        <f>INDEX('Table 3 PV wS YK_2024'!$F$10:$F$38,MATCH(B32,'Table 3 PV wS YK_2024'!$B$10:$B$38,0),1)</f>
        <v>0.53</v>
      </c>
      <c r="G32" s="130">
        <f t="shared" si="4"/>
        <v>54.115202924946523</v>
      </c>
      <c r="H32" s="128">
        <f>ROUND(H31*(1+(IFERROR(INDEX($D$66:$D$74,MATCH($B32,$C$66:$C$74,0),1),0)+IFERROR(INDEX($G$66:$G$74,MATCH($B32,$F$66:$F$74,0),1),0)+IFERROR(INDEX(#REF!,MATCH($B32,$I$66:$I$74,0),1),0))),2)</f>
        <v>13.96</v>
      </c>
      <c r="I32" s="130">
        <f t="shared" si="5"/>
        <v>68.075202924946524</v>
      </c>
      <c r="J32" s="130">
        <f t="shared" si="6"/>
        <v>221.24</v>
      </c>
      <c r="K32" s="128">
        <f t="shared" si="1"/>
        <v>175.87224489795918</v>
      </c>
      <c r="L32" s="119"/>
      <c r="N32" s="117"/>
      <c r="R32" s="160"/>
      <c r="S32" s="119"/>
      <c r="T32" s="164"/>
      <c r="U32" s="160"/>
      <c r="V32" s="160"/>
      <c r="W32" s="160"/>
      <c r="X32" s="160"/>
      <c r="Y32" s="160"/>
      <c r="Z32" s="119"/>
      <c r="AA32" s="119"/>
    </row>
    <row r="33" spans="2:27">
      <c r="B33" s="135">
        <f t="shared" si="0"/>
        <v>2039</v>
      </c>
      <c r="C33" s="136"/>
      <c r="D33" s="128">
        <f t="shared" si="3"/>
        <v>148.06</v>
      </c>
      <c r="E33" s="128">
        <f t="shared" si="3"/>
        <v>31.32</v>
      </c>
      <c r="F33" s="128">
        <f>INDEX('Table 3 PV wS YK_2024'!$F$10:$F$38,MATCH(B33,'Table 3 PV wS YK_2024'!$B$10:$B$38,0),1)</f>
        <v>0.54</v>
      </c>
      <c r="G33" s="130">
        <f t="shared" si="4"/>
        <v>55.36068136223215</v>
      </c>
      <c r="H33" s="128">
        <f>ROUND(H32*(1+(IFERROR(INDEX($D$66:$D$74,MATCH($B33,$C$66:$C$74,0),1),0)+IFERROR(INDEX($G$66:$G$74,MATCH($B33,$F$66:$F$74,0),1),0)+IFERROR(INDEX(#REF!,MATCH($B33,$I$66:$I$74,0),1),0))),2)</f>
        <v>13.96</v>
      </c>
      <c r="I33" s="130">
        <f t="shared" si="5"/>
        <v>69.32068136223215</v>
      </c>
      <c r="J33" s="130">
        <f t="shared" ref="J33:J37" si="7">ROUND(I33*$C$63*8.76,2)</f>
        <v>225.29</v>
      </c>
      <c r="K33" s="128">
        <f t="shared" si="1"/>
        <v>179.92</v>
      </c>
      <c r="L33" s="119"/>
      <c r="N33" s="117"/>
      <c r="AA33" s="265"/>
    </row>
    <row r="34" spans="2:27">
      <c r="B34" s="135">
        <f t="shared" si="0"/>
        <v>2040</v>
      </c>
      <c r="C34" s="136"/>
      <c r="D34" s="128">
        <f t="shared" si="3"/>
        <v>151.47</v>
      </c>
      <c r="E34" s="128">
        <f t="shared" ref="E34" si="8">ROUND(E33*(1+(IFERROR(INDEX($D$66:$D$74,MATCH($B34,$C$66:$C$74,0),1),0)+IFERROR(INDEX($G$66:$G$74,MATCH($B34,$F$66:$F$74,0),1),0)+IFERROR(INDEX($J$66:$J$74,MATCH($B34,$I$66:$I$74,0),1),0))),2)</f>
        <v>32.04</v>
      </c>
      <c r="F34" s="128">
        <f>INDEX('Table 3 PV wS YK_2024'!$F$10:$F$38,MATCH(B34,'Table 3 PV wS YK_2024'!$B$10:$B$38,0),1)</f>
        <v>0.55000000000000004</v>
      </c>
      <c r="G34" s="130">
        <f t="shared" si="4"/>
        <v>56.634543194377784</v>
      </c>
      <c r="H34" s="128">
        <f>ROUND(H33*(1+(IFERROR(INDEX($D$66:$D$74,MATCH($B34,$C$66:$C$74,0),1),0)+IFERROR(INDEX($G$66:$G$74,MATCH($B34,$F$66:$F$74,0),1),0)+IFERROR(INDEX(#REF!,MATCH($B34,$I$66:$I$74,0),1),0))),2)</f>
        <v>13.96</v>
      </c>
      <c r="I34" s="130">
        <f t="shared" si="5"/>
        <v>70.594543194377792</v>
      </c>
      <c r="J34" s="130">
        <f t="shared" si="7"/>
        <v>229.43</v>
      </c>
      <c r="K34" s="128">
        <f t="shared" si="1"/>
        <v>184.06</v>
      </c>
      <c r="L34" s="119"/>
      <c r="N34" s="117"/>
      <c r="AA34" s="265"/>
    </row>
    <row r="35" spans="2:27">
      <c r="B35" s="135">
        <f t="shared" si="0"/>
        <v>2041</v>
      </c>
      <c r="C35" s="136"/>
      <c r="D35" s="128">
        <f t="shared" si="3"/>
        <v>154.94999999999999</v>
      </c>
      <c r="E35" s="128">
        <f t="shared" ref="E35" si="9">ROUND(E34*(1+(IFERROR(INDEX($D$66:$D$74,MATCH($B35,$C$66:$C$74,0),1),0)+IFERROR(INDEX($G$66:$G$74,MATCH($B35,$F$66:$F$74,0),1),0)+IFERROR(INDEX($J$66:$J$74,MATCH($B35,$I$66:$I$74,0),1),0))),2)</f>
        <v>32.78</v>
      </c>
      <c r="F35" s="128">
        <f>INDEX('Table 3 PV wS YK_2024'!$F$10:$F$38,MATCH(B35,'Table 3 PV wS YK_2024'!$B$10:$B$38,0),1)</f>
        <v>0.56000000000000005</v>
      </c>
      <c r="G35" s="130">
        <f t="shared" si="4"/>
        <v>57.936097675048309</v>
      </c>
      <c r="H35" s="128">
        <f>ROUND(H34*(1+(IFERROR(INDEX($D$66:$D$74,MATCH($B35,$C$66:$C$74,0),1),0)+IFERROR(INDEX($G$66:$G$74,MATCH($B35,$F$66:$F$74,0),1),0)+IFERROR(INDEX(#REF!,MATCH($B35,$I$66:$I$74,0),1),0))),2)</f>
        <v>13.96</v>
      </c>
      <c r="I35" s="130">
        <f t="shared" si="5"/>
        <v>71.89609767504831</v>
      </c>
      <c r="J35" s="130">
        <f t="shared" si="7"/>
        <v>233.66</v>
      </c>
      <c r="K35" s="128">
        <f t="shared" si="1"/>
        <v>188.29</v>
      </c>
      <c r="L35" s="119"/>
      <c r="N35" s="117"/>
      <c r="AA35" s="265"/>
    </row>
    <row r="36" spans="2:27">
      <c r="B36" s="135">
        <f t="shared" si="0"/>
        <v>2042</v>
      </c>
      <c r="C36" s="136"/>
      <c r="D36" s="128">
        <f t="shared" si="3"/>
        <v>158.51</v>
      </c>
      <c r="E36" s="128">
        <f t="shared" ref="E36" si="10">ROUND(E35*(1+(IFERROR(INDEX($D$66:$D$74,MATCH($B36,$C$66:$C$74,0),1),0)+IFERROR(INDEX($G$66:$G$74,MATCH($B36,$F$66:$F$74,0),1),0)+IFERROR(INDEX($J$66:$J$74,MATCH($B36,$I$66:$I$74,0),1),0))),2)</f>
        <v>33.53</v>
      </c>
      <c r="F36" s="128">
        <f>INDEX('Table 3 PV wS YK_2024'!$F$10:$F$38,MATCH(B36,'Table 3 PV wS YK_2024'!$B$10:$B$38,0),1)</f>
        <v>0.56999999999999995</v>
      </c>
      <c r="G36" s="130">
        <f t="shared" si="4"/>
        <v>59.265344804243746</v>
      </c>
      <c r="H36" s="128">
        <f>ROUND(H35*(1+(IFERROR(INDEX($D$66:$D$74,MATCH($B36,$C$66:$C$74,0),1),0)+IFERROR(INDEX($G$66:$G$74,MATCH($B36,$F$66:$F$74,0),1),0)+IFERROR(INDEX(#REF!,MATCH($B36,$I$66:$I$74,0),1),0))),2)</f>
        <v>13.96</v>
      </c>
      <c r="I36" s="130">
        <f t="shared" si="5"/>
        <v>73.225344804243747</v>
      </c>
      <c r="J36" s="130">
        <f t="shared" si="7"/>
        <v>237.98</v>
      </c>
      <c r="K36" s="128">
        <f t="shared" si="1"/>
        <v>192.60999999999999</v>
      </c>
      <c r="L36" s="119"/>
      <c r="N36" s="117"/>
      <c r="AA36" s="265"/>
    </row>
    <row r="37" spans="2:27">
      <c r="B37" s="135">
        <f t="shared" si="0"/>
        <v>2043</v>
      </c>
      <c r="C37" s="136"/>
      <c r="D37" s="128">
        <f t="shared" si="3"/>
        <v>162.31</v>
      </c>
      <c r="E37" s="128">
        <f t="shared" ref="E37" si="11">ROUND(E36*(1+(IFERROR(INDEX($D$66:$D$74,MATCH($B37,$C$66:$C$74,0),1),0)+IFERROR(INDEX($G$66:$G$74,MATCH($B37,$F$66:$F$74,0),1),0)+IFERROR(INDEX($J$66:$J$74,MATCH($B37,$I$66:$I$74,0),1),0))),2)</f>
        <v>34.33</v>
      </c>
      <c r="F37" s="128">
        <f>INDEX('Table 3 PV wS YK_2024'!$F$10:$F$38,MATCH(B37,'Table 3 PV wS YK_2024'!$B$10:$B$38,0),1)</f>
        <v>0.57999999999999996</v>
      </c>
      <c r="G37" s="130">
        <f t="shared" si="4"/>
        <v>60.683823800908321</v>
      </c>
      <c r="H37" s="128">
        <f>ROUND(H36*(1+(IFERROR(INDEX($D$66:$D$74,MATCH($B37,$C$66:$C$74,0),1),0)+IFERROR(INDEX($G$66:$G$74,MATCH($B37,$F$66:$F$74,0),1),0)+IFERROR(INDEX(#REF!,MATCH($B37,$I$66:$I$74,0),1),0))),2)</f>
        <v>13.96</v>
      </c>
      <c r="I37" s="130">
        <f t="shared" si="5"/>
        <v>74.643823800908322</v>
      </c>
      <c r="J37" s="130">
        <f t="shared" si="7"/>
        <v>242.59</v>
      </c>
      <c r="K37" s="128">
        <f t="shared" si="1"/>
        <v>197.22</v>
      </c>
      <c r="L37" s="119"/>
      <c r="N37" s="117"/>
      <c r="AA37" s="265"/>
    </row>
    <row r="38" spans="2:27">
      <c r="B38" s="135"/>
      <c r="C38" s="136"/>
      <c r="D38" s="128"/>
      <c r="E38" s="128"/>
      <c r="F38" s="128"/>
      <c r="G38" s="130"/>
      <c r="H38" s="128"/>
      <c r="I38" s="130"/>
      <c r="J38" s="130"/>
      <c r="K38" s="128"/>
      <c r="L38" s="119"/>
      <c r="N38" s="117"/>
      <c r="AA38" s="265"/>
    </row>
    <row r="39" spans="2:27">
      <c r="B39" s="135"/>
      <c r="C39" s="136"/>
      <c r="D39" s="128"/>
      <c r="E39" s="128"/>
      <c r="F39" s="128"/>
      <c r="G39" s="130"/>
      <c r="H39" s="128"/>
      <c r="I39" s="130"/>
      <c r="J39" s="130"/>
      <c r="K39" s="128"/>
      <c r="L39" s="119"/>
      <c r="N39" s="117"/>
      <c r="AA39" s="265"/>
    </row>
    <row r="40" spans="2:27">
      <c r="B40" s="135"/>
      <c r="C40" s="136"/>
      <c r="D40" s="128"/>
      <c r="E40" s="128"/>
      <c r="F40" s="128"/>
      <c r="G40" s="130"/>
      <c r="H40" s="128"/>
      <c r="I40" s="130"/>
      <c r="J40" s="130"/>
      <c r="K40" s="128"/>
      <c r="L40" s="119"/>
      <c r="N40" s="117"/>
      <c r="AA40" s="265"/>
    </row>
    <row r="41" spans="2:27">
      <c r="B41" s="135"/>
      <c r="C41" s="136"/>
      <c r="D41" s="128"/>
      <c r="E41" s="128"/>
      <c r="F41" s="128"/>
      <c r="G41" s="130"/>
      <c r="H41" s="128"/>
      <c r="I41" s="130"/>
      <c r="J41" s="130"/>
      <c r="K41" s="128"/>
      <c r="L41" s="119"/>
      <c r="N41" s="117"/>
      <c r="AA41" s="265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AA42" s="265"/>
    </row>
    <row r="43" spans="2:27">
      <c r="AA43" s="265"/>
    </row>
    <row r="44" spans="2:27">
      <c r="B44" s="117" t="s">
        <v>63</v>
      </c>
      <c r="C44" s="140" t="s">
        <v>64</v>
      </c>
      <c r="D44" s="141" t="s">
        <v>102</v>
      </c>
      <c r="AA44" s="265"/>
    </row>
    <row r="45" spans="2:27">
      <c r="C45" s="140" t="str">
        <f>C7</f>
        <v>(a)</v>
      </c>
      <c r="D45" s="117" t="s">
        <v>65</v>
      </c>
      <c r="AA45" s="265"/>
    </row>
    <row r="46" spans="2:27">
      <c r="C46" s="140" t="str">
        <f>D7</f>
        <v>(b)</v>
      </c>
      <c r="D46" s="130" t="str">
        <f>"= "&amp;C7&amp;" x "&amp;C62</f>
        <v>= (a) x 0.06899</v>
      </c>
      <c r="AA46" s="265"/>
    </row>
    <row r="47" spans="2:27">
      <c r="C47" s="140" t="str">
        <f>G7</f>
        <v>(e)</v>
      </c>
      <c r="D47" s="130" t="str">
        <f>"= ("&amp;$D$7&amp;" + "&amp;$E$7&amp;") /  (8.76 x "&amp;TEXT(C63,"0.0%")&amp;")"</f>
        <v>= ((b) + (c)) /  (8.76 x 37.1%)</v>
      </c>
      <c r="AA47" s="265"/>
    </row>
    <row r="48" spans="2:27">
      <c r="C48" s="140" t="str">
        <f>I7</f>
        <v>(g)</v>
      </c>
      <c r="D48" s="130" t="str">
        <f>"= "&amp;$G$7&amp;" + "&amp;$H$7</f>
        <v>= (e) + (f)</v>
      </c>
      <c r="AA48" s="265"/>
    </row>
    <row r="49" spans="2:27">
      <c r="C49" s="140" t="str">
        <f>K7</f>
        <v>(i)</v>
      </c>
      <c r="D49" s="85" t="str">
        <f>D44</f>
        <v>Plant Costs  - 2019 IRP Update - Table 6.1 &amp; 6.2</v>
      </c>
      <c r="AA49" s="265"/>
    </row>
    <row r="50" spans="2:27">
      <c r="C50" s="140"/>
      <c r="D50" s="130"/>
      <c r="AA50" s="265"/>
    </row>
    <row r="51" spans="2:27" ht="13.5" thickBot="1">
      <c r="AA51" s="265"/>
    </row>
    <row r="52" spans="2:27" ht="13.5" thickBot="1">
      <c r="C52" s="42" t="str">
        <f>B2&amp;" - "&amp;B3</f>
        <v>2019 IRP Yakima Wind with Storage Resource - 37% Capacity Factor</v>
      </c>
      <c r="D52" s="142"/>
      <c r="E52" s="142"/>
      <c r="F52" s="142"/>
      <c r="G52" s="142"/>
      <c r="H52" s="142"/>
      <c r="I52" s="143"/>
      <c r="J52" s="143"/>
      <c r="K52" s="144"/>
      <c r="AA52" s="265"/>
    </row>
    <row r="53" spans="2:27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  <c r="AA53" s="265"/>
    </row>
    <row r="54" spans="2:27">
      <c r="P54" s="117" t="s">
        <v>103</v>
      </c>
      <c r="Q54" s="117">
        <v>2029</v>
      </c>
    </row>
    <row r="55" spans="2:27">
      <c r="B55" s="85" t="s">
        <v>101</v>
      </c>
      <c r="C55" s="170">
        <v>1923.6831909029345</v>
      </c>
      <c r="D55" s="117" t="s">
        <v>65</v>
      </c>
      <c r="T55" s="117" t="str">
        <f>$Q$56&amp;"Proposed Station Capital Costs"</f>
        <v>H_.YK1_WDSProposed Station Capital Costs</v>
      </c>
    </row>
    <row r="56" spans="2:27">
      <c r="B56" s="85" t="s">
        <v>101</v>
      </c>
      <c r="C56" s="256">
        <v>30.743277943329019</v>
      </c>
      <c r="D56" s="117" t="s">
        <v>68</v>
      </c>
      <c r="O56" s="117">
        <v>9.8000000000000007</v>
      </c>
      <c r="P56" s="117" t="s">
        <v>32</v>
      </c>
      <c r="Q56" s="117" t="s">
        <v>157</v>
      </c>
      <c r="T56" s="117" t="str">
        <f>Q56&amp;"Proposed Station Fixed Costs"</f>
        <v>H_.YK1_WDSProposed Station Fixed Costs</v>
      </c>
      <c r="Z56" s="117" t="s">
        <v>110</v>
      </c>
      <c r="AA56" s="266">
        <f>PMT(0.0692,30,NPV(0.0692,AA23:AA52))</f>
        <v>0</v>
      </c>
    </row>
    <row r="57" spans="2:27" ht="24" customHeight="1">
      <c r="B57" s="85"/>
      <c r="C57" s="258"/>
      <c r="D57" s="117" t="s">
        <v>105</v>
      </c>
    </row>
    <row r="58" spans="2:27">
      <c r="B58" s="85" t="s">
        <v>101</v>
      </c>
      <c r="C58" s="256">
        <v>10</v>
      </c>
      <c r="D58" s="117" t="s">
        <v>69</v>
      </c>
      <c r="K58" s="119"/>
      <c r="L58" s="149"/>
      <c r="M58" s="52"/>
      <c r="N58" s="163"/>
      <c r="O58" s="52"/>
      <c r="P58" s="52"/>
      <c r="Q58" s="119"/>
      <c r="R58" s="119"/>
      <c r="T58" s="117" t="str">
        <f>$Q$56&amp;"Proposed Station Variable O&amp;M Costs"</f>
        <v>H_.YK1_WDSProposed Station Variable O&amp;M Costs</v>
      </c>
      <c r="U58" s="119"/>
      <c r="V58" s="119"/>
      <c r="W58" s="119"/>
      <c r="X58" s="119"/>
      <c r="Y58" s="119"/>
    </row>
    <row r="59" spans="2:27">
      <c r="B59" s="85"/>
      <c r="C59" s="158"/>
      <c r="D59" s="117" t="s">
        <v>70</v>
      </c>
      <c r="I59" s="184" t="s">
        <v>91</v>
      </c>
      <c r="L59" s="151"/>
      <c r="M59" s="152"/>
      <c r="O59" s="150"/>
      <c r="P59" s="119"/>
      <c r="Q59" s="201" t="str">
        <f>Q56&amp;Q54</f>
        <v>H_.YK1_WDS2029</v>
      </c>
      <c r="R59" s="119"/>
      <c r="T59" s="117" t="str">
        <f>$Q$57&amp;"Proposed Station Variable O&amp;M Costs"</f>
        <v>Proposed Station Variable O&amp;M Costs</v>
      </c>
      <c r="U59" s="119"/>
      <c r="V59" s="119"/>
      <c r="W59" s="119"/>
      <c r="X59" s="119"/>
      <c r="Y59" s="119"/>
    </row>
    <row r="60" spans="2:27">
      <c r="B60" s="357" t="str">
        <f>LEFT(RIGHT(INDEX('Table 3 TransCost'!$39:$39,1,MATCH(F60,'Table 3 TransCost'!$4:$4,0)),6),5)</f>
        <v>2024$</v>
      </c>
      <c r="C60" s="258">
        <f>INDEX('Table 3 TransCost'!$39:$39,1,MATCH(F60,'Table 3 TransCost'!$4:$4,0)+2)</f>
        <v>0.39132049215213044</v>
      </c>
      <c r="D60" s="117" t="s">
        <v>218</v>
      </c>
      <c r="F60" s="262" t="s">
        <v>183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7">
      <c r="B61" s="85"/>
      <c r="C61" s="187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7">
      <c r="C62" s="257">
        <v>6.8989999999999996E-2</v>
      </c>
      <c r="D62" s="117" t="s">
        <v>36</v>
      </c>
      <c r="K62" s="155"/>
      <c r="L62" s="156"/>
      <c r="M62" s="156"/>
      <c r="O62" s="157"/>
    </row>
    <row r="63" spans="2:27">
      <c r="C63" s="195">
        <v>0.371</v>
      </c>
      <c r="D63" s="117" t="s">
        <v>37</v>
      </c>
    </row>
    <row r="64" spans="2:27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December 31, 2020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12">C66+1</f>
        <v>2018</v>
      </c>
      <c r="D67" s="41">
        <v>2.4E-2</v>
      </c>
      <c r="E67" s="85"/>
      <c r="F67" s="87">
        <f t="shared" ref="F67:F74" si="13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12"/>
        <v>2019</v>
      </c>
      <c r="D68" s="41">
        <v>1.7999999999999999E-2</v>
      </c>
      <c r="E68" s="85"/>
      <c r="F68" s="87">
        <f t="shared" si="13"/>
        <v>2028</v>
      </c>
      <c r="G68" s="41">
        <v>2.3E-2</v>
      </c>
      <c r="H68" s="41"/>
      <c r="I68" s="87">
        <f t="shared" ref="I68:I74" si="14">I67+1</f>
        <v>2037</v>
      </c>
      <c r="J68" s="41">
        <v>2.3E-2</v>
      </c>
    </row>
    <row r="69" spans="3:14">
      <c r="C69" s="87">
        <f t="shared" si="12"/>
        <v>2020</v>
      </c>
      <c r="D69" s="41">
        <v>1.2E-2</v>
      </c>
      <c r="E69" s="85"/>
      <c r="F69" s="87">
        <f t="shared" si="13"/>
        <v>2029</v>
      </c>
      <c r="G69" s="41">
        <v>2.3E-2</v>
      </c>
      <c r="H69" s="41"/>
      <c r="I69" s="87">
        <f t="shared" si="14"/>
        <v>2038</v>
      </c>
      <c r="J69" s="41">
        <v>2.3E-2</v>
      </c>
    </row>
    <row r="70" spans="3:14">
      <c r="C70" s="87">
        <f t="shared" si="12"/>
        <v>2021</v>
      </c>
      <c r="D70" s="41">
        <v>1.9E-2</v>
      </c>
      <c r="E70" s="85"/>
      <c r="F70" s="87">
        <f t="shared" si="13"/>
        <v>2030</v>
      </c>
      <c r="G70" s="41">
        <v>2.3E-2</v>
      </c>
      <c r="H70" s="41"/>
      <c r="I70" s="87">
        <f t="shared" si="14"/>
        <v>2039</v>
      </c>
      <c r="J70" s="41">
        <v>2.3E-2</v>
      </c>
    </row>
    <row r="71" spans="3:14">
      <c r="C71" s="87">
        <f t="shared" si="12"/>
        <v>2022</v>
      </c>
      <c r="D71" s="41">
        <v>2.1999999999999999E-2</v>
      </c>
      <c r="E71" s="85"/>
      <c r="F71" s="87">
        <f t="shared" si="13"/>
        <v>2031</v>
      </c>
      <c r="G71" s="41">
        <v>2.3E-2</v>
      </c>
      <c r="H71" s="41"/>
      <c r="I71" s="87">
        <f t="shared" si="14"/>
        <v>2040</v>
      </c>
      <c r="J71" s="41">
        <v>2.3E-2</v>
      </c>
    </row>
    <row r="72" spans="3:14" s="119" customFormat="1">
      <c r="C72" s="87">
        <f t="shared" si="12"/>
        <v>2023</v>
      </c>
      <c r="D72" s="41">
        <v>0.02</v>
      </c>
      <c r="E72" s="86"/>
      <c r="F72" s="87">
        <f t="shared" si="13"/>
        <v>2032</v>
      </c>
      <c r="G72" s="41">
        <v>2.3E-2</v>
      </c>
      <c r="H72" s="41"/>
      <c r="I72" s="87">
        <f t="shared" si="14"/>
        <v>2041</v>
      </c>
      <c r="J72" s="41">
        <v>2.3E-2</v>
      </c>
      <c r="N72" s="164"/>
    </row>
    <row r="73" spans="3:14" s="119" customFormat="1">
      <c r="C73" s="87">
        <f t="shared" si="12"/>
        <v>2024</v>
      </c>
      <c r="D73" s="41">
        <v>0.02</v>
      </c>
      <c r="E73" s="86"/>
      <c r="F73" s="87">
        <f t="shared" si="13"/>
        <v>2033</v>
      </c>
      <c r="G73" s="41">
        <v>2.3E-2</v>
      </c>
      <c r="H73" s="41"/>
      <c r="I73" s="87">
        <f t="shared" si="14"/>
        <v>2042</v>
      </c>
      <c r="J73" s="41">
        <v>2.3E-2</v>
      </c>
      <c r="N73" s="164"/>
    </row>
    <row r="74" spans="3:14" s="119" customFormat="1">
      <c r="C74" s="87">
        <f t="shared" si="12"/>
        <v>2025</v>
      </c>
      <c r="D74" s="41">
        <v>2.1000000000000001E-2</v>
      </c>
      <c r="E74" s="86"/>
      <c r="F74" s="87">
        <f t="shared" si="13"/>
        <v>2034</v>
      </c>
      <c r="G74" s="41">
        <v>2.3E-2</v>
      </c>
      <c r="H74" s="41"/>
      <c r="I74" s="87">
        <f t="shared" si="14"/>
        <v>2043</v>
      </c>
      <c r="J74" s="41">
        <v>2.4E-2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A102"/>
  <sheetViews>
    <sheetView zoomScale="80" zoomScaleNormal="80" workbookViewId="0">
      <selection activeCell="A5" sqref="A5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1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/>
    <col min="16" max="16" width="10" style="117" customWidth="1"/>
    <col min="17" max="17" width="25.1640625" style="117" customWidth="1"/>
    <col min="18" max="18" width="18.1640625" style="117" customWidth="1"/>
    <col min="19" max="19" width="9.33203125" style="117"/>
    <col min="20" max="20" width="16.6640625" style="117" customWidth="1"/>
    <col min="21" max="21" width="11.83203125" style="117" customWidth="1"/>
    <col min="22" max="22" width="9.6640625" style="117" bestFit="1" customWidth="1"/>
    <col min="23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156</v>
      </c>
      <c r="C2" s="116"/>
      <c r="D2" s="116"/>
      <c r="E2" s="116"/>
      <c r="F2" s="116"/>
      <c r="G2" s="116"/>
      <c r="H2" s="116"/>
      <c r="I2" s="116"/>
      <c r="J2" s="116"/>
      <c r="R2" s="119"/>
      <c r="S2" s="119"/>
      <c r="T2" s="119"/>
      <c r="U2" s="119"/>
      <c r="V2" s="119"/>
      <c r="W2" s="119"/>
      <c r="X2" s="119"/>
      <c r="Y2" s="119"/>
      <c r="Z2" s="119"/>
      <c r="AA2" s="119"/>
    </row>
    <row r="3" spans="2:27" ht="15.75">
      <c r="B3" s="115" t="str">
        <f>TEXT($C$63,"0%")&amp;" Capacity Factor"</f>
        <v>37%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01"/>
      <c r="N5" s="201"/>
      <c r="P5" s="201"/>
      <c r="R5" s="263"/>
      <c r="S5" s="119"/>
      <c r="T5" s="119"/>
      <c r="U5" s="119"/>
      <c r="V5" s="119"/>
      <c r="W5" s="119"/>
      <c r="X5" s="119"/>
      <c r="Y5" s="369"/>
      <c r="Z5" s="119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64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2019 IRP Yakima Wind with Storage Resource - 37%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>
      <c r="B12" s="135">
        <f t="shared" si="0"/>
        <v>2018</v>
      </c>
      <c r="C12" s="136"/>
      <c r="D12" s="128"/>
      <c r="E12" s="148"/>
      <c r="F12" s="148"/>
      <c r="G12" s="130"/>
      <c r="H12" s="148">
        <f>$C$58</f>
        <v>0</v>
      </c>
      <c r="I12" s="130"/>
      <c r="J12" s="130"/>
      <c r="K12" s="128">
        <f>(D12+E12+F12)</f>
        <v>0</v>
      </c>
      <c r="L12" s="119"/>
      <c r="N12" s="117"/>
      <c r="R12" s="375"/>
      <c r="S12" s="119"/>
      <c r="T12" s="164"/>
      <c r="U12" s="160"/>
      <c r="V12" s="160"/>
      <c r="W12" s="160"/>
      <c r="X12" s="160"/>
      <c r="Y12" s="160"/>
      <c r="Z12" s="119"/>
      <c r="AA12" s="119"/>
    </row>
    <row r="13" spans="2:27">
      <c r="B13" s="135">
        <f t="shared" si="0"/>
        <v>2019</v>
      </c>
      <c r="C13" s="136"/>
      <c r="D13" s="128"/>
      <c r="E13" s="148"/>
      <c r="F13" s="148"/>
      <c r="G13" s="130"/>
      <c r="H13" s="128">
        <f>ROUND(H12*(1+(IFERROR(INDEX($D$66:$D$74,MATCH($B13,$C$66:$C$74,0),1),0)+IFERROR(INDEX($G$66:$G$74,MATCH($B13,$F$66:$F$74,0),1),0)+IFERROR(INDEX(#REF!,MATCH($B13,$I$66:$I$74,0),1),0))),2)</f>
        <v>0</v>
      </c>
      <c r="I13" s="130"/>
      <c r="J13" s="130"/>
      <c r="K13" s="128">
        <f t="shared" ref="K13:K37" si="1">(D13+E13+F13)</f>
        <v>0</v>
      </c>
      <c r="L13" s="119"/>
      <c r="N13" s="117"/>
      <c r="R13" s="119"/>
      <c r="S13" s="119"/>
      <c r="T13" s="119"/>
      <c r="U13" s="119"/>
      <c r="V13" s="160"/>
      <c r="W13" s="160"/>
      <c r="X13" s="160"/>
      <c r="Y13" s="160"/>
      <c r="Z13" s="119"/>
      <c r="AA13" s="119"/>
    </row>
    <row r="14" spans="2:27">
      <c r="B14" s="135">
        <f t="shared" si="0"/>
        <v>2020</v>
      </c>
      <c r="C14" s="136"/>
      <c r="D14" s="128"/>
      <c r="E14" s="128"/>
      <c r="F14" s="128"/>
      <c r="G14" s="130"/>
      <c r="H14" s="128">
        <f>ROUND(H13*(1+(IFERROR(INDEX($D$66:$D$74,MATCH($B14,$C$66:$C$74,0),1),0)+IFERROR(INDEX($G$66:$G$74,MATCH($B14,$F$66:$F$74,0),1),0)+IFERROR(INDEX(#REF!,MATCH($B14,$I$66:$I$74,0),1),0))),2)</f>
        <v>0</v>
      </c>
      <c r="I14" s="130"/>
      <c r="J14" s="130"/>
      <c r="K14" s="128">
        <f t="shared" si="1"/>
        <v>0</v>
      </c>
      <c r="L14" s="119"/>
      <c r="N14" s="117"/>
      <c r="O14" s="132"/>
      <c r="P14" s="133"/>
      <c r="Q14" s="134"/>
      <c r="R14" s="119"/>
      <c r="S14" s="119"/>
      <c r="T14" s="119"/>
      <c r="U14" s="119"/>
      <c r="V14" s="160"/>
      <c r="W14" s="160"/>
      <c r="X14" s="160"/>
      <c r="Y14" s="160"/>
      <c r="Z14" s="119"/>
      <c r="AA14" s="119"/>
    </row>
    <row r="15" spans="2:27">
      <c r="B15" s="135">
        <f t="shared" si="0"/>
        <v>2021</v>
      </c>
      <c r="C15" s="136"/>
      <c r="D15" s="128"/>
      <c r="E15" s="128"/>
      <c r="F15" s="128"/>
      <c r="G15" s="130"/>
      <c r="H15" s="128">
        <f>ROUND(H14*(1+(IFERROR(INDEX($D$66:$D$74,MATCH($B15,$C$66:$C$74,0),1),0)+IFERROR(INDEX($G$66:$G$74,MATCH($B15,$F$66:$F$74,0),1),0)+IFERROR(INDEX(#REF!,MATCH($B15,$I$66:$I$74,0),1),0))),2)</f>
        <v>0</v>
      </c>
      <c r="I15" s="130"/>
      <c r="J15" s="130"/>
      <c r="K15" s="128">
        <f t="shared" si="1"/>
        <v>0</v>
      </c>
      <c r="L15" s="119"/>
      <c r="N15" s="117"/>
      <c r="O15" s="259"/>
      <c r="P15" s="133"/>
      <c r="Q15" s="134"/>
      <c r="R15" s="119"/>
      <c r="S15" s="119"/>
      <c r="T15" s="119"/>
      <c r="U15" s="119"/>
      <c r="V15" s="160"/>
      <c r="W15" s="160"/>
      <c r="X15" s="160"/>
      <c r="Y15" s="160"/>
      <c r="Z15" s="119"/>
      <c r="AA15" s="119"/>
    </row>
    <row r="16" spans="2:27">
      <c r="B16" s="135">
        <f t="shared" si="0"/>
        <v>2022</v>
      </c>
      <c r="C16" s="136"/>
      <c r="D16" s="128"/>
      <c r="E16" s="128"/>
      <c r="F16" s="128"/>
      <c r="G16" s="130"/>
      <c r="H16" s="128">
        <f>ROUND(H15*(1+(IFERROR(INDEX($D$66:$D$74,MATCH($B16,$C$66:$C$74,0),1),0)+IFERROR(INDEX($G$66:$G$74,MATCH($B16,$F$66:$F$74,0),1),0)+IFERROR(INDEX(#REF!,MATCH($B16,$I$66:$I$74,0),1),0))),2)</f>
        <v>0</v>
      </c>
      <c r="I16" s="130"/>
      <c r="J16" s="130"/>
      <c r="K16" s="128">
        <f t="shared" si="1"/>
        <v>0</v>
      </c>
      <c r="L16" s="119"/>
      <c r="N16" s="117"/>
      <c r="R16" s="119"/>
      <c r="S16" s="119"/>
      <c r="T16" s="119"/>
      <c r="U16" s="119"/>
      <c r="V16" s="160"/>
      <c r="W16" s="160"/>
      <c r="X16" s="160"/>
      <c r="Y16" s="160"/>
      <c r="Z16" s="119"/>
      <c r="AA16" s="119"/>
    </row>
    <row r="17" spans="2:27">
      <c r="B17" s="135">
        <f t="shared" si="0"/>
        <v>2023</v>
      </c>
      <c r="C17" s="136"/>
      <c r="D17" s="128"/>
      <c r="E17" s="128"/>
      <c r="F17" s="128"/>
      <c r="G17" s="130"/>
      <c r="H17" s="128">
        <f>ROUND(H16*(1+(IFERROR(INDEX($D$66:$D$74,MATCH($B17,$C$66:$C$74,0),1),0)+IFERROR(INDEX($G$66:$G$74,MATCH($B17,$F$66:$F$74,0),1),0)+IFERROR(INDEX(#REF!,MATCH($B17,$I$66:$I$74,0),1),0))),2)</f>
        <v>0</v>
      </c>
      <c r="I17" s="130"/>
      <c r="J17" s="130"/>
      <c r="K17" s="128">
        <f t="shared" si="1"/>
        <v>0</v>
      </c>
      <c r="L17" s="119"/>
      <c r="N17" s="117"/>
      <c r="O17" s="132"/>
      <c r="R17" s="119"/>
      <c r="S17" s="119"/>
      <c r="T17" s="119"/>
      <c r="U17" s="119"/>
      <c r="V17" s="160"/>
      <c r="W17" s="160"/>
      <c r="X17" s="160"/>
      <c r="Y17" s="160"/>
      <c r="Z17" s="119"/>
      <c r="AA17" s="119"/>
    </row>
    <row r="18" spans="2:27">
      <c r="B18" s="135">
        <f t="shared" si="0"/>
        <v>2024</v>
      </c>
      <c r="C18" s="136"/>
      <c r="D18" s="128"/>
      <c r="E18" s="148"/>
      <c r="F18" s="148"/>
      <c r="G18" s="130"/>
      <c r="H18" s="128">
        <f>ROUND(H17*(1+(IFERROR(INDEX($D$66:$D$74,MATCH($B18,$C$66:$C$74,0),1),0)+IFERROR(INDEX($G$66:$G$74,MATCH($B18,$F$66:$F$74,0),1),0)+IFERROR(INDEX(#REF!,MATCH($B18,$I$66:$I$74,0),1),0))),2)</f>
        <v>0</v>
      </c>
      <c r="I18" s="130"/>
      <c r="J18" s="130"/>
      <c r="K18" s="128">
        <f t="shared" si="1"/>
        <v>0</v>
      </c>
      <c r="L18" s="119"/>
      <c r="N18" s="117"/>
      <c r="R18" s="119"/>
      <c r="S18" s="119"/>
      <c r="T18" s="164"/>
      <c r="U18" s="160"/>
      <c r="V18" s="160"/>
      <c r="W18" s="160"/>
      <c r="X18" s="160"/>
      <c r="Y18" s="160"/>
      <c r="Z18" s="119"/>
      <c r="AA18" s="119"/>
    </row>
    <row r="19" spans="2:27">
      <c r="B19" s="135">
        <f t="shared" si="0"/>
        <v>2025</v>
      </c>
      <c r="C19" s="136"/>
      <c r="D19" s="128"/>
      <c r="E19" s="148"/>
      <c r="F19" s="148"/>
      <c r="G19" s="130"/>
      <c r="H19" s="128">
        <f>ROUND(H18*(1+(IFERROR(INDEX($D$66:$D$74,MATCH($B19,$C$66:$C$74,0),1),0)+IFERROR(INDEX($G$66:$G$74,MATCH($B19,$F$66:$F$74,0),1),0)+IFERROR(INDEX(#REF!,MATCH($B19,$I$66:$I$74,0),1),0))),2)</f>
        <v>0</v>
      </c>
      <c r="I19" s="130"/>
      <c r="J19" s="130"/>
      <c r="K19" s="128">
        <f t="shared" si="1"/>
        <v>0</v>
      </c>
      <c r="L19" s="119"/>
      <c r="N19" s="117"/>
      <c r="R19" s="119"/>
      <c r="S19" s="119"/>
      <c r="T19" s="164"/>
      <c r="U19" s="160"/>
      <c r="V19" s="160"/>
      <c r="W19" s="160"/>
      <c r="X19" s="160"/>
      <c r="Y19" s="160"/>
      <c r="Z19" s="119"/>
      <c r="AA19" s="119"/>
    </row>
    <row r="20" spans="2:27">
      <c r="B20" s="135">
        <f t="shared" si="0"/>
        <v>2026</v>
      </c>
      <c r="C20" s="136"/>
      <c r="D20" s="128"/>
      <c r="E20" s="148"/>
      <c r="F20" s="148"/>
      <c r="G20" s="130"/>
      <c r="H20" s="128">
        <f>ROUND(H19*(1+(IFERROR(INDEX($D$66:$D$74,MATCH($B20,$C$66:$C$74,0),1),0)+IFERROR(INDEX($G$66:$G$74,MATCH($B20,$F$66:$F$74,0),1),0)+IFERROR(INDEX(#REF!,MATCH($B20,$I$66:$I$74,0),1),0))),2)</f>
        <v>0</v>
      </c>
      <c r="I20" s="130"/>
      <c r="J20" s="130"/>
      <c r="K20" s="128">
        <f t="shared" si="1"/>
        <v>0</v>
      </c>
      <c r="L20" s="119"/>
      <c r="N20" s="117"/>
      <c r="R20" s="160"/>
      <c r="S20" s="119"/>
      <c r="T20" s="164"/>
      <c r="U20" s="160"/>
      <c r="V20" s="160"/>
      <c r="W20" s="160"/>
      <c r="X20" s="160"/>
      <c r="Y20" s="160"/>
      <c r="Z20" s="119"/>
      <c r="AA20" s="119"/>
    </row>
    <row r="21" spans="2:27">
      <c r="B21" s="135">
        <f t="shared" si="0"/>
        <v>2027</v>
      </c>
      <c r="C21" s="136"/>
      <c r="D21" s="128"/>
      <c r="E21" s="148"/>
      <c r="F21" s="148"/>
      <c r="G21" s="130"/>
      <c r="H21" s="128">
        <f>ROUND(H20*(1+(IFERROR(INDEX($D$66:$D$74,MATCH($B21,$C$66:$C$74,0),1),0)+IFERROR(INDEX($G$66:$G$74,MATCH($B21,$F$66:$F$74,0),1),0)+IFERROR(INDEX(#REF!,MATCH($B21,$I$66:$I$74,0),1),0))),2)</f>
        <v>0</v>
      </c>
      <c r="I21" s="130"/>
      <c r="J21" s="130"/>
      <c r="K21" s="128">
        <f t="shared" si="1"/>
        <v>0</v>
      </c>
      <c r="L21" s="119"/>
      <c r="N21" s="117"/>
      <c r="R21" s="160"/>
      <c r="S21" s="119"/>
      <c r="T21" s="164"/>
      <c r="U21" s="160"/>
      <c r="V21" s="160"/>
      <c r="W21" s="160"/>
      <c r="X21" s="160"/>
      <c r="Y21" s="160"/>
      <c r="Z21" s="119"/>
      <c r="AA21" s="119"/>
    </row>
    <row r="22" spans="2:27">
      <c r="B22" s="135">
        <f t="shared" si="0"/>
        <v>2028</v>
      </c>
      <c r="C22" s="136"/>
      <c r="D22" s="128"/>
      <c r="E22" s="148"/>
      <c r="F22" s="148"/>
      <c r="G22" s="130"/>
      <c r="H22" s="128">
        <f>ROUND(H21*(1+(IFERROR(INDEX($D$66:$D$74,MATCH($B22,$C$66:$C$74,0),1),0)+IFERROR(INDEX($G$66:$G$74,MATCH($B22,$F$66:$F$74,0),1),0)+IFERROR(INDEX(#REF!,MATCH($B22,$I$66:$I$74,0),1),0))),2)</f>
        <v>0</v>
      </c>
      <c r="I22" s="130"/>
      <c r="J22" s="130"/>
      <c r="K22" s="128">
        <f t="shared" si="1"/>
        <v>0</v>
      </c>
      <c r="L22" s="119"/>
      <c r="N22" s="117"/>
      <c r="R22" s="160"/>
      <c r="S22" s="119"/>
      <c r="T22" s="164"/>
      <c r="U22" s="160"/>
      <c r="V22" s="160"/>
      <c r="W22" s="160"/>
      <c r="X22" s="160"/>
      <c r="Y22" s="160"/>
      <c r="Z22" s="119"/>
      <c r="AA22" s="119"/>
    </row>
    <row r="23" spans="2:27">
      <c r="B23" s="135">
        <f t="shared" si="0"/>
        <v>2029</v>
      </c>
      <c r="C23" s="136"/>
      <c r="D23" s="128"/>
      <c r="E23" s="148"/>
      <c r="F23" s="148"/>
      <c r="G23" s="130"/>
      <c r="H23" s="128">
        <f>ROUND(H22*(1+(IFERROR(INDEX($D$66:$D$74,MATCH($B23,$C$66:$C$74,0),1),0)+IFERROR(INDEX($G$66:$G$74,MATCH($B23,$F$66:$F$74,0),1),0)+IFERROR(INDEX(#REF!,MATCH($B23,$I$66:$I$74,0),1),0))),2)</f>
        <v>0</v>
      </c>
      <c r="I23" s="130"/>
      <c r="J23" s="130"/>
      <c r="K23" s="128">
        <f t="shared" si="1"/>
        <v>0</v>
      </c>
      <c r="L23" s="119"/>
      <c r="N23" s="117"/>
      <c r="R23" s="160"/>
      <c r="S23" s="119"/>
      <c r="T23" s="164"/>
      <c r="U23" s="160"/>
      <c r="V23" s="160"/>
      <c r="W23" s="160"/>
      <c r="X23" s="160"/>
      <c r="Y23" s="160"/>
      <c r="Z23" s="119"/>
      <c r="AA23" s="119"/>
    </row>
    <row r="24" spans="2:27">
      <c r="B24" s="135">
        <f t="shared" si="0"/>
        <v>2030</v>
      </c>
      <c r="C24" s="136"/>
      <c r="D24" s="128"/>
      <c r="E24" s="148"/>
      <c r="F24" s="148"/>
      <c r="G24" s="130"/>
      <c r="H24" s="128">
        <f>ROUND(H23*(1+(IFERROR(INDEX($D$66:$D$74,MATCH($B24,$C$66:$C$74,0),1),0)+IFERROR(INDEX($G$66:$G$74,MATCH($B24,$F$66:$F$74,0),1),0)+IFERROR(INDEX(#REF!,MATCH($B24,$I$66:$I$74,0),1),0))),2)</f>
        <v>0</v>
      </c>
      <c r="I24" s="130"/>
      <c r="J24" s="130"/>
      <c r="K24" s="128">
        <f t="shared" si="1"/>
        <v>0</v>
      </c>
      <c r="L24" s="119"/>
      <c r="N24" s="117"/>
      <c r="R24" s="160"/>
      <c r="S24" s="119"/>
      <c r="T24" s="164"/>
      <c r="U24" s="160"/>
      <c r="V24" s="160"/>
      <c r="W24" s="160"/>
      <c r="X24" s="160"/>
      <c r="Y24" s="160"/>
      <c r="Z24" s="119"/>
      <c r="AA24" s="119"/>
    </row>
    <row r="25" spans="2:27">
      <c r="B25" s="135">
        <f t="shared" si="0"/>
        <v>2031</v>
      </c>
      <c r="C25" s="136"/>
      <c r="D25" s="128"/>
      <c r="E25" s="148"/>
      <c r="F25" s="148"/>
      <c r="G25" s="130"/>
      <c r="H25" s="128">
        <f>ROUND(H24*(1+(IFERROR(INDEX($D$66:$D$74,MATCH($B25,$C$66:$C$74,0),1),0)+IFERROR(INDEX($G$66:$G$74,MATCH($B25,$F$66:$F$74,0),1),0)+IFERROR(INDEX(#REF!,MATCH($B25,$I$66:$I$74,0),1),0))),2)</f>
        <v>0</v>
      </c>
      <c r="I25" s="130"/>
      <c r="J25" s="130"/>
      <c r="K25" s="128">
        <f t="shared" si="1"/>
        <v>0</v>
      </c>
      <c r="L25" s="119"/>
      <c r="N25" s="117"/>
      <c r="R25" s="160"/>
      <c r="S25" s="119"/>
      <c r="T25" s="164"/>
      <c r="U25" s="160"/>
      <c r="V25" s="160"/>
      <c r="W25" s="160"/>
      <c r="X25" s="160"/>
      <c r="Y25" s="160"/>
      <c r="Z25" s="119"/>
      <c r="AA25" s="119"/>
    </row>
    <row r="26" spans="2:27">
      <c r="B26" s="135">
        <f t="shared" si="0"/>
        <v>2032</v>
      </c>
      <c r="C26" s="335">
        <v>1672.135761589404</v>
      </c>
      <c r="D26" s="128">
        <f>C26*$C$62</f>
        <v>115.36064619205297</v>
      </c>
      <c r="E26" s="256">
        <v>26.705298013245034</v>
      </c>
      <c r="F26" s="128">
        <f>INDEX('Table 3 ID Wind_2030'!$F$10:$F$38,MATCH(B26,'Table 3 ID Wind_2030'!$B$10:$B$38,0),1)</f>
        <v>12.66</v>
      </c>
      <c r="G26" s="130">
        <f>(D26+E26+F26)/(8.76*$C$63)</f>
        <v>47.608568784015191</v>
      </c>
      <c r="H26" s="128">
        <f>ROUND(H25*(1+(IFERROR(INDEX($D$66:$D$74,MATCH($B26,$C$66:$C$74,0),1),0)+IFERROR(INDEX($G$66:$G$74,MATCH($B26,$F$66:$F$74,0),1),0)+IFERROR(INDEX(#REF!,MATCH($B26,$I$66:$I$74,0),1),0))),2)</f>
        <v>0</v>
      </c>
      <c r="I26" s="130">
        <f>(G26+H26)</f>
        <v>47.608568784015191</v>
      </c>
      <c r="J26" s="130">
        <f t="shared" ref="J26:J32" si="2">ROUND(I26*$C$63*8.76,2)</f>
        <v>154.72999999999999</v>
      </c>
      <c r="K26" s="128">
        <f t="shared" si="1"/>
        <v>154.72594420529799</v>
      </c>
      <c r="L26" s="119"/>
      <c r="N26" s="117"/>
      <c r="R26" s="160"/>
      <c r="S26" s="119"/>
      <c r="T26" s="164"/>
      <c r="U26" s="160"/>
      <c r="V26" s="160"/>
      <c r="W26" s="160"/>
      <c r="X26" s="160"/>
      <c r="Y26" s="160"/>
      <c r="Z26" s="119"/>
      <c r="AA26" s="119"/>
    </row>
    <row r="27" spans="2:27">
      <c r="B27" s="135">
        <f t="shared" si="0"/>
        <v>2033</v>
      </c>
      <c r="C27" s="136"/>
      <c r="D27" s="128">
        <f t="shared" ref="D27:E37" si="3">ROUND(D26*(1+(IFERROR(INDEX($D$66:$D$74,MATCH($B27,$C$66:$C$74,0),1),0)+IFERROR(INDEX($G$66:$G$74,MATCH($B27,$F$66:$F$74,0),1),0)+IFERROR(INDEX($J$66:$J$74,MATCH($B27,$I$66:$I$74,0),1),0))),2)</f>
        <v>118.01</v>
      </c>
      <c r="E27" s="256">
        <v>27.317880794701988</v>
      </c>
      <c r="F27" s="128">
        <f>INDEX('Table 3 ID Wind_2030'!$F$10:$F$38,MATCH(B27,'Table 3 ID Wind_2030'!$B$10:$B$38,0),1)</f>
        <v>12.95</v>
      </c>
      <c r="G27" s="130">
        <f t="shared" ref="G27:G37" si="4">(D27+E27+F27)/(8.76*$C$63)</f>
        <v>48.701485801272014</v>
      </c>
      <c r="H27" s="128">
        <f>ROUND(H26*(1+(IFERROR(INDEX($D$66:$D$74,MATCH($B27,$C$66:$C$74,0),1),0)+IFERROR(INDEX($G$66:$G$74,MATCH($B27,$F$66:$F$74,0),1),0)+IFERROR(INDEX(#REF!,MATCH($B27,$I$66:$I$74,0),1),0))),2)</f>
        <v>0</v>
      </c>
      <c r="I27" s="130">
        <f t="shared" ref="I27:I37" si="5">(G27+H27)</f>
        <v>48.701485801272014</v>
      </c>
      <c r="J27" s="130">
        <f t="shared" si="2"/>
        <v>158.28</v>
      </c>
      <c r="K27" s="128">
        <f t="shared" si="1"/>
        <v>158.27788079470199</v>
      </c>
      <c r="L27" s="119"/>
      <c r="N27" s="117"/>
      <c r="R27" s="160"/>
      <c r="S27" s="119"/>
      <c r="T27" s="164"/>
      <c r="U27" s="160"/>
      <c r="V27" s="160"/>
      <c r="W27" s="160"/>
      <c r="X27" s="160"/>
      <c r="Y27" s="160"/>
      <c r="Z27" s="119"/>
      <c r="AA27" s="119"/>
    </row>
    <row r="28" spans="2:27">
      <c r="B28" s="135">
        <f t="shared" si="0"/>
        <v>2034</v>
      </c>
      <c r="C28" s="136"/>
      <c r="D28" s="128">
        <f t="shared" si="3"/>
        <v>120.72</v>
      </c>
      <c r="E28" s="256">
        <v>27.94701986754967</v>
      </c>
      <c r="F28" s="128">
        <f>INDEX('Table 3 ID Wind_2030'!$F$10:$F$38,MATCH(B28,'Table 3 ID Wind_2030'!$B$10:$B$38,0),1)</f>
        <v>13.25</v>
      </c>
      <c r="G28" s="130">
        <f t="shared" si="4"/>
        <v>49.821234682134452</v>
      </c>
      <c r="H28" s="128">
        <f>ROUND(H27*(1+(IFERROR(INDEX($D$66:$D$74,MATCH($B28,$C$66:$C$74,0),1),0)+IFERROR(INDEX($G$66:$G$74,MATCH($B28,$F$66:$F$74,0),1),0)+IFERROR(INDEX(#REF!,MATCH($B28,$I$66:$I$74,0),1),0))),2)</f>
        <v>0</v>
      </c>
      <c r="I28" s="130">
        <f t="shared" si="5"/>
        <v>49.821234682134452</v>
      </c>
      <c r="J28" s="130">
        <f t="shared" si="2"/>
        <v>161.91999999999999</v>
      </c>
      <c r="K28" s="128">
        <f t="shared" si="1"/>
        <v>161.91701986754967</v>
      </c>
      <c r="L28" s="119"/>
      <c r="N28" s="117"/>
      <c r="R28" s="160"/>
      <c r="S28" s="119"/>
      <c r="T28" s="164"/>
      <c r="U28" s="160"/>
      <c r="V28" s="160"/>
      <c r="W28" s="160"/>
      <c r="X28" s="160"/>
      <c r="Y28" s="160"/>
      <c r="Z28" s="119"/>
      <c r="AA28" s="119"/>
    </row>
    <row r="29" spans="2:27">
      <c r="B29" s="135">
        <f t="shared" si="0"/>
        <v>2035</v>
      </c>
      <c r="C29" s="136"/>
      <c r="D29" s="128">
        <f t="shared" si="3"/>
        <v>123.5</v>
      </c>
      <c r="E29" s="256">
        <v>28.576158940397352</v>
      </c>
      <c r="F29" s="128">
        <f>INDEX('Table 3 ID Wind_2030'!$F$10:$F$38,MATCH(B29,'Table 3 ID Wind_2030'!$B$10:$B$38,0),1)</f>
        <v>13.55</v>
      </c>
      <c r="G29" s="130">
        <f t="shared" si="4"/>
        <v>50.96252228962738</v>
      </c>
      <c r="H29" s="128">
        <f>ROUND(H28*(1+(IFERROR(INDEX($D$66:$D$74,MATCH($B29,$C$66:$C$74,0),1),0)+IFERROR(INDEX($G$66:$G$74,MATCH($B29,$F$66:$F$74,0),1),0)+IFERROR(INDEX(#REF!,MATCH($B29,$I$66:$I$74,0),1),0))),2)</f>
        <v>0</v>
      </c>
      <c r="I29" s="130">
        <f t="shared" si="5"/>
        <v>50.96252228962738</v>
      </c>
      <c r="J29" s="130">
        <f t="shared" si="2"/>
        <v>165.63</v>
      </c>
      <c r="K29" s="128">
        <f t="shared" si="1"/>
        <v>165.62615894039737</v>
      </c>
      <c r="L29" s="119"/>
      <c r="N29" s="117"/>
      <c r="R29" s="160"/>
      <c r="S29" s="119"/>
      <c r="T29" s="164"/>
      <c r="U29" s="160"/>
      <c r="V29" s="160"/>
      <c r="W29" s="160"/>
      <c r="X29" s="160"/>
      <c r="Y29" s="160"/>
      <c r="Z29" s="119"/>
      <c r="AA29" s="119"/>
    </row>
    <row r="30" spans="2:27">
      <c r="B30" s="135">
        <f t="shared" si="0"/>
        <v>2036</v>
      </c>
      <c r="C30" s="136"/>
      <c r="D30" s="128">
        <f t="shared" si="3"/>
        <v>126.34</v>
      </c>
      <c r="E30" s="256">
        <v>29.221854304635762</v>
      </c>
      <c r="F30" s="128">
        <f>INDEX('Table 3 ID Wind_2030'!$F$10:$F$38,MATCH(B30,'Table 3 ID Wind_2030'!$B$10:$B$38,0),1)</f>
        <v>13.86</v>
      </c>
      <c r="G30" s="130">
        <f t="shared" si="4"/>
        <v>52.130442929954761</v>
      </c>
      <c r="H30" s="128">
        <f>ROUND(H29*(1+(IFERROR(INDEX($D$66:$D$74,MATCH($B30,$C$66:$C$74,0),1),0)+IFERROR(INDEX($G$66:$G$74,MATCH($B30,$F$66:$F$74,0),1),0)+IFERROR(INDEX(#REF!,MATCH($B30,$I$66:$I$74,0),1),0))),2)</f>
        <v>0</v>
      </c>
      <c r="I30" s="130">
        <f t="shared" si="5"/>
        <v>52.130442929954761</v>
      </c>
      <c r="J30" s="130">
        <f t="shared" si="2"/>
        <v>169.42</v>
      </c>
      <c r="K30" s="128">
        <f t="shared" si="1"/>
        <v>169.42185430463576</v>
      </c>
      <c r="L30" s="119"/>
      <c r="N30" s="117"/>
      <c r="R30" s="160"/>
      <c r="S30" s="119"/>
      <c r="T30" s="164"/>
      <c r="U30" s="160"/>
      <c r="V30" s="160"/>
      <c r="W30" s="160"/>
      <c r="X30" s="160"/>
      <c r="Y30" s="160"/>
      <c r="Z30" s="119"/>
      <c r="AA30" s="119"/>
    </row>
    <row r="31" spans="2:27">
      <c r="B31" s="135">
        <f t="shared" si="0"/>
        <v>2037</v>
      </c>
      <c r="C31" s="136"/>
      <c r="D31" s="128">
        <f t="shared" si="3"/>
        <v>129.25</v>
      </c>
      <c r="E31" s="256">
        <v>29.900662251655628</v>
      </c>
      <c r="F31" s="128">
        <f>INDEX('Table 3 ID Wind_2030'!$F$10:$F$38,MATCH(B31,'Table 3 ID Wind_2030'!$B$10:$B$38,0),1)</f>
        <v>14.18</v>
      </c>
      <c r="G31" s="130">
        <f t="shared" si="4"/>
        <v>53.333167870267836</v>
      </c>
      <c r="H31" s="128">
        <f>ROUND(H30*(1+(IFERROR(INDEX($D$66:$D$74,MATCH($B31,$C$66:$C$74,0),1),0)+IFERROR(INDEX($G$66:$G$74,MATCH($B31,$F$66:$F$74,0),1),0)+IFERROR(INDEX(#REF!,MATCH($B31,$I$66:$I$74,0),1),0))),2)</f>
        <v>0</v>
      </c>
      <c r="I31" s="130">
        <f t="shared" si="5"/>
        <v>53.333167870267836</v>
      </c>
      <c r="J31" s="130">
        <f t="shared" si="2"/>
        <v>173.33</v>
      </c>
      <c r="K31" s="128">
        <f t="shared" si="1"/>
        <v>173.33066225165564</v>
      </c>
      <c r="L31" s="119"/>
      <c r="N31" s="117"/>
      <c r="R31" s="160"/>
      <c r="S31" s="119"/>
      <c r="T31" s="164"/>
      <c r="U31" s="160"/>
      <c r="V31" s="160"/>
      <c r="W31" s="160"/>
      <c r="X31" s="160"/>
      <c r="Y31" s="160"/>
      <c r="Z31" s="119"/>
      <c r="AA31" s="119"/>
    </row>
    <row r="32" spans="2:27">
      <c r="B32" s="135">
        <f t="shared" si="0"/>
        <v>2038</v>
      </c>
      <c r="C32" s="136"/>
      <c r="D32" s="128">
        <f t="shared" si="3"/>
        <v>132.22</v>
      </c>
      <c r="E32" s="256">
        <v>30.579470198675498</v>
      </c>
      <c r="F32" s="128">
        <f>INDEX('Table 3 ID Wind_2030'!$F$10:$F$38,MATCH(B32,'Table 3 ID Wind_2030'!$B$10:$B$38,0),1)</f>
        <v>14.51</v>
      </c>
      <c r="G32" s="130">
        <f t="shared" si="4"/>
        <v>54.557431537211379</v>
      </c>
      <c r="H32" s="128">
        <f>ROUND(H31*(1+(IFERROR(INDEX($D$66:$D$74,MATCH($B32,$C$66:$C$74,0),1),0)+IFERROR(INDEX($G$66:$G$74,MATCH($B32,$F$66:$F$74,0),1),0)+IFERROR(INDEX(#REF!,MATCH($B32,$I$66:$I$74,0),1),0))),2)</f>
        <v>0</v>
      </c>
      <c r="I32" s="130">
        <f t="shared" si="5"/>
        <v>54.557431537211379</v>
      </c>
      <c r="J32" s="130">
        <f t="shared" si="2"/>
        <v>177.31</v>
      </c>
      <c r="K32" s="128">
        <f t="shared" si="1"/>
        <v>177.30947019867548</v>
      </c>
      <c r="L32" s="119"/>
      <c r="N32" s="117"/>
      <c r="R32" s="160"/>
      <c r="S32" s="119"/>
      <c r="T32" s="164"/>
      <c r="U32" s="160"/>
      <c r="V32" s="160"/>
      <c r="W32" s="160"/>
      <c r="X32" s="160"/>
      <c r="Y32" s="160"/>
      <c r="Z32" s="119"/>
      <c r="AA32" s="119"/>
    </row>
    <row r="33" spans="2:27">
      <c r="B33" s="135">
        <f t="shared" si="0"/>
        <v>2039</v>
      </c>
      <c r="C33" s="136"/>
      <c r="D33" s="128">
        <f t="shared" si="3"/>
        <v>135.26</v>
      </c>
      <c r="E33" s="128">
        <f t="shared" si="3"/>
        <v>31.28</v>
      </c>
      <c r="F33" s="128">
        <f>INDEX('Table 3 ID Wind_2030'!$F$10:$F$38,MATCH(B33,'Table 3 ID Wind_2030'!$B$10:$B$38,0),1)</f>
        <v>14.84</v>
      </c>
      <c r="G33" s="130">
        <f t="shared" si="4"/>
        <v>55.809917660525059</v>
      </c>
      <c r="H33" s="128">
        <f>ROUND(H32*(1+(IFERROR(INDEX($D$66:$D$74,MATCH($B33,$C$66:$C$74,0),1),0)+IFERROR(INDEX($G$66:$G$74,MATCH($B33,$F$66:$F$74,0),1),0)+IFERROR(INDEX(#REF!,MATCH($B33,$I$66:$I$74,0),1),0))),2)</f>
        <v>0</v>
      </c>
      <c r="I33" s="130">
        <f t="shared" si="5"/>
        <v>55.809917660525059</v>
      </c>
      <c r="J33" s="130">
        <f t="shared" ref="J33:J37" si="6">ROUND(I33*$C$63*8.76,2)</f>
        <v>181.38</v>
      </c>
      <c r="K33" s="128">
        <f t="shared" si="1"/>
        <v>181.38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</row>
    <row r="34" spans="2:27">
      <c r="B34" s="135">
        <f t="shared" si="0"/>
        <v>2040</v>
      </c>
      <c r="C34" s="136"/>
      <c r="D34" s="128">
        <f t="shared" si="3"/>
        <v>138.37</v>
      </c>
      <c r="E34" s="128">
        <f t="shared" ref="E34" si="7">ROUND(E33*(1+(IFERROR(INDEX($D$66:$D$74,MATCH($B34,$C$66:$C$74,0),1),0)+IFERROR(INDEX($G$66:$G$74,MATCH($B34,$F$66:$F$74,0),1),0)+IFERROR(INDEX($J$66:$J$74,MATCH($B34,$I$66:$I$74,0),1),0))),2)</f>
        <v>32</v>
      </c>
      <c r="F34" s="128">
        <f>INDEX('Table 3 ID Wind_2030'!$F$10:$F$38,MATCH(B34,'Table 3 ID Wind_2030'!$B$10:$B$38,0),1)</f>
        <v>15.18</v>
      </c>
      <c r="G34" s="130">
        <f t="shared" si="4"/>
        <v>57.093010375512321</v>
      </c>
      <c r="H34" s="128">
        <f>ROUND(H33*(1+(IFERROR(INDEX($D$66:$D$74,MATCH($B34,$C$66:$C$74,0),1),0)+IFERROR(INDEX($G$66:$G$74,MATCH($B34,$F$66:$F$74,0),1),0)+IFERROR(INDEX(#REF!,MATCH($B34,$I$66:$I$74,0),1),0))),2)</f>
        <v>0</v>
      </c>
      <c r="I34" s="130">
        <f t="shared" si="5"/>
        <v>57.093010375512321</v>
      </c>
      <c r="J34" s="130">
        <f t="shared" si="6"/>
        <v>185.55</v>
      </c>
      <c r="K34" s="128">
        <f t="shared" si="1"/>
        <v>185.55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</row>
    <row r="35" spans="2:27">
      <c r="B35" s="135">
        <f t="shared" si="0"/>
        <v>2041</v>
      </c>
      <c r="C35" s="136"/>
      <c r="D35" s="128">
        <f t="shared" si="3"/>
        <v>141.55000000000001</v>
      </c>
      <c r="E35" s="128">
        <f t="shared" ref="E35" si="8">ROUND(E34*(1+(IFERROR(INDEX($D$66:$D$74,MATCH($B35,$C$66:$C$74,0),1),0)+IFERROR(INDEX($G$66:$G$74,MATCH($B35,$F$66:$F$74,0),1),0)+IFERROR(INDEX($J$66:$J$74,MATCH($B35,$I$66:$I$74,0),1),0))),2)</f>
        <v>32.74</v>
      </c>
      <c r="F35" s="128">
        <f>INDEX('Table 3 ID Wind_2030'!$F$10:$F$38,MATCH(B35,'Table 3 ID Wind_2030'!$B$10:$B$38,0),1)</f>
        <v>15.53</v>
      </c>
      <c r="G35" s="130">
        <f t="shared" si="4"/>
        <v>58.4068726999717</v>
      </c>
      <c r="H35" s="128">
        <f>ROUND(H34*(1+(IFERROR(INDEX($D$66:$D$74,MATCH($B35,$C$66:$C$74,0),1),0)+IFERROR(INDEX($G$66:$G$74,MATCH($B35,$F$66:$F$74,0),1),0)+IFERROR(INDEX(#REF!,MATCH($B35,$I$66:$I$74,0),1),0))),2)</f>
        <v>0</v>
      </c>
      <c r="I35" s="130">
        <f t="shared" si="5"/>
        <v>58.4068726999717</v>
      </c>
      <c r="J35" s="130">
        <f t="shared" si="6"/>
        <v>189.82</v>
      </c>
      <c r="K35" s="128">
        <f t="shared" si="1"/>
        <v>189.82000000000002</v>
      </c>
      <c r="L35" s="119"/>
      <c r="N35" s="117"/>
      <c r="R35" s="119"/>
      <c r="S35" s="119"/>
      <c r="T35" s="119"/>
      <c r="U35" s="119"/>
      <c r="V35" s="119"/>
      <c r="W35" s="119"/>
      <c r="X35" s="119"/>
      <c r="Y35" s="119"/>
      <c r="Z35" s="119"/>
      <c r="AA35" s="119"/>
    </row>
    <row r="36" spans="2:27">
      <c r="B36" s="135">
        <f t="shared" si="0"/>
        <v>2042</v>
      </c>
      <c r="C36" s="136"/>
      <c r="D36" s="128">
        <f t="shared" si="3"/>
        <v>144.81</v>
      </c>
      <c r="E36" s="128">
        <f t="shared" ref="E36" si="9">ROUND(E35*(1+(IFERROR(INDEX($D$66:$D$74,MATCH($B36,$C$66:$C$74,0),1),0)+IFERROR(INDEX($G$66:$G$74,MATCH($B36,$F$66:$F$74,0),1),0)+IFERROR(INDEX($J$66:$J$74,MATCH($B36,$I$66:$I$74,0),1),0))),2)</f>
        <v>33.49</v>
      </c>
      <c r="F36" s="128">
        <f>INDEX('Table 3 ID Wind_2030'!$F$10:$F$38,MATCH(B36,'Table 3 ID Wind_2030'!$B$10:$B$38,0),1)</f>
        <v>15.89</v>
      </c>
      <c r="G36" s="130">
        <f t="shared" si="4"/>
        <v>59.751504633903188</v>
      </c>
      <c r="H36" s="128">
        <f>ROUND(H35*(1+(IFERROR(INDEX($D$66:$D$74,MATCH($B36,$C$66:$C$74,0),1),0)+IFERROR(INDEX($G$66:$G$74,MATCH($B36,$F$66:$F$74,0),1),0)+IFERROR(INDEX(#REF!,MATCH($B36,$I$66:$I$74,0),1),0))),2)</f>
        <v>0</v>
      </c>
      <c r="I36" s="130">
        <f t="shared" si="5"/>
        <v>59.751504633903188</v>
      </c>
      <c r="J36" s="130">
        <f t="shared" si="6"/>
        <v>194.19</v>
      </c>
      <c r="K36" s="128">
        <f t="shared" si="1"/>
        <v>194.19</v>
      </c>
      <c r="L36" s="119"/>
      <c r="N36" s="117"/>
      <c r="R36" s="119"/>
      <c r="S36" s="119"/>
      <c r="T36" s="119"/>
      <c r="U36" s="119"/>
      <c r="V36" s="119"/>
      <c r="W36" s="119"/>
      <c r="X36" s="119"/>
      <c r="Y36" s="119"/>
      <c r="Z36" s="119"/>
      <c r="AA36" s="119"/>
    </row>
    <row r="37" spans="2:27">
      <c r="B37" s="135">
        <f t="shared" si="0"/>
        <v>2043</v>
      </c>
      <c r="C37" s="136"/>
      <c r="D37" s="128">
        <f t="shared" si="3"/>
        <v>148.29</v>
      </c>
      <c r="E37" s="128">
        <f t="shared" ref="E37" si="10">ROUND(E36*(1+(IFERROR(INDEX($D$66:$D$74,MATCH($B37,$C$66:$C$74,0),1),0)+IFERROR(INDEX($G$66:$G$74,MATCH($B37,$F$66:$F$74,0),1),0)+IFERROR(INDEX($J$66:$J$74,MATCH($B37,$I$66:$I$74,0),1),0))),2)</f>
        <v>34.29</v>
      </c>
      <c r="F37" s="128">
        <f>INDEX('Table 3 ID Wind_2030'!$F$10:$F$38,MATCH(B37,'Table 3 ID Wind_2030'!$B$10:$B$38,0),1)</f>
        <v>16.27</v>
      </c>
      <c r="G37" s="130">
        <f t="shared" si="4"/>
        <v>61.185368435303822</v>
      </c>
      <c r="H37" s="128">
        <f>ROUND(H36*(1+(IFERROR(INDEX($D$66:$D$74,MATCH($B37,$C$66:$C$74,0),1),0)+IFERROR(INDEX($G$66:$G$74,MATCH($B37,$F$66:$F$74,0),1),0)+IFERROR(INDEX(#REF!,MATCH($B37,$I$66:$I$74,0),1),0))),2)</f>
        <v>0</v>
      </c>
      <c r="I37" s="130">
        <f t="shared" si="5"/>
        <v>61.185368435303822</v>
      </c>
      <c r="J37" s="130">
        <f t="shared" si="6"/>
        <v>198.85</v>
      </c>
      <c r="K37" s="128">
        <f t="shared" si="1"/>
        <v>198.85</v>
      </c>
      <c r="L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</row>
    <row r="38" spans="2:27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</row>
    <row r="39" spans="2:27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</row>
    <row r="40" spans="2:27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  <c r="S40" s="119"/>
      <c r="T40" s="119"/>
      <c r="U40" s="119"/>
      <c r="V40" s="119"/>
      <c r="W40" s="119"/>
      <c r="X40" s="119"/>
      <c r="Y40" s="119"/>
      <c r="Z40" s="119"/>
      <c r="AA40" s="119"/>
    </row>
    <row r="41" spans="2:27">
      <c r="R41" s="119"/>
      <c r="S41" s="119"/>
      <c r="T41" s="119"/>
      <c r="U41" s="119"/>
      <c r="V41" s="119"/>
      <c r="W41" s="119"/>
      <c r="X41" s="119"/>
      <c r="Y41" s="119"/>
      <c r="Z41" s="119"/>
      <c r="AA41" s="119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</row>
    <row r="43" spans="2:27">
      <c r="R43" s="119"/>
      <c r="S43" s="119"/>
      <c r="T43" s="119"/>
      <c r="U43" s="119"/>
      <c r="V43" s="119"/>
      <c r="W43" s="119"/>
      <c r="X43" s="119"/>
      <c r="Y43" s="119"/>
      <c r="Z43" s="119"/>
      <c r="AA43" s="119"/>
    </row>
    <row r="44" spans="2:27">
      <c r="B44" s="117" t="s">
        <v>63</v>
      </c>
      <c r="C44" s="140" t="s">
        <v>64</v>
      </c>
      <c r="D44" s="141" t="s">
        <v>102</v>
      </c>
      <c r="R44" s="119"/>
      <c r="S44" s="119"/>
      <c r="T44" s="119"/>
      <c r="U44" s="119"/>
      <c r="V44" s="119"/>
      <c r="W44" s="119"/>
      <c r="X44" s="119"/>
      <c r="Y44" s="119"/>
      <c r="Z44" s="119"/>
      <c r="AA44" s="119"/>
    </row>
    <row r="45" spans="2:27">
      <c r="C45" s="140" t="str">
        <f>C7</f>
        <v>(a)</v>
      </c>
      <c r="D45" s="117" t="s">
        <v>65</v>
      </c>
      <c r="R45" s="119"/>
      <c r="S45" s="119"/>
      <c r="T45" s="119"/>
      <c r="U45" s="119"/>
      <c r="V45" s="119"/>
      <c r="W45" s="119"/>
      <c r="X45" s="119"/>
      <c r="Y45" s="119"/>
      <c r="Z45" s="119"/>
      <c r="AA45" s="119"/>
    </row>
    <row r="46" spans="2:27">
      <c r="C46" s="140" t="str">
        <f>D7</f>
        <v>(b)</v>
      </c>
      <c r="D46" s="130" t="str">
        <f>"= "&amp;C7&amp;" x "&amp;C62</f>
        <v>= (a) x 0.06899</v>
      </c>
      <c r="R46" s="119"/>
      <c r="S46" s="119"/>
      <c r="T46" s="119"/>
      <c r="U46" s="119"/>
      <c r="V46" s="119"/>
      <c r="W46" s="119"/>
      <c r="X46" s="119"/>
      <c r="Y46" s="119"/>
      <c r="Z46" s="119"/>
      <c r="AA46" s="119"/>
    </row>
    <row r="47" spans="2:27">
      <c r="C47" s="140" t="str">
        <f>G7</f>
        <v>(e)</v>
      </c>
      <c r="D47" s="130" t="str">
        <f>"= ("&amp;$D$7&amp;" + "&amp;$E$7&amp;") /  (8.76 x "&amp;TEXT(C63,"0.0%")&amp;")"</f>
        <v>= ((b) + (c)) /  (8.76 x 37.1%)</v>
      </c>
      <c r="R47" s="119"/>
      <c r="S47" s="119"/>
      <c r="T47" s="119"/>
      <c r="U47" s="119"/>
      <c r="V47" s="119"/>
      <c r="W47" s="119"/>
      <c r="X47" s="119"/>
      <c r="Y47" s="119"/>
      <c r="Z47" s="119"/>
      <c r="AA47" s="119"/>
    </row>
    <row r="48" spans="2:27">
      <c r="C48" s="140" t="str">
        <f>I7</f>
        <v>(g)</v>
      </c>
      <c r="D48" s="130" t="str">
        <f>"= "&amp;$G$7&amp;" + "&amp;$H$7</f>
        <v>= (e) + (f)</v>
      </c>
      <c r="R48" s="119"/>
      <c r="S48" s="119"/>
      <c r="T48" s="119"/>
      <c r="U48" s="119"/>
      <c r="V48" s="119"/>
      <c r="W48" s="119"/>
      <c r="X48" s="119"/>
      <c r="Y48" s="119"/>
      <c r="Z48" s="119"/>
      <c r="AA48" s="119"/>
    </row>
    <row r="49" spans="2:27">
      <c r="C49" s="140" t="str">
        <f>K7</f>
        <v>(i)</v>
      </c>
      <c r="D49" s="85" t="str">
        <f>D44</f>
        <v>Plant Costs  - 2019 IRP Update - Table 6.1 &amp; 6.2</v>
      </c>
      <c r="R49" s="119"/>
      <c r="S49" s="119"/>
      <c r="T49" s="119"/>
      <c r="U49" s="119"/>
      <c r="V49" s="119"/>
      <c r="W49" s="119"/>
      <c r="X49" s="119"/>
      <c r="Y49" s="119"/>
      <c r="Z49" s="119"/>
      <c r="AA49" s="119"/>
    </row>
    <row r="50" spans="2:27">
      <c r="C50" s="140"/>
      <c r="D50" s="130"/>
      <c r="R50" s="119"/>
      <c r="S50" s="119"/>
      <c r="T50" s="119"/>
      <c r="U50" s="119"/>
      <c r="V50" s="119"/>
      <c r="W50" s="119"/>
      <c r="X50" s="119"/>
      <c r="Y50" s="119"/>
      <c r="Z50" s="119"/>
      <c r="AA50" s="119"/>
    </row>
    <row r="51" spans="2:27" ht="13.5" thickBot="1">
      <c r="R51" s="119"/>
      <c r="S51" s="119"/>
      <c r="T51" s="119"/>
      <c r="U51" s="119"/>
      <c r="V51" s="119"/>
      <c r="W51" s="119"/>
      <c r="X51" s="119"/>
      <c r="Y51" s="119"/>
      <c r="Z51" s="119"/>
      <c r="AA51" s="119"/>
    </row>
    <row r="52" spans="2:27" ht="13.5" thickBot="1">
      <c r="C52" s="42" t="str">
        <f>B2&amp;" - "&amp;B3</f>
        <v>2019 IRP Yakima Wind with Storage Resource - 37% Capacity Factor</v>
      </c>
      <c r="D52" s="142"/>
      <c r="E52" s="142"/>
      <c r="F52" s="142"/>
      <c r="G52" s="142"/>
      <c r="H52" s="142"/>
      <c r="I52" s="143"/>
      <c r="J52" s="143"/>
      <c r="K52" s="144"/>
      <c r="R52" s="119"/>
      <c r="S52" s="119"/>
      <c r="T52" s="119"/>
      <c r="U52" s="119"/>
      <c r="V52" s="119"/>
      <c r="W52" s="119"/>
      <c r="X52" s="119"/>
      <c r="Y52" s="119"/>
      <c r="Z52" s="119"/>
      <c r="AA52" s="119"/>
    </row>
    <row r="53" spans="2:27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  <c r="R53" s="119"/>
      <c r="S53" s="119"/>
      <c r="T53" s="119"/>
      <c r="U53" s="119"/>
      <c r="V53" s="119"/>
      <c r="W53" s="119"/>
      <c r="X53" s="119"/>
      <c r="Y53" s="119"/>
      <c r="Z53" s="119"/>
      <c r="AA53" s="119"/>
    </row>
    <row r="54" spans="2:27">
      <c r="P54" s="117" t="s">
        <v>103</v>
      </c>
      <c r="Q54" s="117">
        <v>2032</v>
      </c>
    </row>
    <row r="55" spans="2:27">
      <c r="B55" s="85" t="s">
        <v>101</v>
      </c>
      <c r="C55" s="170">
        <v>1879.5324259832769</v>
      </c>
      <c r="D55" s="117" t="s">
        <v>65</v>
      </c>
      <c r="T55" s="117" t="str">
        <f>$Q$56&amp;"Proposed Station Capital Costs"</f>
        <v>H_.GO2_WDSProposed Station Capital Costs</v>
      </c>
    </row>
    <row r="56" spans="2:27">
      <c r="B56" s="85" t="s">
        <v>101</v>
      </c>
      <c r="C56" s="256">
        <v>30.743277943329019</v>
      </c>
      <c r="D56" s="117" t="s">
        <v>68</v>
      </c>
      <c r="O56" s="117">
        <v>60.4</v>
      </c>
      <c r="P56" s="117" t="s">
        <v>32</v>
      </c>
      <c r="Q56" s="117" t="s">
        <v>171</v>
      </c>
      <c r="T56" s="117" t="str">
        <f>Q56&amp;"Proposed Station Fixed Costs"</f>
        <v>H_.GO2_WDSProposed Station Fixed Costs</v>
      </c>
      <c r="Z56" s="117" t="s">
        <v>110</v>
      </c>
      <c r="AA56" s="266">
        <f>PMT(0.0692,30,NPV(0.0692,AA23:AA52))</f>
        <v>0</v>
      </c>
    </row>
    <row r="57" spans="2:27" ht="24" customHeight="1">
      <c r="B57" s="85"/>
      <c r="C57" s="258"/>
      <c r="D57" s="117" t="s">
        <v>105</v>
      </c>
    </row>
    <row r="58" spans="2:27">
      <c r="B58" s="85" t="s">
        <v>101</v>
      </c>
      <c r="C58" s="256">
        <v>0</v>
      </c>
      <c r="D58" s="117" t="s">
        <v>69</v>
      </c>
      <c r="K58" s="119"/>
      <c r="L58" s="149"/>
      <c r="M58" s="52"/>
      <c r="N58" s="163"/>
      <c r="O58" s="52"/>
      <c r="P58" s="52"/>
      <c r="Q58" s="119"/>
      <c r="R58" s="119"/>
      <c r="T58" s="117" t="str">
        <f>$Q$56&amp;"Proposed Station Variable O&amp;M Costs"</f>
        <v>H_.GO2_WDSProposed Station Variable O&amp;M Costs</v>
      </c>
      <c r="U58" s="119"/>
      <c r="V58" s="119"/>
      <c r="W58" s="119"/>
      <c r="X58" s="119"/>
      <c r="Y58" s="119"/>
    </row>
    <row r="59" spans="2:27">
      <c r="B59" s="85"/>
      <c r="C59" s="158"/>
      <c r="D59" s="117" t="s">
        <v>70</v>
      </c>
      <c r="I59" s="184" t="s">
        <v>91</v>
      </c>
      <c r="L59" s="151"/>
      <c r="M59" s="152"/>
      <c r="O59" s="150"/>
      <c r="P59" s="119"/>
      <c r="Q59" s="201" t="str">
        <f>Q56&amp;Q54</f>
        <v>H_.GO2_WDS2032</v>
      </c>
      <c r="R59" s="119"/>
      <c r="T59" s="117" t="str">
        <f>$Q$57&amp;"Proposed Station Variable O&amp;M Costs"</f>
        <v>Proposed Station Variable O&amp;M Costs</v>
      </c>
      <c r="U59" s="119"/>
      <c r="V59" s="119"/>
      <c r="W59" s="119"/>
      <c r="X59" s="119"/>
      <c r="Y59" s="119"/>
    </row>
    <row r="60" spans="2:27">
      <c r="B60" s="357" t="str">
        <f>LEFT(RIGHT(INDEX('Table 3 TransCost'!$39:$39,1,MATCH(F60,'Table 3 TransCost'!$4:$4,0)),6),5)</f>
        <v>2030$</v>
      </c>
      <c r="C60" s="258">
        <f>INDEX('Table 3 TransCost'!$39:$39,1,MATCH(F60,'Table 3 TransCost'!$4:$4,0)+2)</f>
        <v>12.097273854334603</v>
      </c>
      <c r="D60" s="117" t="s">
        <v>218</v>
      </c>
      <c r="F60" s="262" t="s">
        <v>184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7">
      <c r="B61" s="85"/>
      <c r="C61" s="187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7">
      <c r="C62" s="257">
        <v>6.8989999999999996E-2</v>
      </c>
      <c r="D62" s="117" t="s">
        <v>36</v>
      </c>
      <c r="K62" s="155"/>
      <c r="L62" s="156"/>
      <c r="M62" s="156"/>
      <c r="O62" s="157"/>
    </row>
    <row r="63" spans="2:27">
      <c r="C63" s="195">
        <v>0.371</v>
      </c>
      <c r="D63" s="117" t="s">
        <v>37</v>
      </c>
    </row>
    <row r="64" spans="2:27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December 31, 2020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11">C66+1</f>
        <v>2018</v>
      </c>
      <c r="D67" s="41">
        <v>2.4E-2</v>
      </c>
      <c r="E67" s="85"/>
      <c r="F67" s="87">
        <f t="shared" ref="F67:F74" si="12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11"/>
        <v>2019</v>
      </c>
      <c r="D68" s="41">
        <v>1.7999999999999999E-2</v>
      </c>
      <c r="E68" s="85"/>
      <c r="F68" s="87">
        <f t="shared" si="12"/>
        <v>2028</v>
      </c>
      <c r="G68" s="41">
        <v>2.3E-2</v>
      </c>
      <c r="H68" s="41"/>
      <c r="I68" s="87">
        <f t="shared" ref="I68:I74" si="13">I67+1</f>
        <v>2037</v>
      </c>
      <c r="J68" s="41">
        <v>2.3E-2</v>
      </c>
    </row>
    <row r="69" spans="3:14">
      <c r="C69" s="87">
        <f t="shared" si="11"/>
        <v>2020</v>
      </c>
      <c r="D69" s="41">
        <v>1.2E-2</v>
      </c>
      <c r="E69" s="85"/>
      <c r="F69" s="87">
        <f t="shared" si="12"/>
        <v>2029</v>
      </c>
      <c r="G69" s="41">
        <v>2.3E-2</v>
      </c>
      <c r="H69" s="41"/>
      <c r="I69" s="87">
        <f t="shared" si="13"/>
        <v>2038</v>
      </c>
      <c r="J69" s="41">
        <v>2.3E-2</v>
      </c>
    </row>
    <row r="70" spans="3:14">
      <c r="C70" s="87">
        <f t="shared" si="11"/>
        <v>2021</v>
      </c>
      <c r="D70" s="41">
        <v>1.9E-2</v>
      </c>
      <c r="E70" s="85"/>
      <c r="F70" s="87">
        <f t="shared" si="12"/>
        <v>2030</v>
      </c>
      <c r="G70" s="41">
        <v>2.3E-2</v>
      </c>
      <c r="H70" s="41"/>
      <c r="I70" s="87">
        <f t="shared" si="13"/>
        <v>2039</v>
      </c>
      <c r="J70" s="41">
        <v>2.3E-2</v>
      </c>
    </row>
    <row r="71" spans="3:14">
      <c r="C71" s="87">
        <f t="shared" si="11"/>
        <v>2022</v>
      </c>
      <c r="D71" s="41">
        <v>2.1999999999999999E-2</v>
      </c>
      <c r="E71" s="85"/>
      <c r="F71" s="87">
        <f t="shared" si="12"/>
        <v>2031</v>
      </c>
      <c r="G71" s="41">
        <v>2.3E-2</v>
      </c>
      <c r="H71" s="41"/>
      <c r="I71" s="87">
        <f t="shared" si="13"/>
        <v>2040</v>
      </c>
      <c r="J71" s="41">
        <v>2.3E-2</v>
      </c>
    </row>
    <row r="72" spans="3:14" s="119" customFormat="1">
      <c r="C72" s="87">
        <f t="shared" si="11"/>
        <v>2023</v>
      </c>
      <c r="D72" s="41">
        <v>0.02</v>
      </c>
      <c r="E72" s="86"/>
      <c r="F72" s="87">
        <f t="shared" si="12"/>
        <v>2032</v>
      </c>
      <c r="G72" s="41">
        <v>2.3E-2</v>
      </c>
      <c r="H72" s="41"/>
      <c r="I72" s="87">
        <f t="shared" si="13"/>
        <v>2041</v>
      </c>
      <c r="J72" s="41">
        <v>2.3E-2</v>
      </c>
      <c r="N72" s="164"/>
    </row>
    <row r="73" spans="3:14" s="119" customFormat="1">
      <c r="C73" s="87">
        <f t="shared" si="11"/>
        <v>2024</v>
      </c>
      <c r="D73" s="41">
        <v>0.02</v>
      </c>
      <c r="E73" s="86"/>
      <c r="F73" s="87">
        <f t="shared" si="12"/>
        <v>2033</v>
      </c>
      <c r="G73" s="41">
        <v>2.3E-2</v>
      </c>
      <c r="H73" s="41"/>
      <c r="I73" s="87">
        <f t="shared" si="13"/>
        <v>2042</v>
      </c>
      <c r="J73" s="41">
        <v>2.3E-2</v>
      </c>
      <c r="N73" s="164"/>
    </row>
    <row r="74" spans="3:14" s="119" customFormat="1">
      <c r="C74" s="87">
        <f t="shared" si="11"/>
        <v>2025</v>
      </c>
      <c r="D74" s="41">
        <v>2.1000000000000001E-2</v>
      </c>
      <c r="E74" s="86"/>
      <c r="F74" s="87">
        <f t="shared" si="12"/>
        <v>2034</v>
      </c>
      <c r="G74" s="41">
        <v>2.3E-2</v>
      </c>
      <c r="H74" s="41"/>
      <c r="I74" s="87">
        <f t="shared" si="13"/>
        <v>2043</v>
      </c>
      <c r="J74" s="41">
        <v>2.4E-2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C82"/>
  <sheetViews>
    <sheetView view="pageBreakPreview" topLeftCell="A2" zoomScale="70" zoomScaleNormal="70" zoomScaleSheetLayoutView="70" workbookViewId="0">
      <selection activeCell="E26" sqref="E26"/>
    </sheetView>
  </sheetViews>
  <sheetFormatPr defaultRowHeight="12.75"/>
  <cols>
    <col min="1" max="1" width="12.5" style="3" customWidth="1"/>
    <col min="2" max="2" width="10.83203125" style="3" customWidth="1"/>
    <col min="3" max="3" width="14.1640625" style="3" customWidth="1"/>
    <col min="4" max="4" width="6.5" style="3" customWidth="1"/>
    <col min="5" max="5" width="18.83203125" style="3" customWidth="1"/>
    <col min="6" max="6" width="3.5" style="3" bestFit="1" customWidth="1"/>
    <col min="7" max="7" width="20" style="3" customWidth="1"/>
    <col min="8" max="8" width="9.33203125" style="3" customWidth="1"/>
    <col min="9" max="9" width="9.6640625" style="3" customWidth="1"/>
    <col min="10" max="10" width="4.83203125" customWidth="1"/>
    <col min="11" max="11" width="16.6640625" customWidth="1"/>
    <col min="12" max="12" width="19.1640625" customWidth="1"/>
    <col min="16" max="17" width="17.6640625" customWidth="1"/>
    <col min="18" max="18" width="12.83203125" customWidth="1"/>
    <col min="19" max="19" width="12.5" customWidth="1"/>
    <col min="20" max="21" width="12.83203125" customWidth="1"/>
    <col min="22" max="22" width="11.83203125" customWidth="1"/>
    <col min="23" max="23" width="13.1640625" customWidth="1"/>
    <col min="24" max="24" width="12" customWidth="1"/>
    <col min="25" max="25" width="13.33203125" customWidth="1"/>
    <col min="26" max="26" width="14.1640625" customWidth="1"/>
    <col min="27" max="27" width="14.6640625" customWidth="1"/>
    <col min="28" max="28" width="14.83203125" customWidth="1"/>
    <col min="29" max="29" width="15.1640625" customWidth="1"/>
    <col min="30" max="30" width="15" customWidth="1"/>
    <col min="31" max="31" width="14.6640625" customWidth="1"/>
    <col min="32" max="32" width="17.6640625" customWidth="1"/>
    <col min="33" max="33" width="15.5" customWidth="1"/>
    <col min="34" max="34" width="10.83203125" customWidth="1"/>
    <col min="35" max="35" width="14" customWidth="1"/>
    <col min="36" max="36" width="12.5" customWidth="1"/>
    <col min="38" max="39" width="10" customWidth="1"/>
    <col min="40" max="54" width="15.33203125" customWidth="1"/>
    <col min="55" max="55" width="14.1640625" customWidth="1"/>
    <col min="56" max="58" width="9" customWidth="1"/>
    <col min="59" max="59" width="10.6640625" customWidth="1"/>
    <col min="60" max="62" width="16.1640625" customWidth="1"/>
    <col min="63" max="63" width="14.83203125" customWidth="1"/>
    <col min="64" max="64" width="17.83203125" customWidth="1"/>
    <col min="65" max="65" width="14.33203125" customWidth="1"/>
    <col min="66" max="66" width="16.6640625" customWidth="1"/>
    <col min="67" max="76" width="16" customWidth="1"/>
    <col min="77" max="77" width="20.6640625" customWidth="1"/>
    <col min="78" max="78" width="11.6640625" customWidth="1"/>
    <col min="79" max="79" width="13.33203125" customWidth="1"/>
    <col min="80" max="80" width="12.1640625" customWidth="1"/>
    <col min="82" max="103" width="15.33203125" customWidth="1"/>
    <col min="106" max="106" width="17.33203125" customWidth="1"/>
    <col min="107" max="107" width="16.6640625" customWidth="1"/>
    <col min="108" max="108" width="15" customWidth="1"/>
  </cols>
  <sheetData>
    <row r="1" spans="2:107" customFormat="1" ht="15.75" hidden="1">
      <c r="B1" s="1" t="s">
        <v>35</v>
      </c>
      <c r="C1" s="2"/>
      <c r="D1" s="2"/>
      <c r="E1" s="2"/>
      <c r="F1" s="2"/>
      <c r="G1" s="11"/>
      <c r="H1" s="36"/>
      <c r="I1" s="5"/>
    </row>
    <row r="2" spans="2:107" customFormat="1" ht="5.25" customHeight="1">
      <c r="B2" s="1"/>
      <c r="C2" s="2"/>
      <c r="D2" s="2"/>
      <c r="E2" s="2"/>
      <c r="F2" s="3"/>
      <c r="G2" s="11"/>
      <c r="H2" s="36"/>
      <c r="I2" s="5"/>
    </row>
    <row r="3" spans="2:107" customFormat="1" ht="15.75">
      <c r="B3" s="1" t="s">
        <v>20</v>
      </c>
      <c r="C3" s="2"/>
      <c r="D3" s="2"/>
      <c r="E3" s="2"/>
      <c r="F3" s="2"/>
      <c r="G3" s="11"/>
      <c r="H3" s="36"/>
      <c r="I3" s="3"/>
      <c r="K3">
        <f>MATCH('Table 5'!K5,'Table 5'!$B$12:$B$228,FALSE)+ROW('Table 5'!B11)</f>
        <v>13</v>
      </c>
      <c r="DB3" s="181">
        <v>0</v>
      </c>
      <c r="DC3" t="s">
        <v>88</v>
      </c>
    </row>
    <row r="4" spans="2:107" customFormat="1" ht="15.75">
      <c r="B4" s="4" t="s">
        <v>17</v>
      </c>
      <c r="C4" s="4"/>
      <c r="D4" s="4"/>
      <c r="E4" s="4"/>
      <c r="F4" s="4"/>
      <c r="G4" s="1"/>
      <c r="H4" s="36"/>
      <c r="I4" s="3"/>
      <c r="K4">
        <v>322</v>
      </c>
      <c r="P4" s="168" t="s">
        <v>58</v>
      </c>
      <c r="Q4" s="168"/>
      <c r="R4" s="168"/>
      <c r="DB4">
        <v>1700</v>
      </c>
      <c r="DC4" t="s">
        <v>89</v>
      </c>
    </row>
    <row r="5" spans="2:107" customFormat="1" ht="15.75">
      <c r="B5" s="4" t="str">
        <f ca="1">'Table 5'!M4&amp; " - "&amp;TEXT(Study_MW,"#.0")&amp;" MW and "&amp;TEXT(Study_CF,"#.0%")&amp;" CF"</f>
        <v>Utah 2020.Q4_Solar - 80.0 MW and 32.2% CF</v>
      </c>
      <c r="C5" s="4"/>
      <c r="D5" s="4"/>
      <c r="E5" s="4"/>
      <c r="F5" s="4"/>
      <c r="G5" s="1"/>
      <c r="H5" s="36"/>
      <c r="I5" s="5"/>
      <c r="P5" s="169">
        <v>0.19110185946338937</v>
      </c>
      <c r="Q5" s="169">
        <v>0.17942392948633207</v>
      </c>
      <c r="R5" s="169">
        <v>0.1271079447656262</v>
      </c>
      <c r="S5" s="169">
        <v>0.76028737403417868</v>
      </c>
      <c r="T5" s="169">
        <v>0.76028737403417868</v>
      </c>
      <c r="U5" s="169">
        <v>0.38371436341206699</v>
      </c>
      <c r="V5" s="169">
        <v>0.3269329984960806</v>
      </c>
      <c r="W5" s="169">
        <v>0.3269329984960806</v>
      </c>
      <c r="X5" s="169">
        <v>0.35161226356897352</v>
      </c>
      <c r="Y5" s="169">
        <v>0.35161226356897352</v>
      </c>
      <c r="Z5" s="169">
        <v>0.30222943999568985</v>
      </c>
      <c r="AA5" s="169">
        <v>0.31403713524649896</v>
      </c>
      <c r="AB5" s="169">
        <v>0.31403713524649896</v>
      </c>
      <c r="AC5" s="169">
        <v>0.31403713524649896</v>
      </c>
      <c r="AD5" s="169">
        <v>0.30222943999568985</v>
      </c>
      <c r="AE5" s="169">
        <v>0.30222943999568985</v>
      </c>
      <c r="AF5" s="169">
        <v>0.30222943999568985</v>
      </c>
      <c r="AG5" s="169">
        <v>0.96944331644387627</v>
      </c>
      <c r="AH5" s="169"/>
      <c r="AI5" s="169"/>
      <c r="AJ5" s="169"/>
      <c r="AK5" s="169"/>
      <c r="DB5" s="174">
        <f>$DB$3*$DB$4</f>
        <v>0</v>
      </c>
      <c r="DC5" t="s">
        <v>85</v>
      </c>
    </row>
    <row r="6" spans="2:107" customFormat="1" ht="14.25" hidden="1">
      <c r="B6" s="20"/>
      <c r="C6" s="4"/>
      <c r="D6" s="4"/>
      <c r="E6" s="4"/>
      <c r="F6" s="4"/>
      <c r="G6" s="11"/>
      <c r="H6" s="36"/>
      <c r="I6" s="5"/>
    </row>
    <row r="7" spans="2:107" customFormat="1" ht="38.25">
      <c r="B7" s="3"/>
      <c r="C7" s="7"/>
      <c r="D7" s="7"/>
      <c r="E7" s="3"/>
      <c r="F7" s="3"/>
      <c r="G7" s="3"/>
      <c r="H7" s="36"/>
      <c r="I7" s="49"/>
      <c r="AL7" s="200" t="s">
        <v>74</v>
      </c>
      <c r="AM7" s="200"/>
    </row>
    <row r="8" spans="2:107" s="197" customFormat="1" ht="40.5" customHeight="1">
      <c r="B8" s="188"/>
      <c r="C8" s="188"/>
      <c r="D8" s="188"/>
      <c r="E8" s="190"/>
      <c r="F8" s="191"/>
      <c r="G8" s="189" t="s">
        <v>14</v>
      </c>
      <c r="H8" s="193"/>
      <c r="I8" s="199"/>
      <c r="K8"/>
      <c r="L8"/>
      <c r="M8"/>
      <c r="P8" s="200"/>
      <c r="Q8" s="200"/>
      <c r="R8" s="200"/>
      <c r="S8" s="197" t="s">
        <v>201</v>
      </c>
      <c r="T8" s="205" t="s">
        <v>202</v>
      </c>
      <c r="U8" s="202"/>
      <c r="V8" s="205" t="s">
        <v>203</v>
      </c>
      <c r="W8" s="205" t="s">
        <v>204</v>
      </c>
      <c r="X8" s="205" t="s">
        <v>206</v>
      </c>
      <c r="Y8" s="205" t="s">
        <v>207</v>
      </c>
      <c r="Z8" s="202" t="s">
        <v>209</v>
      </c>
      <c r="AA8" s="197" t="s">
        <v>211</v>
      </c>
      <c r="AB8" s="205" t="s">
        <v>212</v>
      </c>
      <c r="AC8" s="205" t="s">
        <v>213</v>
      </c>
      <c r="AD8" s="197" t="s">
        <v>215</v>
      </c>
      <c r="AE8" s="205" t="s">
        <v>216</v>
      </c>
      <c r="AF8" s="205" t="s">
        <v>217</v>
      </c>
      <c r="AG8" s="205" t="s">
        <v>168</v>
      </c>
      <c r="AL8" s="205">
        <f>P8</f>
        <v>0</v>
      </c>
      <c r="AM8" s="205"/>
      <c r="AN8" s="205">
        <f t="shared" ref="AN8" si="0">R8</f>
        <v>0</v>
      </c>
      <c r="AO8" s="205" t="str">
        <f t="shared" ref="AO8" si="1">S8</f>
        <v>IRP19Wind_wS_YK_T 2029</v>
      </c>
      <c r="AP8" s="205" t="str">
        <f t="shared" ref="AP8" si="2">T8</f>
        <v>IRP19Wind_wS_YK_T 2037</v>
      </c>
      <c r="AQ8" s="205">
        <f t="shared" ref="AQ8" si="3">U8</f>
        <v>0</v>
      </c>
      <c r="AR8" s="205" t="str">
        <f t="shared" ref="AR8" si="4">V8</f>
        <v>IRP19Solar_wS_YK_T 2024</v>
      </c>
      <c r="AS8" s="205" t="str">
        <f t="shared" ref="AS8" si="5">W8</f>
        <v>IRP19Solar_wS_YK_T 2036</v>
      </c>
      <c r="AT8" s="205" t="str">
        <f t="shared" ref="AT8" si="6">X8</f>
        <v>IRP19Solar_wS_OR_T 2024</v>
      </c>
      <c r="AU8" s="205" t="str">
        <f t="shared" ref="AU8" si="7">Y8</f>
        <v>IRP19Solar_wS_OR_T 2033</v>
      </c>
      <c r="AV8" s="205" t="str">
        <f t="shared" ref="AV8" si="8">Z8</f>
        <v>IRP19Solar_wS_UT_UTN_T 2024</v>
      </c>
      <c r="AW8" s="205" t="str">
        <f t="shared" ref="AW8" si="9">AA8</f>
        <v>IRP19Solar_wS_WY_JB_T 2024</v>
      </c>
      <c r="AX8" s="205" t="str">
        <f t="shared" ref="AX8" si="10">AB8</f>
        <v>IRP19Solar_wS_WY_JB_T 2029</v>
      </c>
      <c r="AY8" s="205" t="str">
        <f t="shared" ref="AY8" si="11">AC8</f>
        <v>IRP19Solar_wS_WY_JB_T 2038</v>
      </c>
      <c r="AZ8" s="205" t="str">
        <f t="shared" ref="AZ8" si="12">AD8</f>
        <v>IRP19Solar_wS_UT_UTS_T 2024</v>
      </c>
      <c r="BA8" s="205" t="str">
        <f t="shared" ref="BA8" si="13">AE8</f>
        <v>IRP19Solar_wS_UT_UTS_T 2030</v>
      </c>
      <c r="BB8" s="205" t="str">
        <f>AF8</f>
        <v>IRP19Solar_wS_UT_UTS_T 2037</v>
      </c>
      <c r="BC8" s="205" t="str">
        <f>AG8</f>
        <v>IRP19_SCCT_NTN_2026_185MW</v>
      </c>
      <c r="BD8" s="205"/>
      <c r="BE8" s="205"/>
      <c r="BF8" s="205"/>
      <c r="BH8" s="200" t="s">
        <v>75</v>
      </c>
      <c r="BI8" s="200"/>
      <c r="BJ8" s="200"/>
      <c r="BK8" s="205" t="str">
        <f t="shared" ref="BK8:BY9" si="14">S8</f>
        <v>IRP19Wind_wS_YK_T 2029</v>
      </c>
      <c r="BL8" s="205" t="str">
        <f t="shared" si="14"/>
        <v>IRP19Wind_wS_YK_T 2037</v>
      </c>
      <c r="BM8" s="205">
        <f t="shared" si="14"/>
        <v>0</v>
      </c>
      <c r="BN8" s="205" t="str">
        <f t="shared" si="14"/>
        <v>IRP19Solar_wS_YK_T 2024</v>
      </c>
      <c r="BO8" s="205" t="str">
        <f t="shared" si="14"/>
        <v>IRP19Solar_wS_YK_T 2036</v>
      </c>
      <c r="BP8" s="205" t="str">
        <f t="shared" si="14"/>
        <v>IRP19Solar_wS_OR_T 2024</v>
      </c>
      <c r="BQ8" s="205" t="str">
        <f t="shared" si="14"/>
        <v>IRP19Solar_wS_OR_T 2033</v>
      </c>
      <c r="BR8" s="205" t="str">
        <f t="shared" si="14"/>
        <v>IRP19Solar_wS_UT_UTN_T 2024</v>
      </c>
      <c r="BS8" s="205" t="str">
        <f t="shared" si="14"/>
        <v>IRP19Solar_wS_WY_JB_T 2024</v>
      </c>
      <c r="BT8" s="205" t="str">
        <f t="shared" si="14"/>
        <v>IRP19Solar_wS_WY_JB_T 2029</v>
      </c>
      <c r="BU8" s="205" t="str">
        <f t="shared" si="14"/>
        <v>IRP19Solar_wS_WY_JB_T 2038</v>
      </c>
      <c r="BV8" s="205" t="str">
        <f t="shared" si="14"/>
        <v>IRP19Solar_wS_UT_UTS_T 2024</v>
      </c>
      <c r="BW8" s="205" t="str">
        <f t="shared" si="14"/>
        <v>IRP19Solar_wS_UT_UTS_T 2030</v>
      </c>
      <c r="BX8" s="205" t="str">
        <f t="shared" si="14"/>
        <v>IRP19Solar_wS_UT_UTS_T 2037</v>
      </c>
      <c r="BY8" s="205" t="str">
        <f t="shared" si="14"/>
        <v>IRP19_SCCT_NTN_2026_185MW</v>
      </c>
      <c r="BZ8" s="205"/>
      <c r="CA8" s="205"/>
      <c r="CB8" s="205"/>
      <c r="CD8" s="200" t="s">
        <v>76</v>
      </c>
      <c r="CE8" s="200"/>
      <c r="CF8" s="200"/>
      <c r="CI8" s="205"/>
      <c r="CN8" s="205"/>
      <c r="DB8" s="177" t="s">
        <v>75</v>
      </c>
      <c r="DC8" s="178" t="s">
        <v>76</v>
      </c>
    </row>
    <row r="9" spans="2:107" s="183" customFormat="1" ht="76.5" customHeight="1">
      <c r="B9" s="188"/>
      <c r="C9" s="189" t="s">
        <v>6</v>
      </c>
      <c r="D9" s="189"/>
      <c r="E9" s="190" t="s">
        <v>18</v>
      </c>
      <c r="F9" s="191"/>
      <c r="G9" s="192">
        <f ca="1">Study_CF</f>
        <v>0.32188227488944637</v>
      </c>
      <c r="H9" s="193"/>
      <c r="I9" s="194"/>
      <c r="K9"/>
      <c r="L9"/>
      <c r="M9"/>
      <c r="P9" s="183" t="s">
        <v>196</v>
      </c>
      <c r="Q9" s="205" t="s">
        <v>230</v>
      </c>
      <c r="R9" s="183" t="s">
        <v>197</v>
      </c>
      <c r="S9" s="183" t="s">
        <v>198</v>
      </c>
      <c r="T9" s="205" t="s">
        <v>198</v>
      </c>
      <c r="U9" s="202" t="s">
        <v>199</v>
      </c>
      <c r="V9" s="183" t="s">
        <v>200</v>
      </c>
      <c r="W9" s="205" t="s">
        <v>200</v>
      </c>
      <c r="X9" s="183" t="s">
        <v>205</v>
      </c>
      <c r="Y9" s="205" t="s">
        <v>205</v>
      </c>
      <c r="Z9" s="202" t="s">
        <v>208</v>
      </c>
      <c r="AA9" s="183" t="s">
        <v>210</v>
      </c>
      <c r="AB9" s="205" t="s">
        <v>210</v>
      </c>
      <c r="AC9" s="205" t="s">
        <v>210</v>
      </c>
      <c r="AD9" s="183" t="s">
        <v>214</v>
      </c>
      <c r="AE9" s="205" t="s">
        <v>214</v>
      </c>
      <c r="AF9" s="205" t="s">
        <v>214</v>
      </c>
      <c r="AG9" s="197" t="s">
        <v>168</v>
      </c>
      <c r="AH9" s="197"/>
      <c r="AI9" s="197"/>
      <c r="AK9" s="196"/>
      <c r="AL9" s="183" t="str">
        <f>P9</f>
        <v>IRP19Wind_ID_T</v>
      </c>
      <c r="AM9" s="205" t="str">
        <f t="shared" ref="AM9:BA9" si="15">Q9</f>
        <v>IRP19Wind_UT_CP_T</v>
      </c>
      <c r="AN9" s="183" t="str">
        <f t="shared" si="15"/>
        <v>IRP19Wind_WYAE_T</v>
      </c>
      <c r="AO9" s="183" t="str">
        <f t="shared" si="15"/>
        <v>IRP19Wind_wS_YK_T</v>
      </c>
      <c r="AP9" s="183" t="str">
        <f t="shared" si="15"/>
        <v>IRP19Wind_wS_YK_T</v>
      </c>
      <c r="AQ9" s="202" t="str">
        <f t="shared" si="15"/>
        <v>IRP19Wind_wS_ID_T</v>
      </c>
      <c r="AR9" s="183" t="str">
        <f t="shared" si="15"/>
        <v>IRP19Solar_wS_YK_T</v>
      </c>
      <c r="AS9" s="183" t="str">
        <f t="shared" si="15"/>
        <v>IRP19Solar_wS_YK_T</v>
      </c>
      <c r="AT9" s="183" t="str">
        <f t="shared" si="15"/>
        <v>IRP19Solar_wS_OR_T</v>
      </c>
      <c r="AU9" s="183" t="str">
        <f t="shared" si="15"/>
        <v>IRP19Solar_wS_OR_T</v>
      </c>
      <c r="AV9" s="202" t="str">
        <f t="shared" si="15"/>
        <v>IRP19Solar_wS_UT_UTN_T</v>
      </c>
      <c r="AW9" s="183" t="str">
        <f t="shared" si="15"/>
        <v>IRP19Solar_wS_WY_JB_T</v>
      </c>
      <c r="AX9" s="197" t="str">
        <f t="shared" si="15"/>
        <v>IRP19Solar_wS_WY_JB_T</v>
      </c>
      <c r="AY9" s="197" t="str">
        <f t="shared" si="15"/>
        <v>IRP19Solar_wS_WY_JB_T</v>
      </c>
      <c r="AZ9" s="197" t="str">
        <f t="shared" si="15"/>
        <v>IRP19Solar_wS_UT_UTS_T</v>
      </c>
      <c r="BA9" s="197" t="str">
        <f t="shared" si="15"/>
        <v>IRP19Solar_wS_UT_UTS_T</v>
      </c>
      <c r="BB9" s="197" t="str">
        <f>AF9</f>
        <v>IRP19Solar_wS_UT_UTS_T</v>
      </c>
      <c r="BC9" s="205" t="str">
        <f>AG9</f>
        <v>IRP19_SCCT_NTN_2026_185MW</v>
      </c>
      <c r="BD9" s="197"/>
      <c r="BE9" s="197"/>
      <c r="BF9" s="197"/>
      <c r="BH9" s="183" t="str">
        <f>P9</f>
        <v>IRP19Wind_ID_T</v>
      </c>
      <c r="BI9" s="205" t="str">
        <f>Q9</f>
        <v>IRP19Wind_UT_CP_T</v>
      </c>
      <c r="BJ9" s="205" t="str">
        <f>R9</f>
        <v>IRP19Wind_WYAE_T</v>
      </c>
      <c r="BK9" s="205" t="str">
        <f t="shared" si="14"/>
        <v>IRP19Wind_wS_YK_T</v>
      </c>
      <c r="BL9" s="205" t="str">
        <f t="shared" si="14"/>
        <v>IRP19Wind_wS_YK_T</v>
      </c>
      <c r="BM9" s="205" t="str">
        <f t="shared" si="14"/>
        <v>IRP19Wind_wS_ID_T</v>
      </c>
      <c r="BN9" s="205" t="str">
        <f t="shared" si="14"/>
        <v>IRP19Solar_wS_YK_T</v>
      </c>
      <c r="BO9" s="205" t="str">
        <f t="shared" si="14"/>
        <v>IRP19Solar_wS_YK_T</v>
      </c>
      <c r="BP9" s="205" t="str">
        <f t="shared" si="14"/>
        <v>IRP19Solar_wS_OR_T</v>
      </c>
      <c r="BQ9" s="205" t="str">
        <f t="shared" si="14"/>
        <v>IRP19Solar_wS_OR_T</v>
      </c>
      <c r="BR9" s="205" t="str">
        <f t="shared" si="14"/>
        <v>IRP19Solar_wS_UT_UTN_T</v>
      </c>
      <c r="BS9" s="205" t="str">
        <f t="shared" si="14"/>
        <v>IRP19Solar_wS_WY_JB_T</v>
      </c>
      <c r="BT9" s="205" t="str">
        <f t="shared" si="14"/>
        <v>IRP19Solar_wS_WY_JB_T</v>
      </c>
      <c r="BU9" s="205" t="str">
        <f t="shared" si="14"/>
        <v>IRP19Solar_wS_WY_JB_T</v>
      </c>
      <c r="BV9" s="205" t="str">
        <f t="shared" si="14"/>
        <v>IRP19Solar_wS_UT_UTS_T</v>
      </c>
      <c r="BW9" s="205" t="str">
        <f t="shared" si="14"/>
        <v>IRP19Solar_wS_UT_UTS_T</v>
      </c>
      <c r="BX9" s="205" t="str">
        <f t="shared" si="14"/>
        <v>IRP19Solar_wS_UT_UTS_T</v>
      </c>
      <c r="BY9" s="205" t="str">
        <f t="shared" si="14"/>
        <v>IRP19_SCCT_NTN_2026_185MW</v>
      </c>
      <c r="BZ9" s="205"/>
      <c r="CA9" s="205"/>
      <c r="CB9" s="205"/>
      <c r="CD9" s="183" t="str">
        <f t="shared" ref="CD9:CX9" si="16">BH9</f>
        <v>IRP19Wind_ID_T</v>
      </c>
      <c r="CE9" s="205" t="str">
        <f t="shared" si="16"/>
        <v>IRP19Wind_UT_CP_T</v>
      </c>
      <c r="CF9" s="197" t="str">
        <f t="shared" si="16"/>
        <v>IRP19Wind_WYAE_T</v>
      </c>
      <c r="CG9" s="197" t="str">
        <f t="shared" si="16"/>
        <v>IRP19Wind_wS_YK_T</v>
      </c>
      <c r="CH9" s="197" t="str">
        <f t="shared" si="16"/>
        <v>IRP19Wind_wS_YK_T</v>
      </c>
      <c r="CI9" s="203" t="str">
        <f t="shared" si="16"/>
        <v>IRP19Wind_wS_ID_T</v>
      </c>
      <c r="CJ9" s="197" t="str">
        <f t="shared" si="16"/>
        <v>IRP19Solar_wS_YK_T</v>
      </c>
      <c r="CK9" s="197" t="str">
        <f t="shared" si="16"/>
        <v>IRP19Solar_wS_YK_T</v>
      </c>
      <c r="CL9" s="197" t="str">
        <f t="shared" si="16"/>
        <v>IRP19Solar_wS_OR_T</v>
      </c>
      <c r="CM9" s="197" t="str">
        <f t="shared" si="16"/>
        <v>IRP19Solar_wS_OR_T</v>
      </c>
      <c r="CN9" s="203" t="str">
        <f t="shared" si="16"/>
        <v>IRP19Solar_wS_UT_UTN_T</v>
      </c>
      <c r="CO9" s="197" t="str">
        <f t="shared" si="16"/>
        <v>IRP19Solar_wS_WY_JB_T</v>
      </c>
      <c r="CP9" s="197" t="str">
        <f t="shared" si="16"/>
        <v>IRP19Solar_wS_WY_JB_T</v>
      </c>
      <c r="CQ9" s="197" t="str">
        <f t="shared" si="16"/>
        <v>IRP19Solar_wS_WY_JB_T</v>
      </c>
      <c r="CR9" s="197" t="str">
        <f t="shared" si="16"/>
        <v>IRP19Solar_wS_UT_UTS_T</v>
      </c>
      <c r="CS9" s="197" t="str">
        <f t="shared" si="16"/>
        <v>IRP19Solar_wS_UT_UTS_T</v>
      </c>
      <c r="CT9" s="197" t="str">
        <f t="shared" si="16"/>
        <v>IRP19Solar_wS_UT_UTS_T</v>
      </c>
      <c r="CU9" s="197" t="str">
        <f t="shared" si="16"/>
        <v>IRP19_SCCT_NTN_2026_185MW</v>
      </c>
      <c r="CV9" s="197">
        <f t="shared" si="16"/>
        <v>0</v>
      </c>
      <c r="CW9" s="197">
        <f t="shared" si="16"/>
        <v>0</v>
      </c>
      <c r="CX9" s="197">
        <f t="shared" si="16"/>
        <v>0</v>
      </c>
      <c r="CY9" s="183" t="s">
        <v>77</v>
      </c>
      <c r="DB9" s="183" t="s">
        <v>86</v>
      </c>
      <c r="DC9" s="183" t="s">
        <v>86</v>
      </c>
    </row>
    <row r="10" spans="2:107" customFormat="1">
      <c r="B10" s="6" t="s">
        <v>0</v>
      </c>
      <c r="C10" s="6" t="str">
        <f>"Price"&amp;IF(I8&lt;&gt;1," ","")</f>
        <v xml:space="preserve">Price </v>
      </c>
      <c r="D10" s="6"/>
      <c r="E10" s="12" t="s">
        <v>19</v>
      </c>
      <c r="F10" s="39"/>
      <c r="G10" s="12" t="s">
        <v>15</v>
      </c>
      <c r="H10" s="36"/>
      <c r="I10" s="89"/>
    </row>
    <row r="11" spans="2:107" customFormat="1" ht="13.5">
      <c r="B11" s="6"/>
      <c r="C11" s="6" t="s">
        <v>16</v>
      </c>
      <c r="D11" s="6"/>
      <c r="E11" s="84" t="s">
        <v>53</v>
      </c>
      <c r="F11" s="39"/>
      <c r="G11" s="12" t="s">
        <v>31</v>
      </c>
      <c r="H11" s="36"/>
      <c r="I11" s="89"/>
      <c r="P11" t="s">
        <v>32</v>
      </c>
      <c r="Q11" t="s">
        <v>32</v>
      </c>
      <c r="S11" t="s">
        <v>32</v>
      </c>
      <c r="T11" t="s">
        <v>32</v>
      </c>
      <c r="U11" t="s">
        <v>32</v>
      </c>
      <c r="V11" t="s">
        <v>32</v>
      </c>
      <c r="W11" t="s">
        <v>32</v>
      </c>
      <c r="X11" t="s">
        <v>32</v>
      </c>
      <c r="Y11" t="s">
        <v>32</v>
      </c>
      <c r="Z11" t="s">
        <v>32</v>
      </c>
      <c r="AA11" t="s">
        <v>32</v>
      </c>
      <c r="AB11" t="s">
        <v>32</v>
      </c>
      <c r="AC11" t="s">
        <v>32</v>
      </c>
      <c r="AD11" t="s">
        <v>32</v>
      </c>
      <c r="AE11" t="s">
        <v>32</v>
      </c>
      <c r="AF11" t="s">
        <v>32</v>
      </c>
      <c r="AL11" t="s">
        <v>32</v>
      </c>
      <c r="AM11" t="s">
        <v>32</v>
      </c>
      <c r="AN11" t="s">
        <v>32</v>
      </c>
      <c r="AO11" t="s">
        <v>32</v>
      </c>
      <c r="AP11" t="s">
        <v>32</v>
      </c>
      <c r="AQ11" t="s">
        <v>32</v>
      </c>
      <c r="AR11" t="s">
        <v>32</v>
      </c>
      <c r="AS11" t="s">
        <v>32</v>
      </c>
      <c r="AT11" t="s">
        <v>32</v>
      </c>
      <c r="AU11" t="s">
        <v>32</v>
      </c>
      <c r="AV11" t="s">
        <v>32</v>
      </c>
      <c r="AW11" t="s">
        <v>32</v>
      </c>
      <c r="AX11" t="s">
        <v>32</v>
      </c>
      <c r="AY11" t="s">
        <v>32</v>
      </c>
      <c r="AZ11" t="s">
        <v>32</v>
      </c>
      <c r="BA11" t="s">
        <v>32</v>
      </c>
      <c r="BB11" t="s">
        <v>32</v>
      </c>
      <c r="BC11" t="s">
        <v>32</v>
      </c>
      <c r="BH11" t="s">
        <v>78</v>
      </c>
      <c r="BI11" t="s">
        <v>78</v>
      </c>
      <c r="BJ11" t="s">
        <v>78</v>
      </c>
      <c r="BK11" t="s">
        <v>78</v>
      </c>
      <c r="BL11" t="s">
        <v>78</v>
      </c>
      <c r="BM11" t="s">
        <v>78</v>
      </c>
      <c r="BN11" t="s">
        <v>78</v>
      </c>
      <c r="BO11" t="s">
        <v>78</v>
      </c>
      <c r="BP11" t="s">
        <v>78</v>
      </c>
      <c r="BQ11" t="s">
        <v>78</v>
      </c>
      <c r="BR11" t="s">
        <v>78</v>
      </c>
      <c r="BS11" t="s">
        <v>78</v>
      </c>
      <c r="BT11" t="s">
        <v>78</v>
      </c>
      <c r="BU11" t="s">
        <v>78</v>
      </c>
      <c r="BV11" t="s">
        <v>78</v>
      </c>
      <c r="BW11" t="s">
        <v>78</v>
      </c>
      <c r="BX11" t="s">
        <v>78</v>
      </c>
      <c r="BY11" t="s">
        <v>78</v>
      </c>
      <c r="CD11" t="s">
        <v>79</v>
      </c>
      <c r="CE11" t="s">
        <v>79</v>
      </c>
      <c r="CF11" t="s">
        <v>79</v>
      </c>
      <c r="CG11" t="s">
        <v>79</v>
      </c>
      <c r="CH11" t="s">
        <v>79</v>
      </c>
      <c r="CI11" t="s">
        <v>79</v>
      </c>
      <c r="CJ11" t="s">
        <v>79</v>
      </c>
      <c r="CK11" t="s">
        <v>79</v>
      </c>
      <c r="CL11" t="s">
        <v>79</v>
      </c>
      <c r="CM11" t="s">
        <v>79</v>
      </c>
      <c r="CN11" t="s">
        <v>79</v>
      </c>
      <c r="CO11" t="s">
        <v>79</v>
      </c>
      <c r="CP11" t="s">
        <v>79</v>
      </c>
      <c r="CQ11" t="s">
        <v>79</v>
      </c>
      <c r="CR11" t="s">
        <v>79</v>
      </c>
      <c r="CS11" t="s">
        <v>79</v>
      </c>
      <c r="CT11" t="s">
        <v>79</v>
      </c>
      <c r="CU11" t="s">
        <v>79</v>
      </c>
      <c r="CV11" t="s">
        <v>79</v>
      </c>
      <c r="CW11" t="s">
        <v>79</v>
      </c>
      <c r="CX11" t="s">
        <v>79</v>
      </c>
      <c r="CY11" t="s">
        <v>79</v>
      </c>
      <c r="DB11" t="s">
        <v>78</v>
      </c>
      <c r="DC11" t="s">
        <v>79</v>
      </c>
    </row>
    <row r="12" spans="2:107" customFormat="1">
      <c r="B12" s="171"/>
      <c r="C12" s="172"/>
      <c r="D12" s="171"/>
      <c r="E12" s="12"/>
      <c r="F12" s="12"/>
      <c r="G12" s="3"/>
      <c r="H12" s="36"/>
      <c r="I12" s="89"/>
      <c r="BU12" s="355"/>
    </row>
    <row r="13" spans="2:107" customFormat="1">
      <c r="B13" s="15">
        <f>'Table 5'!J13</f>
        <v>2021</v>
      </c>
      <c r="C13" s="9">
        <f t="shared" ref="C13:C38" si="17">(INDEX($CY:$CY,MATCH(B13,$O:$O,0),1)+INDEX($DC:$DC,MATCH(B13,$O:$O,0),1))*1000/Study_MW</f>
        <v>0</v>
      </c>
      <c r="D13" s="45"/>
      <c r="E13" s="8">
        <f ca="1">SUMIF(INDIRECT("'Table 5'!$J$"&amp;$K$3&amp;":$J$"&amp;$K$4),B13,INDIRECT("'Table 5'!$c$"&amp;$K$3&amp;":$c$"&amp;$K$4))/SUMIF(INDIRECT("'Table 5'!$J$"&amp;$K$3&amp;":$J$"&amp;$K$4),B13,INDIRECT("'Table 5'!$f$"&amp;$K$3&amp;":$f$"&amp;$K$4))</f>
        <v>16.87226312752971</v>
      </c>
      <c r="F13" s="44"/>
      <c r="G13" s="13">
        <f ca="1">SUMIF(INDIRECT("'Table 5'!$J$"&amp;$K$3&amp;":$J$"&amp;$K$4),B13,INDIRECT("'Table 5'!$e$"&amp;$K$3&amp;":$e$"&amp;$K$4))/SUMIF(INDIRECT("'Table 5'!$J$"&amp;$K$3&amp;":$J$"&amp;$K$4),B13,INDIRECT("'Table 5'!$f$"&amp;$K$3&amp;":$f$"&amp;$K$4))</f>
        <v>16.87226312752971</v>
      </c>
      <c r="H13" s="36"/>
      <c r="I13" s="174"/>
      <c r="J13" s="174"/>
      <c r="O13">
        <f t="shared" ref="O13:O32" si="18">B13</f>
        <v>2021</v>
      </c>
      <c r="P13">
        <v>0</v>
      </c>
      <c r="Q13">
        <v>0</v>
      </c>
      <c r="R13">
        <v>0</v>
      </c>
      <c r="S13" s="354">
        <v>0</v>
      </c>
      <c r="T13" s="354">
        <v>0</v>
      </c>
      <c r="U13" s="174">
        <v>0</v>
      </c>
      <c r="V13" s="354">
        <v>0</v>
      </c>
      <c r="W13" s="354">
        <v>0</v>
      </c>
      <c r="X13" s="354">
        <v>0</v>
      </c>
      <c r="Y13" s="354">
        <v>0</v>
      </c>
      <c r="Z13" s="354">
        <v>0</v>
      </c>
      <c r="AA13" s="354">
        <v>0</v>
      </c>
      <c r="AB13" s="354">
        <v>0</v>
      </c>
      <c r="AC13" s="354">
        <v>0</v>
      </c>
      <c r="AD13" s="354">
        <v>0</v>
      </c>
      <c r="AE13" s="354">
        <v>0</v>
      </c>
      <c r="AF13" s="354">
        <v>0</v>
      </c>
      <c r="AG13" s="354">
        <v>0</v>
      </c>
      <c r="AL13">
        <f t="shared" ref="AL13:AM33" si="19">P13/P$5</f>
        <v>0</v>
      </c>
      <c r="AM13">
        <f t="shared" si="19"/>
        <v>0</v>
      </c>
      <c r="AN13">
        <f t="shared" ref="AN13:AN30" si="20">R13/R$5</f>
        <v>0</v>
      </c>
      <c r="AO13">
        <f t="shared" ref="AO13:AO30" si="21">S13/S$5</f>
        <v>0</v>
      </c>
      <c r="AP13">
        <f t="shared" ref="AP13:AP30" si="22">T13/T$5</f>
        <v>0</v>
      </c>
      <c r="AQ13">
        <f t="shared" ref="AQ13:AQ30" si="23">U13/U$5</f>
        <v>0</v>
      </c>
      <c r="AR13">
        <f t="shared" ref="AR13:AR30" si="24">V13/V$5</f>
        <v>0</v>
      </c>
      <c r="AS13">
        <f t="shared" ref="AS13:AS30" si="25">W13/W$5</f>
        <v>0</v>
      </c>
      <c r="AT13">
        <f t="shared" ref="AT13:AT30" si="26">X13/X$5</f>
        <v>0</v>
      </c>
      <c r="AU13">
        <f t="shared" ref="AU13:AU30" si="27">Y13/Y$5</f>
        <v>0</v>
      </c>
      <c r="AV13">
        <f t="shared" ref="AV13:AV30" si="28">Z13/Z$5</f>
        <v>0</v>
      </c>
      <c r="AW13">
        <f t="shared" ref="AW13:AW30" si="29">AA13/AA$5</f>
        <v>0</v>
      </c>
      <c r="AX13">
        <f t="shared" ref="AX13:AX30" si="30">AB13/AB$5</f>
        <v>0</v>
      </c>
      <c r="AY13">
        <f t="shared" ref="AY13:AY30" si="31">AC13/AC$5</f>
        <v>0</v>
      </c>
      <c r="AZ13">
        <f t="shared" ref="AZ13:AZ30" si="32">AD13/AD$5</f>
        <v>0</v>
      </c>
      <c r="BA13">
        <f t="shared" ref="BA13:BA30" si="33">AE13/AE$5</f>
        <v>0</v>
      </c>
      <c r="BB13">
        <f t="shared" ref="BB13:BB30" si="34">AF13/AF$5</f>
        <v>0</v>
      </c>
      <c r="BC13">
        <f t="shared" ref="BC13:BC30" si="35">AG13/AG$5</f>
        <v>0</v>
      </c>
      <c r="BG13">
        <f>O13</f>
        <v>2021</v>
      </c>
      <c r="BH13" s="130">
        <f>IFERROR(VLOOKUP($O13,'Table 3 ID Wind_2030'!$B$10:$K$37,10,FALSE),0)</f>
        <v>0</v>
      </c>
      <c r="BI13" s="130">
        <f>IFERROR(VLOOKUP($O13,'Table 3 UT CP Wind_2023'!$B$10:$K$37,10,FALSE),0)</f>
        <v>0</v>
      </c>
      <c r="BJ13" s="130">
        <f>IFERROR(VLOOKUP($O13,'Table 3 WYAE Wind_2024'!$B$10:$L$37,11,FALSE),0)</f>
        <v>0</v>
      </c>
      <c r="BK13" s="130">
        <f>IFERROR(VLOOKUP($O13,'Table 3 YK Wind wS_2029'!$B$10:$K$37,10,FALSE),0)</f>
        <v>0</v>
      </c>
      <c r="BL13" s="356"/>
      <c r="BM13" s="130">
        <f>IFERROR(VLOOKUP($O13,'Table 3 ID Wind wS_2032'!$B$10:$K$38,10,FALSE),0)</f>
        <v>0</v>
      </c>
      <c r="BN13" s="130">
        <f>IFERROR(VLOOKUP($O13,'Table 3 PV wS YK_2024'!$B$10:$K$40,10,FALSE),0)</f>
        <v>25.79</v>
      </c>
      <c r="BO13" s="356"/>
      <c r="BP13" s="130">
        <f>IFERROR(VLOOKUP($O13,'Table 3 PV wS SO_2024'!$B$10:$K$40,10,FALSE),0)</f>
        <v>25.79</v>
      </c>
      <c r="BQ13" s="356"/>
      <c r="BR13" s="130">
        <f>IFERROR(VLOOKUP($O13,'Table 3 PV wS UTN_2024'!$B$10:$K$43,10,FALSE),0)</f>
        <v>25.79</v>
      </c>
      <c r="BS13" s="130">
        <f>IFERROR(VLOOKUP($O13,'Table 3 PV wS JB_2024'!$B$10:$K$40,10,FALSE),0)</f>
        <v>25.79</v>
      </c>
      <c r="BT13" s="130">
        <f>IFERROR(VLOOKUP($O13,'Table 3 PV wS JB_2029'!$B$10:$K$40,10,FALSE),0)</f>
        <v>25.79</v>
      </c>
      <c r="BU13" s="356"/>
      <c r="BV13" s="130">
        <f>IFERROR(VLOOKUP($O13,'Table 3 PV wS UTS_2024'!$B$10:$K$38,10,FALSE),0)</f>
        <v>25.79</v>
      </c>
      <c r="BW13" s="130">
        <f>IFERROR(VLOOKUP($O13,'Table 3 PV wS UTS_2030'!$B$10:$K$38,10,FALSE),0)</f>
        <v>25.79</v>
      </c>
      <c r="BX13" s="355"/>
      <c r="BY13" s="130">
        <f>IFERROR(VLOOKUP($O13,'Table 3 185 MW (NTN) 2026)'!$B$13:$L$40,11,FALSE),0)</f>
        <v>8.14</v>
      </c>
      <c r="CD13">
        <f>SUM(AL$13:AL13)*BH13/1000</f>
        <v>0</v>
      </c>
      <c r="CE13">
        <f>SUM(AM$13:AM13)*BI13/1000</f>
        <v>0</v>
      </c>
      <c r="CF13">
        <f>SUM(AN$13:AN13)*BJ13/1000</f>
        <v>0</v>
      </c>
      <c r="CG13">
        <f>SUM(AO$13:AO13)*BK13/1000</f>
        <v>0</v>
      </c>
      <c r="CH13">
        <f>SUM(AP$13:AP13)*BL13/1000</f>
        <v>0</v>
      </c>
      <c r="CI13">
        <f>SUM(AQ$13:AQ13)*BM13/1000</f>
        <v>0</v>
      </c>
      <c r="CJ13">
        <f>SUM(AR$13:AR13)*BN13/1000</f>
        <v>0</v>
      </c>
      <c r="CK13">
        <f>SUM(AS$13:AS13)*BO13/1000</f>
        <v>0</v>
      </c>
      <c r="CL13">
        <f>SUM(AT$13:AT13)*BP13/1000</f>
        <v>0</v>
      </c>
      <c r="CM13">
        <f>SUM(AU$13:AU13)*BQ13/1000</f>
        <v>0</v>
      </c>
      <c r="CN13">
        <f>SUM(AV$13:AV13)*BR13/1000</f>
        <v>0</v>
      </c>
      <c r="CO13">
        <f>SUM(AW$13:AW13)*BS13/1000</f>
        <v>0</v>
      </c>
      <c r="CP13">
        <f>SUM(AX$13:AX13)*BT13/1000</f>
        <v>0</v>
      </c>
      <c r="CQ13">
        <f>SUM(AY$13:AY13)*BU13/1000</f>
        <v>0</v>
      </c>
      <c r="CR13">
        <f>SUM(AZ$13:AZ13)*BV13/1000</f>
        <v>0</v>
      </c>
      <c r="CS13">
        <f>SUM(BA$13:BA13)*BW13/1000</f>
        <v>0</v>
      </c>
      <c r="CT13">
        <f>SUM(BB$13:BB13)*BX13/1000</f>
        <v>0</v>
      </c>
      <c r="CU13">
        <f>SUM(BC$13:BC13)*BY13/1000</f>
        <v>0</v>
      </c>
      <c r="CV13">
        <f>SUM(BD$13:BD13)*BZ13/1000</f>
        <v>0</v>
      </c>
      <c r="CW13">
        <f>SUM(BE$13:BE13)*CA13/1000</f>
        <v>0</v>
      </c>
      <c r="CX13">
        <f>SUM(BF$13:BF13)*CB13/1000</f>
        <v>0</v>
      </c>
      <c r="CY13">
        <f t="shared" ref="CY13:CY14" si="36">SUM(CD13:CX13)</f>
        <v>0</v>
      </c>
      <c r="DA13">
        <f t="shared" ref="DA13:DA30" si="37">O13</f>
        <v>2021</v>
      </c>
      <c r="DB13" s="89">
        <f>IFERROR(VLOOKUP($DA13,'Table 3 TransCost'!$B$10:$E$40,4,FALSE),0)</f>
        <v>0</v>
      </c>
      <c r="DC13" s="174">
        <f>$DB$5*DB13/1000</f>
        <v>0</v>
      </c>
    </row>
    <row r="14" spans="2:107" customFormat="1">
      <c r="B14" s="15">
        <f t="shared" ref="B14:B38" si="38">B13+1</f>
        <v>2022</v>
      </c>
      <c r="C14" s="9">
        <f t="shared" si="17"/>
        <v>0</v>
      </c>
      <c r="D14" s="45"/>
      <c r="E14" s="9">
        <f t="shared" ref="E14:E32" ca="1" si="39">SUMIF(INDIRECT("'Table 5'!$J$"&amp;$K$3&amp;":$J$"&amp;$K$4),B14,INDIRECT("'Table 5'!$c$"&amp;$K$3&amp;":$c$"&amp;$K$4))/SUMIF(INDIRECT("'Table 5'!$J$"&amp;$K$3&amp;":$J$"&amp;$K$4),B14,INDIRECT("'Table 5'!$f$"&amp;$K$3&amp;":$f$"&amp;$K$4))</f>
        <v>17.447416560191382</v>
      </c>
      <c r="F14" s="37"/>
      <c r="G14" s="14">
        <f ca="1">SUMIF(INDIRECT("'Table 5'!$J$"&amp;$K$3&amp;":$J$"&amp;$K$4),B14,INDIRECT("'Table 5'!$e$"&amp;$K$3&amp;":$e$"&amp;$K$4))/SUMIF(INDIRECT("'Table 5'!$J$"&amp;$K$3&amp;":$J$"&amp;$K$4),B14,INDIRECT("'Table 5'!$f$"&amp;$K$3&amp;":$f$"&amp;$K$4))</f>
        <v>17.447416560191382</v>
      </c>
      <c r="H14" s="36"/>
      <c r="I14" s="174"/>
      <c r="J14" s="174"/>
      <c r="O14">
        <f t="shared" si="18"/>
        <v>2022</v>
      </c>
      <c r="P14">
        <v>0</v>
      </c>
      <c r="Q14">
        <v>0</v>
      </c>
      <c r="R14">
        <v>0</v>
      </c>
      <c r="S14" s="354">
        <v>0</v>
      </c>
      <c r="T14" s="354">
        <v>0</v>
      </c>
      <c r="U14" s="174">
        <v>0</v>
      </c>
      <c r="V14" s="354">
        <v>0</v>
      </c>
      <c r="W14" s="354">
        <v>0</v>
      </c>
      <c r="X14" s="354">
        <v>0</v>
      </c>
      <c r="Y14" s="354">
        <v>0</v>
      </c>
      <c r="Z14" s="354">
        <v>0</v>
      </c>
      <c r="AA14" s="354">
        <v>0</v>
      </c>
      <c r="AB14" s="354">
        <v>0</v>
      </c>
      <c r="AC14" s="354">
        <v>0</v>
      </c>
      <c r="AD14" s="354">
        <v>0</v>
      </c>
      <c r="AE14" s="354">
        <v>0</v>
      </c>
      <c r="AF14" s="354">
        <v>0</v>
      </c>
      <c r="AG14" s="354">
        <v>0</v>
      </c>
      <c r="AL14">
        <f t="shared" si="19"/>
        <v>0</v>
      </c>
      <c r="AM14">
        <f t="shared" si="19"/>
        <v>0</v>
      </c>
      <c r="AN14">
        <f t="shared" si="20"/>
        <v>0</v>
      </c>
      <c r="AO14">
        <f t="shared" si="21"/>
        <v>0</v>
      </c>
      <c r="AP14">
        <f t="shared" si="22"/>
        <v>0</v>
      </c>
      <c r="AQ14">
        <f t="shared" si="23"/>
        <v>0</v>
      </c>
      <c r="AR14">
        <f t="shared" si="24"/>
        <v>0</v>
      </c>
      <c r="AS14">
        <f t="shared" si="25"/>
        <v>0</v>
      </c>
      <c r="AT14">
        <f t="shared" si="26"/>
        <v>0</v>
      </c>
      <c r="AU14">
        <f t="shared" si="27"/>
        <v>0</v>
      </c>
      <c r="AV14">
        <f t="shared" si="28"/>
        <v>0</v>
      </c>
      <c r="AW14">
        <f t="shared" si="29"/>
        <v>0</v>
      </c>
      <c r="AX14">
        <f t="shared" si="30"/>
        <v>0</v>
      </c>
      <c r="AY14">
        <f t="shared" si="31"/>
        <v>0</v>
      </c>
      <c r="AZ14">
        <f t="shared" si="32"/>
        <v>0</v>
      </c>
      <c r="BA14">
        <f t="shared" si="33"/>
        <v>0</v>
      </c>
      <c r="BB14">
        <f t="shared" si="34"/>
        <v>0</v>
      </c>
      <c r="BC14">
        <f t="shared" si="35"/>
        <v>0</v>
      </c>
      <c r="BG14">
        <f t="shared" ref="BG14:BG30" si="40">O14</f>
        <v>2022</v>
      </c>
      <c r="BH14" s="130">
        <f>IFERROR(VLOOKUP($O14,'Table 3 ID Wind_2030'!$B$10:$K$37,10,FALSE),0)</f>
        <v>0</v>
      </c>
      <c r="BI14" s="130">
        <f>IFERROR(VLOOKUP($O14,'Table 3 UT CP Wind_2023'!$B$10:$K$37,10,FALSE),0)</f>
        <v>0</v>
      </c>
      <c r="BJ14" s="130">
        <f>IFERROR(VLOOKUP($O14,'Table 3 WYAE Wind_2024'!$B$10:$L$37,11,FALSE),0)</f>
        <v>0</v>
      </c>
      <c r="BK14" s="130">
        <f>IFERROR(VLOOKUP($O14,'Table 3 YK Wind wS_2029'!$B$10:$K$37,10,FALSE),0)</f>
        <v>0</v>
      </c>
      <c r="BL14" s="356"/>
      <c r="BM14" s="130">
        <f>IFERROR(VLOOKUP($O14,'Table 3 ID Wind wS_2032'!$B$10:$K$38,10,FALSE),0)</f>
        <v>0</v>
      </c>
      <c r="BN14" s="130">
        <f>IFERROR(VLOOKUP($O14,'Table 3 PV wS YK_2024'!$B$10:$K$40,10,FALSE),0)</f>
        <v>26.36</v>
      </c>
      <c r="BO14" s="356"/>
      <c r="BP14" s="130">
        <f>IFERROR(VLOOKUP($O14,'Table 3 PV wS SO_2024'!$B$10:$K$40,10,FALSE),0)</f>
        <v>26.36</v>
      </c>
      <c r="BQ14" s="356"/>
      <c r="BR14" s="130">
        <f>IFERROR(VLOOKUP($O14,'Table 3 PV wS UTN_2024'!$B$10:$K$43,10,FALSE),0)</f>
        <v>26.36</v>
      </c>
      <c r="BS14" s="130">
        <f>IFERROR(VLOOKUP($O14,'Table 3 PV wS JB_2024'!$B$10:$K$40,10,FALSE),0)</f>
        <v>26.36</v>
      </c>
      <c r="BT14" s="130">
        <f>IFERROR(VLOOKUP($O14,'Table 3 PV wS JB_2029'!$B$10:$K$40,10,FALSE),0)</f>
        <v>26.36</v>
      </c>
      <c r="BU14" s="356"/>
      <c r="BV14" s="130">
        <f>IFERROR(VLOOKUP($O14,'Table 3 PV wS UTS_2024'!$B$10:$K$38,10,FALSE),0)</f>
        <v>26.36</v>
      </c>
      <c r="BW14" s="130">
        <f>IFERROR(VLOOKUP($O14,'Table 3 PV wS UTS_2030'!$B$10:$K$38,10,FALSE),0)</f>
        <v>26.36</v>
      </c>
      <c r="BX14" s="355"/>
      <c r="BY14" s="130">
        <f>IFERROR(VLOOKUP($O14,'Table 3 185 MW (NTN) 2026)'!$B$13:$L$40,11,FALSE),0)</f>
        <v>8.32</v>
      </c>
      <c r="CD14">
        <f>SUM(AL$13:AL14)*BH14/1000</f>
        <v>0</v>
      </c>
      <c r="CE14">
        <f>SUM(AM$13:AM14)*BI14/1000</f>
        <v>0</v>
      </c>
      <c r="CF14">
        <f>SUM(AN$13:AN14)*BJ14/1000</f>
        <v>0</v>
      </c>
      <c r="CG14">
        <f>SUM(AO$13:AO14)*BK14/1000</f>
        <v>0</v>
      </c>
      <c r="CH14">
        <f>SUM(AP$13:AP14)*BL14/1000</f>
        <v>0</v>
      </c>
      <c r="CI14">
        <f>SUM(AQ$13:AQ14)*BM14/1000</f>
        <v>0</v>
      </c>
      <c r="CJ14">
        <f>SUM(AR$13:AR14)*BN14/1000</f>
        <v>0</v>
      </c>
      <c r="CK14">
        <f>SUM(AS$13:AS14)*BO14/1000</f>
        <v>0</v>
      </c>
      <c r="CL14">
        <f>SUM(AT$13:AT14)*BP14/1000</f>
        <v>0</v>
      </c>
      <c r="CM14">
        <f>SUM(AU$13:AU14)*BQ14/1000</f>
        <v>0</v>
      </c>
      <c r="CN14">
        <f>SUM(AV$13:AV14)*BR14/1000</f>
        <v>0</v>
      </c>
      <c r="CO14">
        <f>SUM(AW$13:AW14)*BS14/1000</f>
        <v>0</v>
      </c>
      <c r="CP14">
        <f>SUM(AX$13:AX14)*BT14/1000</f>
        <v>0</v>
      </c>
      <c r="CQ14">
        <f>SUM(AY$13:AY14)*BU14/1000</f>
        <v>0</v>
      </c>
      <c r="CR14">
        <f>SUM(AZ$13:AZ14)*BV14/1000</f>
        <v>0</v>
      </c>
      <c r="CS14">
        <f>SUM(BA$13:BA14)*BW14/1000</f>
        <v>0</v>
      </c>
      <c r="CT14">
        <f>SUM(BB$13:BB14)*BX14/1000</f>
        <v>0</v>
      </c>
      <c r="CU14">
        <f>SUM(BC$13:BC14)*BY14/1000</f>
        <v>0</v>
      </c>
      <c r="CV14">
        <f>SUM(BD$13:BD14)*BZ14/1000</f>
        <v>0</v>
      </c>
      <c r="CW14">
        <f>SUM(BE$13:BE14)*CA14/1000</f>
        <v>0</v>
      </c>
      <c r="CX14">
        <f>SUM(BF$13:BF14)*CB14/1000</f>
        <v>0</v>
      </c>
      <c r="CY14">
        <f t="shared" si="36"/>
        <v>0</v>
      </c>
      <c r="DA14">
        <f t="shared" si="37"/>
        <v>2022</v>
      </c>
      <c r="DB14" s="89">
        <f>IFERROR(VLOOKUP($DA14,'Table 3 TransCost'!$B$10:$E$40,4,FALSE),0)</f>
        <v>0</v>
      </c>
      <c r="DC14" s="174">
        <f t="shared" ref="DC14:DC30" si="41">$DB$5*DB14/1000</f>
        <v>0</v>
      </c>
    </row>
    <row r="15" spans="2:107" customFormat="1">
      <c r="B15" s="15">
        <f t="shared" si="38"/>
        <v>2023</v>
      </c>
      <c r="C15" s="9">
        <f t="shared" si="17"/>
        <v>0</v>
      </c>
      <c r="D15" s="45"/>
      <c r="E15" s="9">
        <f t="shared" ca="1" si="39"/>
        <v>16.676787043388639</v>
      </c>
      <c r="F15" s="37"/>
      <c r="G15" s="14">
        <f t="shared" ref="G15:G38" ca="1" si="42">SUMIF(INDIRECT("'Table 5'!$J$"&amp;$K$3&amp;":$J$"&amp;$K$4),B15,INDIRECT("'Table 5'!$e$"&amp;$K$3&amp;":$e$"&amp;$K$4))/SUMIF(INDIRECT("'Table 5'!$J$"&amp;$K$3&amp;":$J$"&amp;$K$4),B15,INDIRECT("'Table 5'!$f$"&amp;$K$3&amp;":$f$"&amp;$K$4))</f>
        <v>16.676787043388639</v>
      </c>
      <c r="H15" s="36"/>
      <c r="I15" s="174"/>
      <c r="J15" s="174"/>
      <c r="N15" s="89"/>
      <c r="O15">
        <f t="shared" si="18"/>
        <v>2023</v>
      </c>
      <c r="P15">
        <v>0</v>
      </c>
      <c r="Q15">
        <v>0</v>
      </c>
      <c r="R15">
        <v>0</v>
      </c>
      <c r="S15" s="354">
        <v>0</v>
      </c>
      <c r="T15" s="354">
        <v>0</v>
      </c>
      <c r="U15" s="174">
        <v>0</v>
      </c>
      <c r="V15" s="354">
        <v>0</v>
      </c>
      <c r="W15" s="354">
        <v>0</v>
      </c>
      <c r="X15" s="354">
        <v>0</v>
      </c>
      <c r="Y15" s="354">
        <v>0</v>
      </c>
      <c r="Z15" s="354">
        <v>0</v>
      </c>
      <c r="AA15" s="354">
        <v>0</v>
      </c>
      <c r="AB15" s="354">
        <v>0</v>
      </c>
      <c r="AC15" s="354">
        <v>0</v>
      </c>
      <c r="AD15" s="354">
        <v>0</v>
      </c>
      <c r="AE15" s="354">
        <v>0</v>
      </c>
      <c r="AF15" s="354">
        <v>0</v>
      </c>
      <c r="AG15" s="354">
        <v>0</v>
      </c>
      <c r="AL15">
        <f t="shared" si="19"/>
        <v>0</v>
      </c>
      <c r="AM15">
        <f t="shared" si="19"/>
        <v>0</v>
      </c>
      <c r="AN15">
        <f t="shared" si="20"/>
        <v>0</v>
      </c>
      <c r="AO15">
        <f t="shared" si="21"/>
        <v>0</v>
      </c>
      <c r="AP15">
        <f t="shared" si="22"/>
        <v>0</v>
      </c>
      <c r="AQ15">
        <f t="shared" si="23"/>
        <v>0</v>
      </c>
      <c r="AR15">
        <f t="shared" si="24"/>
        <v>0</v>
      </c>
      <c r="AS15">
        <f t="shared" si="25"/>
        <v>0</v>
      </c>
      <c r="AT15">
        <f t="shared" si="26"/>
        <v>0</v>
      </c>
      <c r="AU15">
        <f t="shared" si="27"/>
        <v>0</v>
      </c>
      <c r="AV15">
        <f t="shared" si="28"/>
        <v>0</v>
      </c>
      <c r="AW15">
        <f t="shared" si="29"/>
        <v>0</v>
      </c>
      <c r="AX15">
        <f t="shared" si="30"/>
        <v>0</v>
      </c>
      <c r="AY15">
        <f t="shared" si="31"/>
        <v>0</v>
      </c>
      <c r="AZ15">
        <f t="shared" si="32"/>
        <v>0</v>
      </c>
      <c r="BA15">
        <f t="shared" si="33"/>
        <v>0</v>
      </c>
      <c r="BB15">
        <f t="shared" si="34"/>
        <v>0</v>
      </c>
      <c r="BC15">
        <f t="shared" si="35"/>
        <v>0</v>
      </c>
      <c r="BG15">
        <f t="shared" si="40"/>
        <v>2023</v>
      </c>
      <c r="BH15" s="130">
        <f>IFERROR(VLOOKUP($O15,'Table 3 ID Wind_2030'!$B$10:$K$37,10,FALSE),0)</f>
        <v>0</v>
      </c>
      <c r="BI15" s="130">
        <f>IFERROR(VLOOKUP($O15,'Table 3 UT CP Wind_2023'!$B$10:$K$37,10,FALSE),0)</f>
        <v>121.1121219836666</v>
      </c>
      <c r="BJ15" s="130">
        <f>IFERROR(VLOOKUP($O15,'Table 3 WYAE Wind_2024'!$B$10:$L$37,11,FALSE),0)</f>
        <v>0</v>
      </c>
      <c r="BK15" s="130">
        <f>IFERROR(VLOOKUP($O15,'Table 3 YK Wind wS_2029'!$B$10:$K$37,10,FALSE),0)</f>
        <v>0</v>
      </c>
      <c r="BL15" s="356"/>
      <c r="BM15" s="130">
        <f>IFERROR(VLOOKUP($O15,'Table 3 ID Wind wS_2032'!$B$10:$K$38,10,FALSE),0)</f>
        <v>0</v>
      </c>
      <c r="BN15" s="130">
        <f>IFERROR(VLOOKUP($O15,'Table 3 PV wS YK_2024'!$B$10:$K$40,10,FALSE),0)</f>
        <v>26.89</v>
      </c>
      <c r="BO15" s="356"/>
      <c r="BP15" s="130">
        <f>IFERROR(VLOOKUP($O15,'Table 3 PV wS SO_2024'!$B$10:$K$40,10,FALSE),0)</f>
        <v>26.89</v>
      </c>
      <c r="BQ15" s="356"/>
      <c r="BR15" s="130">
        <f>IFERROR(VLOOKUP($O15,'Table 3 PV wS UTN_2024'!$B$10:$K$43,10,FALSE),0)</f>
        <v>26.89</v>
      </c>
      <c r="BS15" s="130">
        <f>IFERROR(VLOOKUP($O15,'Table 3 PV wS JB_2024'!$B$10:$K$40,10,FALSE),0)</f>
        <v>26.89</v>
      </c>
      <c r="BT15" s="130">
        <f>IFERROR(VLOOKUP($O15,'Table 3 PV wS JB_2029'!$B$10:$K$40,10,FALSE),0)</f>
        <v>26.89</v>
      </c>
      <c r="BU15" s="356"/>
      <c r="BV15" s="130">
        <f>IFERROR(VLOOKUP($O15,'Table 3 PV wS UTS_2024'!$B$10:$K$38,10,FALSE),0)</f>
        <v>26.89</v>
      </c>
      <c r="BW15" s="130">
        <f>IFERROR(VLOOKUP($O15,'Table 3 PV wS UTS_2030'!$B$10:$K$38,10,FALSE),0)</f>
        <v>26.89</v>
      </c>
      <c r="BX15" s="355"/>
      <c r="BY15" s="130">
        <f>IFERROR(VLOOKUP($O15,'Table 3 185 MW (NTN) 2026)'!$B$13:$L$40,11,FALSE),0)</f>
        <v>8.49</v>
      </c>
      <c r="CD15">
        <f>SUM(AL$13:AL15)*BH15/1000</f>
        <v>0</v>
      </c>
      <c r="CE15">
        <f>SUM(AM$13:AM15)*BI15/1000</f>
        <v>0</v>
      </c>
      <c r="CF15">
        <f>SUM(AN$13:AN15)*BJ15/1000</f>
        <v>0</v>
      </c>
      <c r="CG15">
        <f>SUM(AO$13:AO15)*BK15/1000</f>
        <v>0</v>
      </c>
      <c r="CH15">
        <f>SUM(AP$13:AP15)*BL15/1000</f>
        <v>0</v>
      </c>
      <c r="CI15">
        <f>SUM(AQ$13:AQ15)*BM15/1000</f>
        <v>0</v>
      </c>
      <c r="CJ15">
        <f>SUM(AR$13:AR15)*BN15/1000</f>
        <v>0</v>
      </c>
      <c r="CK15">
        <f>SUM(AS$13:AS15)*BO15/1000</f>
        <v>0</v>
      </c>
      <c r="CL15">
        <f>SUM(AT$13:AT15)*BP15/1000</f>
        <v>0</v>
      </c>
      <c r="CM15">
        <f>SUM(AU$13:AU15)*BQ15/1000</f>
        <v>0</v>
      </c>
      <c r="CN15">
        <f>SUM(AV$13:AV15)*BR15/1000</f>
        <v>0</v>
      </c>
      <c r="CO15">
        <f>SUM(AW$13:AW15)*BS15/1000</f>
        <v>0</v>
      </c>
      <c r="CP15">
        <f>SUM(AX$13:AX15)*BT15/1000</f>
        <v>0</v>
      </c>
      <c r="CQ15">
        <f>SUM(AY$13:AY15)*BU15/1000</f>
        <v>0</v>
      </c>
      <c r="CR15">
        <f>SUM(AZ$13:AZ15)*BV15/1000</f>
        <v>0</v>
      </c>
      <c r="CS15">
        <f>SUM(BA$13:BA15)*BW15/1000</f>
        <v>0</v>
      </c>
      <c r="CT15">
        <f>SUM(BB$13:BB15)*BX15/1000</f>
        <v>0</v>
      </c>
      <c r="CU15">
        <f>SUM(BC$13:BC15)*BY15/1000</f>
        <v>0</v>
      </c>
      <c r="CV15">
        <f>SUM(BD$13:BD15)*BZ15/1000</f>
        <v>0</v>
      </c>
      <c r="CW15">
        <f>SUM(BE$13:BE15)*CA15/1000</f>
        <v>0</v>
      </c>
      <c r="CX15">
        <f>SUM(BF$13:BF15)*CB15/1000</f>
        <v>0</v>
      </c>
      <c r="CY15">
        <f>SUM(CD15:CX15)</f>
        <v>0</v>
      </c>
      <c r="DA15">
        <f t="shared" si="37"/>
        <v>2023</v>
      </c>
      <c r="DB15" s="89">
        <f>IFERROR(VLOOKUP($DA15,'Table 3 TransCost'!$B$10:$E$40,4,FALSE),0)</f>
        <v>0</v>
      </c>
      <c r="DC15" s="174">
        <f t="shared" si="41"/>
        <v>0</v>
      </c>
    </row>
    <row r="16" spans="2:107" customFormat="1">
      <c r="B16" s="15">
        <f t="shared" si="38"/>
        <v>2024</v>
      </c>
      <c r="C16" s="9">
        <f t="shared" si="17"/>
        <v>32.796143201742971</v>
      </c>
      <c r="D16" s="45"/>
      <c r="E16" s="9">
        <f t="shared" ca="1" si="39"/>
        <v>3.9952811938053765</v>
      </c>
      <c r="F16" s="37"/>
      <c r="G16" s="14">
        <f t="shared" ca="1" si="42"/>
        <v>15.770914205393098</v>
      </c>
      <c r="H16" s="36"/>
      <c r="I16" s="174"/>
      <c r="J16" s="174"/>
      <c r="M16" s="111"/>
      <c r="O16">
        <f t="shared" si="18"/>
        <v>2024</v>
      </c>
      <c r="P16">
        <v>0</v>
      </c>
      <c r="Q16">
        <v>0</v>
      </c>
      <c r="R16">
        <v>0</v>
      </c>
      <c r="S16" s="354">
        <v>0</v>
      </c>
      <c r="T16" s="354">
        <v>0</v>
      </c>
      <c r="U16" s="174">
        <v>0</v>
      </c>
      <c r="V16" s="354">
        <v>0</v>
      </c>
      <c r="W16" s="354">
        <v>0</v>
      </c>
      <c r="X16" s="354">
        <v>0</v>
      </c>
      <c r="Y16" s="354">
        <v>0</v>
      </c>
      <c r="Z16" s="354">
        <v>0</v>
      </c>
      <c r="AA16" s="354">
        <v>0</v>
      </c>
      <c r="AB16" s="354">
        <v>0</v>
      </c>
      <c r="AC16" s="354">
        <v>0</v>
      </c>
      <c r="AD16" s="354">
        <v>8.6686588999999969</v>
      </c>
      <c r="AE16" s="354">
        <v>0</v>
      </c>
      <c r="AF16" s="354">
        <v>0</v>
      </c>
      <c r="AG16" s="354">
        <v>0</v>
      </c>
      <c r="AL16">
        <f t="shared" si="19"/>
        <v>0</v>
      </c>
      <c r="AM16">
        <f t="shared" si="19"/>
        <v>0</v>
      </c>
      <c r="AN16">
        <f t="shared" si="20"/>
        <v>0</v>
      </c>
      <c r="AO16">
        <f t="shared" si="21"/>
        <v>0</v>
      </c>
      <c r="AP16">
        <f t="shared" si="22"/>
        <v>0</v>
      </c>
      <c r="AQ16">
        <f t="shared" si="23"/>
        <v>0</v>
      </c>
      <c r="AR16">
        <f t="shared" si="24"/>
        <v>0</v>
      </c>
      <c r="AS16">
        <f t="shared" si="25"/>
        <v>0</v>
      </c>
      <c r="AT16">
        <f t="shared" si="26"/>
        <v>0</v>
      </c>
      <c r="AU16">
        <f t="shared" si="27"/>
        <v>0</v>
      </c>
      <c r="AV16">
        <f t="shared" si="28"/>
        <v>0</v>
      </c>
      <c r="AW16">
        <f t="shared" si="29"/>
        <v>0</v>
      </c>
      <c r="AX16">
        <f t="shared" si="30"/>
        <v>0</v>
      </c>
      <c r="AY16">
        <f t="shared" si="31"/>
        <v>0</v>
      </c>
      <c r="AZ16">
        <f t="shared" si="32"/>
        <v>28.68237753451028</v>
      </c>
      <c r="BA16">
        <f t="shared" si="33"/>
        <v>0</v>
      </c>
      <c r="BB16">
        <f t="shared" si="34"/>
        <v>0</v>
      </c>
      <c r="BC16">
        <f t="shared" si="35"/>
        <v>0</v>
      </c>
      <c r="BG16">
        <f t="shared" si="40"/>
        <v>2024</v>
      </c>
      <c r="BH16" s="130">
        <f>IFERROR(VLOOKUP($O16,'Table 3 ID Wind_2030'!$B$10:$K$37,10,FALSE),0)</f>
        <v>0</v>
      </c>
      <c r="BI16" s="130">
        <f>IFERROR(VLOOKUP($O16,'Table 3 UT CP Wind_2023'!$B$10:$K$37,10,FALSE),0)</f>
        <v>123.63246376811594</v>
      </c>
      <c r="BJ16" s="130">
        <f>IFERROR(VLOOKUP($O16,'Table 3 WYAE Wind_2024'!$B$10:$L$37,11,FALSE),0)</f>
        <v>167.27126747278072</v>
      </c>
      <c r="BK16" s="130">
        <f>IFERROR(VLOOKUP($O16,'Table 3 YK Wind wS_2029'!$B$10:$K$37,10,FALSE),0)</f>
        <v>0</v>
      </c>
      <c r="BL16" s="356"/>
      <c r="BM16" s="130">
        <f>IFERROR(VLOOKUP($O16,'Table 3 ID Wind wS_2032'!$B$10:$K$38,10,FALSE),0)</f>
        <v>0</v>
      </c>
      <c r="BN16" s="130">
        <f>IFERROR(VLOOKUP($O16,'Table 3 PV wS YK_2024'!$B$10:$K$40,10,FALSE),0)</f>
        <v>93.676445239115694</v>
      </c>
      <c r="BO16" s="356"/>
      <c r="BP16" s="130">
        <f>IFERROR(VLOOKUP($O16,'Table 3 PV wS SO_2024'!$B$10:$K$40,10,FALSE),0)</f>
        <v>93.359635345997276</v>
      </c>
      <c r="BQ16" s="356"/>
      <c r="BR16" s="130">
        <f>IFERROR(VLOOKUP($O16,'Table 3 PV wS UTN_2024'!$B$10:$K$43,10,FALSE),0)</f>
        <v>92.558350344380244</v>
      </c>
      <c r="BS16" s="130">
        <f>IFERROR(VLOOKUP($O16,'Table 3 PV wS JB_2024'!$B$10:$K$40,10,FALSE),0)</f>
        <v>89.871932627118639</v>
      </c>
      <c r="BT16" s="130">
        <f>IFERROR(VLOOKUP($O16,'Table 3 PV wS JB_2029'!$B$10:$K$40,10,FALSE),0)</f>
        <v>27.43</v>
      </c>
      <c r="BU16" s="356"/>
      <c r="BV16" s="130">
        <f>IFERROR(VLOOKUP($O16,'Table 3 PV wS UTS_2024'!$B$10:$K$38,10,FALSE),0)</f>
        <v>91.47398792107262</v>
      </c>
      <c r="BW16" s="130">
        <f>IFERROR(VLOOKUP($O16,'Table 3 PV wS UTS_2030'!$B$10:$K$38,10,FALSE),0)</f>
        <v>27.43</v>
      </c>
      <c r="BX16" s="355"/>
      <c r="BY16" s="130">
        <f>IFERROR(VLOOKUP($O16,'Table 3 185 MW (NTN) 2026)'!$B$13:$L$40,11,FALSE),0)</f>
        <v>8.66</v>
      </c>
      <c r="CD16">
        <f>SUM(AL$13:AL16)*BH16/1000</f>
        <v>0</v>
      </c>
      <c r="CE16">
        <f>SUM(AM$13:AM16)*BI16/1000</f>
        <v>0</v>
      </c>
      <c r="CF16">
        <f>SUM(AN$13:AN16)*BJ16/1000</f>
        <v>0</v>
      </c>
      <c r="CG16">
        <f>SUM(AO$13:AO16)*BK16/1000</f>
        <v>0</v>
      </c>
      <c r="CH16">
        <f>SUM(AP$13:AP16)*BL16/1000</f>
        <v>0</v>
      </c>
      <c r="CI16">
        <f>SUM(AQ$13:AQ16)*BM16/1000</f>
        <v>0</v>
      </c>
      <c r="CJ16">
        <f>SUM(AR$13:AR16)*BN16/1000</f>
        <v>0</v>
      </c>
      <c r="CK16">
        <f>SUM(AS$13:AS16)*BO16/1000</f>
        <v>0</v>
      </c>
      <c r="CL16">
        <f>SUM(AT$13:AT16)*BP16/1000</f>
        <v>0</v>
      </c>
      <c r="CM16">
        <f>SUM(AU$13:AU16)*BQ16/1000</f>
        <v>0</v>
      </c>
      <c r="CN16">
        <f>SUM(AV$13:AV16)*BR16/1000</f>
        <v>0</v>
      </c>
      <c r="CO16">
        <f>SUM(AW$13:AW16)*BS16/1000</f>
        <v>0</v>
      </c>
      <c r="CP16">
        <f>SUM(AX$13:AX16)*BT16/1000</f>
        <v>0</v>
      </c>
      <c r="CQ16">
        <f>SUM(AY$13:AY16)*BU16/1000</f>
        <v>0</v>
      </c>
      <c r="CR16">
        <f>SUM(AZ$13:AZ16)*BV16/1000</f>
        <v>2.6236914561394378</v>
      </c>
      <c r="CS16">
        <f>SUM(BA$13:BA16)*BW16/1000</f>
        <v>0</v>
      </c>
      <c r="CT16">
        <f>SUM(BB$13:BB16)*BX16/1000</f>
        <v>0</v>
      </c>
      <c r="CU16">
        <f>SUM(BC$13:BC16)*BY16/1000</f>
        <v>0</v>
      </c>
      <c r="CV16">
        <f>SUM(BD$13:BD16)*BZ16/1000</f>
        <v>0</v>
      </c>
      <c r="CW16">
        <f>SUM(BE$13:BE16)*CA16/1000</f>
        <v>0</v>
      </c>
      <c r="CX16">
        <f>SUM(BF$13:BF16)*CB16/1000</f>
        <v>0</v>
      </c>
      <c r="CY16">
        <f t="shared" ref="CY16:CY30" si="43">SUM(CD16:CX16)</f>
        <v>2.6236914561394378</v>
      </c>
      <c r="DA16">
        <f t="shared" si="37"/>
        <v>2024</v>
      </c>
      <c r="DB16" s="89">
        <f>IFERROR(VLOOKUP($DA16,'Table 3 TransCost'!$B$10:$E$40,4,FALSE),0)</f>
        <v>47.870308055404145</v>
      </c>
      <c r="DC16" s="174">
        <f t="shared" si="41"/>
        <v>0</v>
      </c>
    </row>
    <row r="17" spans="2:107">
      <c r="B17" s="15">
        <f t="shared" si="38"/>
        <v>2025</v>
      </c>
      <c r="C17" s="9">
        <f t="shared" si="17"/>
        <v>33.486675771540753</v>
      </c>
      <c r="D17" s="45"/>
      <c r="E17" s="9">
        <f t="shared" ca="1" si="39"/>
        <v>5.3100593961997165</v>
      </c>
      <c r="F17" s="37"/>
      <c r="G17" s="14">
        <f t="shared" ca="1" si="42"/>
        <v>17.426597323375361</v>
      </c>
      <c r="H17" s="36"/>
      <c r="I17" s="174"/>
      <c r="J17" s="174"/>
      <c r="M17" s="112"/>
      <c r="O17">
        <f t="shared" si="18"/>
        <v>2025</v>
      </c>
      <c r="P17">
        <v>0</v>
      </c>
      <c r="Q17">
        <v>0</v>
      </c>
      <c r="R17">
        <v>0</v>
      </c>
      <c r="S17" s="354">
        <v>0</v>
      </c>
      <c r="T17" s="354">
        <v>0</v>
      </c>
      <c r="U17" s="174">
        <v>0</v>
      </c>
      <c r="V17" s="354">
        <v>0</v>
      </c>
      <c r="W17" s="354">
        <v>0</v>
      </c>
      <c r="X17" s="354">
        <v>0</v>
      </c>
      <c r="Y17" s="354">
        <v>0</v>
      </c>
      <c r="Z17" s="354">
        <v>0</v>
      </c>
      <c r="AA17" s="354">
        <v>0</v>
      </c>
      <c r="AB17" s="354">
        <v>0</v>
      </c>
      <c r="AC17" s="354">
        <v>0</v>
      </c>
      <c r="AD17" s="354">
        <v>0</v>
      </c>
      <c r="AE17" s="354">
        <v>0</v>
      </c>
      <c r="AF17" s="354">
        <v>0</v>
      </c>
      <c r="AG17" s="354">
        <v>0</v>
      </c>
      <c r="AL17">
        <f t="shared" si="19"/>
        <v>0</v>
      </c>
      <c r="AM17">
        <f t="shared" si="19"/>
        <v>0</v>
      </c>
      <c r="AN17">
        <f t="shared" si="20"/>
        <v>0</v>
      </c>
      <c r="AO17">
        <f t="shared" si="21"/>
        <v>0</v>
      </c>
      <c r="AP17">
        <f t="shared" si="22"/>
        <v>0</v>
      </c>
      <c r="AQ17">
        <f t="shared" si="23"/>
        <v>0</v>
      </c>
      <c r="AR17">
        <f t="shared" si="24"/>
        <v>0</v>
      </c>
      <c r="AS17">
        <f t="shared" si="25"/>
        <v>0</v>
      </c>
      <c r="AT17">
        <f t="shared" si="26"/>
        <v>0</v>
      </c>
      <c r="AU17">
        <f t="shared" si="27"/>
        <v>0</v>
      </c>
      <c r="AV17">
        <f t="shared" si="28"/>
        <v>0</v>
      </c>
      <c r="AW17">
        <f t="shared" si="29"/>
        <v>0</v>
      </c>
      <c r="AX17">
        <f t="shared" si="30"/>
        <v>0</v>
      </c>
      <c r="AY17">
        <f t="shared" si="31"/>
        <v>0</v>
      </c>
      <c r="AZ17">
        <f t="shared" si="32"/>
        <v>0</v>
      </c>
      <c r="BA17">
        <f t="shared" si="33"/>
        <v>0</v>
      </c>
      <c r="BB17">
        <f t="shared" si="34"/>
        <v>0</v>
      </c>
      <c r="BC17">
        <f t="shared" si="35"/>
        <v>0</v>
      </c>
      <c r="BG17">
        <f t="shared" si="40"/>
        <v>2025</v>
      </c>
      <c r="BH17" s="130">
        <f>IFERROR(VLOOKUP($O17,'Table 3 ID Wind_2030'!$B$10:$K$37,10,FALSE),0)</f>
        <v>0</v>
      </c>
      <c r="BI17" s="130">
        <f>IFERROR(VLOOKUP($O17,'Table 3 UT CP Wind_2023'!$B$10:$K$37,10,FALSE),0)</f>
        <v>126.28608695652176</v>
      </c>
      <c r="BJ17" s="130">
        <f>IFERROR(VLOOKUP($O17,'Table 3 WYAE Wind_2024'!$B$10:$L$37,11,FALSE),0)</f>
        <v>170.86020833333333</v>
      </c>
      <c r="BK17" s="130">
        <f>IFERROR(VLOOKUP($O17,'Table 3 YK Wind wS_2029'!$B$10:$K$37,10,FALSE),0)</f>
        <v>0</v>
      </c>
      <c r="BL17" s="356"/>
      <c r="BM17" s="130">
        <f>IFERROR(VLOOKUP($O17,'Table 3 ID Wind wS_2032'!$B$10:$K$38,10,FALSE),0)</f>
        <v>0</v>
      </c>
      <c r="BN17" s="130">
        <f>IFERROR(VLOOKUP($O17,'Table 3 PV wS YK_2024'!$B$10:$K$40,10,FALSE),0)</f>
        <v>95.65</v>
      </c>
      <c r="BO17" s="356"/>
      <c r="BP17" s="130">
        <f>IFERROR(VLOOKUP($O17,'Table 3 PV wS SO_2024'!$B$10:$K$40,10,FALSE),0)</f>
        <v>95.320000000000007</v>
      </c>
      <c r="BQ17" s="356"/>
      <c r="BR17" s="130">
        <f>IFERROR(VLOOKUP($O17,'Table 3 PV wS UTN_2024'!$B$10:$K$43,10,FALSE),0)</f>
        <v>94.51</v>
      </c>
      <c r="BS17" s="130">
        <f>IFERROR(VLOOKUP($O17,'Table 3 PV wS JB_2024'!$B$10:$K$40,10,FALSE),0)</f>
        <v>91.76</v>
      </c>
      <c r="BT17" s="130">
        <f>IFERROR(VLOOKUP($O17,'Table 3 PV wS JB_2029'!$B$10:$K$40,10,FALSE),0)</f>
        <v>28.01</v>
      </c>
      <c r="BU17" s="356"/>
      <c r="BV17" s="130">
        <f>IFERROR(VLOOKUP($O17,'Table 3 PV wS UTS_2024'!$B$10:$K$38,10,FALSE),0)</f>
        <v>93.4</v>
      </c>
      <c r="BW17" s="130">
        <f>IFERROR(VLOOKUP($O17,'Table 3 PV wS UTS_2030'!$B$10:$K$38,10,FALSE),0)</f>
        <v>28.01</v>
      </c>
      <c r="BX17" s="355"/>
      <c r="BY17" s="130">
        <f>IFERROR(VLOOKUP($O17,'Table 3 185 MW (NTN) 2026)'!$B$13:$L$40,11,FALSE),0)</f>
        <v>8.84</v>
      </c>
      <c r="CD17">
        <f>SUM(AL$13:AL17)*BH17/1000</f>
        <v>0</v>
      </c>
      <c r="CE17">
        <f>SUM(AM$13:AM17)*BI17/1000</f>
        <v>0</v>
      </c>
      <c r="CF17">
        <f>SUM(AN$13:AN17)*BJ17/1000</f>
        <v>0</v>
      </c>
      <c r="CG17">
        <f>SUM(AO$13:AO17)*BK17/1000</f>
        <v>0</v>
      </c>
      <c r="CH17">
        <f>SUM(AP$13:AP17)*BL17/1000</f>
        <v>0</v>
      </c>
      <c r="CI17">
        <f>SUM(AQ$13:AQ17)*BM17/1000</f>
        <v>0</v>
      </c>
      <c r="CJ17">
        <f>SUM(AR$13:AR17)*BN17/1000</f>
        <v>0</v>
      </c>
      <c r="CK17">
        <f>SUM(AS$13:AS17)*BO17/1000</f>
        <v>0</v>
      </c>
      <c r="CL17">
        <f>SUM(AT$13:AT17)*BP17/1000</f>
        <v>0</v>
      </c>
      <c r="CM17">
        <f>SUM(AU$13:AU17)*BQ17/1000</f>
        <v>0</v>
      </c>
      <c r="CN17">
        <f>SUM(AV$13:AV17)*BR17/1000</f>
        <v>0</v>
      </c>
      <c r="CO17">
        <f>SUM(AW$13:AW17)*BS17/1000</f>
        <v>0</v>
      </c>
      <c r="CP17">
        <f>SUM(AX$13:AX17)*BT17/1000</f>
        <v>0</v>
      </c>
      <c r="CQ17">
        <f>SUM(AY$13:AY17)*BU17/1000</f>
        <v>0</v>
      </c>
      <c r="CR17">
        <f>SUM(AZ$13:AZ17)*BV17/1000</f>
        <v>2.6789340617232602</v>
      </c>
      <c r="CS17">
        <f>SUM(BA$13:BA17)*BW17/1000</f>
        <v>0</v>
      </c>
      <c r="CT17">
        <f>SUM(BB$13:BB17)*BX17/1000</f>
        <v>0</v>
      </c>
      <c r="CU17">
        <f>SUM(BC$13:BC17)*BY17/1000</f>
        <v>0</v>
      </c>
      <c r="CV17">
        <f>SUM(BD$13:BD17)*BZ17/1000</f>
        <v>0</v>
      </c>
      <c r="CW17">
        <f>SUM(BE$13:BE17)*CA17/1000</f>
        <v>0</v>
      </c>
      <c r="CX17">
        <f>SUM(BF$13:BF17)*CB17/1000</f>
        <v>0</v>
      </c>
      <c r="CY17">
        <f t="shared" si="43"/>
        <v>2.6789340617232602</v>
      </c>
      <c r="DA17">
        <f t="shared" si="37"/>
        <v>2025</v>
      </c>
      <c r="DB17" s="89">
        <f>IFERROR(VLOOKUP($DA17,'Table 3 TransCost'!$B$10:$E$40,4,FALSE),0)</f>
        <v>48.88</v>
      </c>
      <c r="DC17" s="174">
        <f t="shared" si="41"/>
        <v>0</v>
      </c>
    </row>
    <row r="18" spans="2:107">
      <c r="B18" s="15">
        <f t="shared" si="38"/>
        <v>2026</v>
      </c>
      <c r="C18" s="9">
        <f t="shared" si="17"/>
        <v>34.221661695862579</v>
      </c>
      <c r="D18" s="45"/>
      <c r="E18" s="9">
        <f t="shared" ca="1" si="39"/>
        <v>5.2006147217215188</v>
      </c>
      <c r="F18" s="37"/>
      <c r="G18" s="14">
        <f t="shared" ca="1" si="42"/>
        <v>17.645317306504033</v>
      </c>
      <c r="H18" s="36"/>
      <c r="I18" s="174"/>
      <c r="J18" s="174"/>
      <c r="M18" s="112"/>
      <c r="O18">
        <f t="shared" si="18"/>
        <v>2026</v>
      </c>
      <c r="P18">
        <v>0</v>
      </c>
      <c r="Q18">
        <v>0</v>
      </c>
      <c r="R18">
        <v>0</v>
      </c>
      <c r="S18" s="354">
        <v>0</v>
      </c>
      <c r="T18" s="354">
        <v>0</v>
      </c>
      <c r="U18" s="174">
        <v>0</v>
      </c>
      <c r="V18" s="354">
        <v>0</v>
      </c>
      <c r="W18" s="354">
        <v>0</v>
      </c>
      <c r="X18" s="354">
        <v>0</v>
      </c>
      <c r="Y18" s="354">
        <v>0</v>
      </c>
      <c r="Z18" s="354">
        <v>0</v>
      </c>
      <c r="AA18" s="354">
        <v>0</v>
      </c>
      <c r="AB18" s="354">
        <v>0</v>
      </c>
      <c r="AC18" s="354">
        <v>0</v>
      </c>
      <c r="AD18" s="354">
        <v>0</v>
      </c>
      <c r="AE18" s="354">
        <v>0</v>
      </c>
      <c r="AF18" s="354">
        <v>0</v>
      </c>
      <c r="AG18" s="354">
        <v>0</v>
      </c>
      <c r="AL18">
        <f t="shared" si="19"/>
        <v>0</v>
      </c>
      <c r="AM18">
        <f t="shared" si="19"/>
        <v>0</v>
      </c>
      <c r="AN18">
        <f t="shared" si="20"/>
        <v>0</v>
      </c>
      <c r="AO18">
        <f t="shared" si="21"/>
        <v>0</v>
      </c>
      <c r="AP18">
        <f t="shared" si="22"/>
        <v>0</v>
      </c>
      <c r="AQ18">
        <f t="shared" si="23"/>
        <v>0</v>
      </c>
      <c r="AR18">
        <f t="shared" si="24"/>
        <v>0</v>
      </c>
      <c r="AS18">
        <f t="shared" si="25"/>
        <v>0</v>
      </c>
      <c r="AT18">
        <f t="shared" si="26"/>
        <v>0</v>
      </c>
      <c r="AU18">
        <f t="shared" si="27"/>
        <v>0</v>
      </c>
      <c r="AV18">
        <f t="shared" si="28"/>
        <v>0</v>
      </c>
      <c r="AW18">
        <f t="shared" si="29"/>
        <v>0</v>
      </c>
      <c r="AX18">
        <f t="shared" si="30"/>
        <v>0</v>
      </c>
      <c r="AY18">
        <f t="shared" si="31"/>
        <v>0</v>
      </c>
      <c r="AZ18">
        <f t="shared" si="32"/>
        <v>0</v>
      </c>
      <c r="BA18">
        <f t="shared" si="33"/>
        <v>0</v>
      </c>
      <c r="BB18">
        <f t="shared" si="34"/>
        <v>0</v>
      </c>
      <c r="BC18">
        <f t="shared" si="35"/>
        <v>0</v>
      </c>
      <c r="BG18">
        <f t="shared" si="40"/>
        <v>2026</v>
      </c>
      <c r="BH18" s="130">
        <f>IFERROR(VLOOKUP($O18,'Table 3 ID Wind_2030'!$B$10:$K$37,10,FALSE),0)</f>
        <v>0</v>
      </c>
      <c r="BI18" s="130">
        <f>IFERROR(VLOOKUP($O18,'Table 3 UT CP Wind_2023'!$B$10:$K$37,10,FALSE),0)</f>
        <v>129.08420289855073</v>
      </c>
      <c r="BJ18" s="130">
        <f>IFERROR(VLOOKUP($O18,'Table 3 WYAE Wind_2024'!$B$10:$L$37,11,FALSE),0)</f>
        <v>174.64010416666667</v>
      </c>
      <c r="BK18" s="130">
        <f>IFERROR(VLOOKUP($O18,'Table 3 YK Wind wS_2029'!$B$10:$K$37,10,FALSE),0)</f>
        <v>0</v>
      </c>
      <c r="BL18" s="356"/>
      <c r="BM18" s="130">
        <f>IFERROR(VLOOKUP($O18,'Table 3 ID Wind wS_2032'!$B$10:$K$38,10,FALSE),0)</f>
        <v>0</v>
      </c>
      <c r="BN18" s="130">
        <f>IFERROR(VLOOKUP($O18,'Table 3 PV wS YK_2024'!$B$10:$K$40,10,FALSE),0)</f>
        <v>97.759999999999991</v>
      </c>
      <c r="BO18" s="356"/>
      <c r="BP18" s="130">
        <f>IFERROR(VLOOKUP($O18,'Table 3 PV wS SO_2024'!$B$10:$K$40,10,FALSE),0)</f>
        <v>97.42</v>
      </c>
      <c r="BQ18" s="356"/>
      <c r="BR18" s="130">
        <f>IFERROR(VLOOKUP($O18,'Table 3 PV wS UTN_2024'!$B$10:$K$43,10,FALSE),0)</f>
        <v>96.59</v>
      </c>
      <c r="BS18" s="130">
        <f>IFERROR(VLOOKUP($O18,'Table 3 PV wS JB_2024'!$B$10:$K$40,10,FALSE),0)</f>
        <v>93.78</v>
      </c>
      <c r="BT18" s="130">
        <f>IFERROR(VLOOKUP($O18,'Table 3 PV wS JB_2029'!$B$10:$K$40,10,FALSE),0)</f>
        <v>28.63</v>
      </c>
      <c r="BU18" s="356"/>
      <c r="BV18" s="130">
        <f>IFERROR(VLOOKUP($O18,'Table 3 PV wS UTS_2024'!$B$10:$K$38,10,FALSE),0)</f>
        <v>95.45</v>
      </c>
      <c r="BW18" s="130">
        <f>IFERROR(VLOOKUP($O18,'Table 3 PV wS UTS_2030'!$B$10:$K$38,10,FALSE),0)</f>
        <v>28.63</v>
      </c>
      <c r="BX18" s="355"/>
      <c r="BY18" s="130">
        <f>IFERROR(VLOOKUP($O18,'Table 3 185 MW (NTN) 2026)'!$B$13:$L$40,11,FALSE),0)</f>
        <v>111.24330989724176</v>
      </c>
      <c r="CD18">
        <f>SUM(AL$13:AL18)*BH18/1000</f>
        <v>0</v>
      </c>
      <c r="CE18">
        <f>SUM(AM$13:AM18)*BI18/1000</f>
        <v>0</v>
      </c>
      <c r="CF18">
        <f>SUM(AN$13:AN18)*BJ18/1000</f>
        <v>0</v>
      </c>
      <c r="CG18">
        <f>SUM(AO$13:AO18)*BK18/1000</f>
        <v>0</v>
      </c>
      <c r="CH18">
        <f>SUM(AP$13:AP18)*BL18/1000</f>
        <v>0</v>
      </c>
      <c r="CI18">
        <f>SUM(AQ$13:AQ18)*BM18/1000</f>
        <v>0</v>
      </c>
      <c r="CJ18">
        <f>SUM(AR$13:AR18)*BN18/1000</f>
        <v>0</v>
      </c>
      <c r="CK18">
        <f>SUM(AS$13:AS18)*BO18/1000</f>
        <v>0</v>
      </c>
      <c r="CL18">
        <f>SUM(AT$13:AT18)*BP18/1000</f>
        <v>0</v>
      </c>
      <c r="CM18">
        <f>SUM(AU$13:AU18)*BQ18/1000</f>
        <v>0</v>
      </c>
      <c r="CN18">
        <f>SUM(AV$13:AV18)*BR18/1000</f>
        <v>0</v>
      </c>
      <c r="CO18">
        <f>SUM(AW$13:AW18)*BS18/1000</f>
        <v>0</v>
      </c>
      <c r="CP18">
        <f>SUM(AX$13:AX18)*BT18/1000</f>
        <v>0</v>
      </c>
      <c r="CQ18">
        <f>SUM(AY$13:AY18)*BU18/1000</f>
        <v>0</v>
      </c>
      <c r="CR18">
        <f>SUM(AZ$13:AZ18)*BV18/1000</f>
        <v>2.7377329356690061</v>
      </c>
      <c r="CS18">
        <f>SUM(BA$13:BA18)*BW18/1000</f>
        <v>0</v>
      </c>
      <c r="CT18">
        <f>SUM(BB$13:BB18)*BX18/1000</f>
        <v>0</v>
      </c>
      <c r="CU18">
        <f>SUM(BC$13:BC18)*BY18/1000</f>
        <v>0</v>
      </c>
      <c r="CV18">
        <f>SUM(BD$13:BD18)*BZ18/1000</f>
        <v>0</v>
      </c>
      <c r="CW18">
        <f>SUM(BE$13:BE18)*CA18/1000</f>
        <v>0</v>
      </c>
      <c r="CX18">
        <f>SUM(BF$13:BF18)*CB18/1000</f>
        <v>0</v>
      </c>
      <c r="CY18">
        <f t="shared" si="43"/>
        <v>2.7377329356690061</v>
      </c>
      <c r="DA18">
        <f t="shared" si="37"/>
        <v>2026</v>
      </c>
      <c r="DB18" s="89">
        <f>IFERROR(VLOOKUP($DA18,'Table 3 TransCost'!$B$10:$E$40,4,FALSE),0)</f>
        <v>49.96</v>
      </c>
      <c r="DC18" s="174">
        <f t="shared" si="41"/>
        <v>0</v>
      </c>
    </row>
    <row r="19" spans="2:107">
      <c r="B19" s="15">
        <f t="shared" si="38"/>
        <v>2027</v>
      </c>
      <c r="C19" s="9">
        <f t="shared" si="17"/>
        <v>35.01042707806161</v>
      </c>
      <c r="D19" s="45"/>
      <c r="E19" s="9">
        <f t="shared" ca="1" si="39"/>
        <v>6.0736825865910955</v>
      </c>
      <c r="F19" s="37"/>
      <c r="G19" s="14">
        <f t="shared" ca="1" si="42"/>
        <v>18.869197203604671</v>
      </c>
      <c r="H19" s="36"/>
      <c r="I19" s="174"/>
      <c r="J19" s="174"/>
      <c r="M19" s="112"/>
      <c r="O19">
        <f t="shared" si="18"/>
        <v>2027</v>
      </c>
      <c r="P19">
        <v>0</v>
      </c>
      <c r="Q19">
        <v>0</v>
      </c>
      <c r="R19">
        <v>0</v>
      </c>
      <c r="S19" s="354">
        <v>0</v>
      </c>
      <c r="T19" s="354">
        <v>0</v>
      </c>
      <c r="U19" s="174">
        <v>0</v>
      </c>
      <c r="V19" s="354">
        <v>0</v>
      </c>
      <c r="W19" s="354">
        <v>0</v>
      </c>
      <c r="X19" s="354">
        <v>0</v>
      </c>
      <c r="Y19" s="354">
        <v>0</v>
      </c>
      <c r="Z19" s="354">
        <v>0</v>
      </c>
      <c r="AA19" s="354">
        <v>0</v>
      </c>
      <c r="AB19" s="354">
        <v>0</v>
      </c>
      <c r="AC19" s="354">
        <v>0</v>
      </c>
      <c r="AD19" s="354">
        <v>0</v>
      </c>
      <c r="AE19" s="354">
        <v>0</v>
      </c>
      <c r="AF19" s="354">
        <v>0</v>
      </c>
      <c r="AG19" s="354">
        <v>0</v>
      </c>
      <c r="AL19">
        <f t="shared" si="19"/>
        <v>0</v>
      </c>
      <c r="AM19">
        <f t="shared" si="19"/>
        <v>0</v>
      </c>
      <c r="AN19">
        <f t="shared" si="20"/>
        <v>0</v>
      </c>
      <c r="AO19">
        <f t="shared" si="21"/>
        <v>0</v>
      </c>
      <c r="AP19">
        <f t="shared" si="22"/>
        <v>0</v>
      </c>
      <c r="AQ19">
        <f t="shared" si="23"/>
        <v>0</v>
      </c>
      <c r="AR19">
        <f t="shared" si="24"/>
        <v>0</v>
      </c>
      <c r="AS19">
        <f t="shared" si="25"/>
        <v>0</v>
      </c>
      <c r="AT19">
        <f t="shared" si="26"/>
        <v>0</v>
      </c>
      <c r="AU19">
        <f t="shared" si="27"/>
        <v>0</v>
      </c>
      <c r="AV19">
        <f t="shared" si="28"/>
        <v>0</v>
      </c>
      <c r="AW19">
        <f t="shared" si="29"/>
        <v>0</v>
      </c>
      <c r="AX19">
        <f t="shared" si="30"/>
        <v>0</v>
      </c>
      <c r="AY19">
        <f t="shared" si="31"/>
        <v>0</v>
      </c>
      <c r="AZ19">
        <f t="shared" si="32"/>
        <v>0</v>
      </c>
      <c r="BA19">
        <f t="shared" si="33"/>
        <v>0</v>
      </c>
      <c r="BB19">
        <f t="shared" si="34"/>
        <v>0</v>
      </c>
      <c r="BC19">
        <f t="shared" si="35"/>
        <v>0</v>
      </c>
      <c r="BG19">
        <f t="shared" si="40"/>
        <v>2027</v>
      </c>
      <c r="BH19" s="130">
        <f>IFERROR(VLOOKUP($O19,'Table 3 ID Wind_2030'!$B$10:$K$37,10,FALSE),0)</f>
        <v>0</v>
      </c>
      <c r="BI19" s="130">
        <f>IFERROR(VLOOKUP($O19,'Table 3 UT CP Wind_2023'!$B$10:$K$37,10,FALSE),0)</f>
        <v>132.04681159420289</v>
      </c>
      <c r="BJ19" s="130">
        <f>IFERROR(VLOOKUP($O19,'Table 3 WYAE Wind_2024'!$B$10:$L$37,11,FALSE),0)</f>
        <v>178.65020833333335</v>
      </c>
      <c r="BK19" s="130">
        <f>IFERROR(VLOOKUP($O19,'Table 3 YK Wind wS_2029'!$B$10:$K$37,10,FALSE),0)</f>
        <v>0</v>
      </c>
      <c r="BL19" s="356"/>
      <c r="BM19" s="130">
        <f>IFERROR(VLOOKUP($O19,'Table 3 ID Wind wS_2032'!$B$10:$K$38,10,FALSE),0)</f>
        <v>0</v>
      </c>
      <c r="BN19" s="130">
        <f>IFERROR(VLOOKUP($O19,'Table 3 PV wS YK_2024'!$B$10:$K$40,10,FALSE),0)</f>
        <v>100.01</v>
      </c>
      <c r="BO19" s="356"/>
      <c r="BP19" s="130">
        <f>IFERROR(VLOOKUP($O19,'Table 3 PV wS SO_2024'!$B$10:$K$40,10,FALSE),0)</f>
        <v>99.66</v>
      </c>
      <c r="BQ19" s="356"/>
      <c r="BR19" s="130">
        <f>IFERROR(VLOOKUP($O19,'Table 3 PV wS UTN_2024'!$B$10:$K$43,10,FALSE),0)</f>
        <v>98.810000000000016</v>
      </c>
      <c r="BS19" s="130">
        <f>IFERROR(VLOOKUP($O19,'Table 3 PV wS JB_2024'!$B$10:$K$40,10,FALSE),0)</f>
        <v>95.94</v>
      </c>
      <c r="BT19" s="130">
        <f>IFERROR(VLOOKUP($O19,'Table 3 PV wS JB_2029'!$B$10:$K$40,10,FALSE),0)</f>
        <v>29.29</v>
      </c>
      <c r="BU19" s="356"/>
      <c r="BV19" s="130">
        <f>IFERROR(VLOOKUP($O19,'Table 3 PV wS UTS_2024'!$B$10:$K$38,10,FALSE),0)</f>
        <v>97.65</v>
      </c>
      <c r="BW19" s="130">
        <f>IFERROR(VLOOKUP($O19,'Table 3 PV wS UTS_2030'!$B$10:$K$38,10,FALSE),0)</f>
        <v>29.29</v>
      </c>
      <c r="BX19" s="355"/>
      <c r="BY19" s="130">
        <f>IFERROR(VLOOKUP($O19,'Table 3 185 MW (NTN) 2026)'!$B$13:$L$40,11,FALSE),0)</f>
        <v>113.81</v>
      </c>
      <c r="CD19">
        <f>SUM(AL$13:AL19)*BH19/1000</f>
        <v>0</v>
      </c>
      <c r="CE19">
        <f>SUM(AM$13:AM19)*BI19/1000</f>
        <v>0</v>
      </c>
      <c r="CF19">
        <f>SUM(AN$13:AN19)*BJ19/1000</f>
        <v>0</v>
      </c>
      <c r="CG19">
        <f>SUM(AO$13:AO19)*BK19/1000</f>
        <v>0</v>
      </c>
      <c r="CH19">
        <f>SUM(AP$13:AP19)*BL19/1000</f>
        <v>0</v>
      </c>
      <c r="CI19">
        <f>SUM(AQ$13:AQ19)*BM19/1000</f>
        <v>0</v>
      </c>
      <c r="CJ19">
        <f>SUM(AR$13:AR19)*BN19/1000</f>
        <v>0</v>
      </c>
      <c r="CK19">
        <f>SUM(AS$13:AS19)*BO19/1000</f>
        <v>0</v>
      </c>
      <c r="CL19">
        <f>SUM(AT$13:AT19)*BP19/1000</f>
        <v>0</v>
      </c>
      <c r="CM19">
        <f>SUM(AU$13:AU19)*BQ19/1000</f>
        <v>0</v>
      </c>
      <c r="CN19">
        <f>SUM(AV$13:AV19)*BR19/1000</f>
        <v>0</v>
      </c>
      <c r="CO19">
        <f>SUM(AW$13:AW19)*BS19/1000</f>
        <v>0</v>
      </c>
      <c r="CP19">
        <f>SUM(AX$13:AX19)*BT19/1000</f>
        <v>0</v>
      </c>
      <c r="CQ19">
        <f>SUM(AY$13:AY19)*BU19/1000</f>
        <v>0</v>
      </c>
      <c r="CR19">
        <f>SUM(AZ$13:AZ19)*BV19/1000</f>
        <v>2.800834166244929</v>
      </c>
      <c r="CS19">
        <f>SUM(BA$13:BA19)*BW19/1000</f>
        <v>0</v>
      </c>
      <c r="CT19">
        <f>SUM(BB$13:BB19)*BX19/1000</f>
        <v>0</v>
      </c>
      <c r="CU19">
        <f>SUM(BC$13:BC19)*BY19/1000</f>
        <v>0</v>
      </c>
      <c r="CV19">
        <f>SUM(BD$13:BD19)*BZ19/1000</f>
        <v>0</v>
      </c>
      <c r="CW19">
        <f>SUM(BE$13:BE19)*CA19/1000</f>
        <v>0</v>
      </c>
      <c r="CX19">
        <f>SUM(BF$13:BF19)*CB19/1000</f>
        <v>0</v>
      </c>
      <c r="CY19">
        <f t="shared" si="43"/>
        <v>2.800834166244929</v>
      </c>
      <c r="DA19">
        <f t="shared" si="37"/>
        <v>2027</v>
      </c>
      <c r="DB19" s="89">
        <f>IFERROR(VLOOKUP($DA19,'Table 3 TransCost'!$B$10:$E$40,4,FALSE),0)</f>
        <v>51.109999999999992</v>
      </c>
      <c r="DC19" s="174">
        <f t="shared" si="41"/>
        <v>0</v>
      </c>
    </row>
    <row r="20" spans="2:107">
      <c r="B20" s="15">
        <f t="shared" si="38"/>
        <v>2028</v>
      </c>
      <c r="C20" s="9">
        <f t="shared" si="17"/>
        <v>35.817118946219708</v>
      </c>
      <c r="D20" s="45"/>
      <c r="E20" s="9">
        <f t="shared" ca="1" si="39"/>
        <v>8.8074422373974919</v>
      </c>
      <c r="F20" s="37"/>
      <c r="G20" s="14">
        <f t="shared" ca="1" si="42"/>
        <v>21.928227155563935</v>
      </c>
      <c r="H20" s="36"/>
      <c r="I20" s="174"/>
      <c r="J20" s="174"/>
      <c r="M20" s="112"/>
      <c r="O20">
        <f t="shared" si="18"/>
        <v>2028</v>
      </c>
      <c r="P20">
        <v>0</v>
      </c>
      <c r="Q20">
        <v>0</v>
      </c>
      <c r="R20">
        <v>0</v>
      </c>
      <c r="S20" s="354">
        <v>0</v>
      </c>
      <c r="T20" s="354">
        <v>0</v>
      </c>
      <c r="U20" s="174">
        <v>0</v>
      </c>
      <c r="V20" s="354">
        <v>0</v>
      </c>
      <c r="W20" s="354">
        <v>0</v>
      </c>
      <c r="X20" s="354">
        <v>0</v>
      </c>
      <c r="Y20" s="354">
        <v>0</v>
      </c>
      <c r="Z20" s="354">
        <v>0</v>
      </c>
      <c r="AA20" s="354">
        <v>0</v>
      </c>
      <c r="AB20" s="354">
        <v>0</v>
      </c>
      <c r="AC20" s="354">
        <v>0</v>
      </c>
      <c r="AD20" s="354">
        <v>0</v>
      </c>
      <c r="AE20" s="354">
        <v>0</v>
      </c>
      <c r="AF20" s="354">
        <v>0</v>
      </c>
      <c r="AG20" s="354">
        <v>0</v>
      </c>
      <c r="AL20">
        <f t="shared" si="19"/>
        <v>0</v>
      </c>
      <c r="AM20">
        <f t="shared" si="19"/>
        <v>0</v>
      </c>
      <c r="AN20">
        <f t="shared" si="20"/>
        <v>0</v>
      </c>
      <c r="AO20">
        <f t="shared" si="21"/>
        <v>0</v>
      </c>
      <c r="AP20">
        <f t="shared" si="22"/>
        <v>0</v>
      </c>
      <c r="AQ20">
        <f t="shared" si="23"/>
        <v>0</v>
      </c>
      <c r="AR20">
        <f t="shared" si="24"/>
        <v>0</v>
      </c>
      <c r="AS20">
        <f t="shared" si="25"/>
        <v>0</v>
      </c>
      <c r="AT20">
        <f t="shared" si="26"/>
        <v>0</v>
      </c>
      <c r="AU20">
        <f t="shared" si="27"/>
        <v>0</v>
      </c>
      <c r="AV20">
        <f t="shared" si="28"/>
        <v>0</v>
      </c>
      <c r="AW20">
        <f t="shared" si="29"/>
        <v>0</v>
      </c>
      <c r="AX20">
        <f t="shared" si="30"/>
        <v>0</v>
      </c>
      <c r="AY20">
        <f t="shared" si="31"/>
        <v>0</v>
      </c>
      <c r="AZ20">
        <f t="shared" si="32"/>
        <v>0</v>
      </c>
      <c r="BA20">
        <f t="shared" si="33"/>
        <v>0</v>
      </c>
      <c r="BB20">
        <f t="shared" si="34"/>
        <v>0</v>
      </c>
      <c r="BC20">
        <f t="shared" si="35"/>
        <v>0</v>
      </c>
      <c r="BG20">
        <f t="shared" si="40"/>
        <v>2028</v>
      </c>
      <c r="BH20" s="130">
        <f>IFERROR(VLOOKUP($O20,'Table 3 ID Wind_2030'!$B$10:$K$37,10,FALSE),0)</f>
        <v>0</v>
      </c>
      <c r="BI20" s="130">
        <f>IFERROR(VLOOKUP($O20,'Table 3 UT CP Wind_2023'!$B$10:$K$37,10,FALSE),0)</f>
        <v>135.08840579710144</v>
      </c>
      <c r="BJ20" s="130">
        <f>IFERROR(VLOOKUP($O20,'Table 3 WYAE Wind_2024'!$B$10:$L$37,11,FALSE),0)</f>
        <v>182.76010416666665</v>
      </c>
      <c r="BK20" s="130">
        <f>IFERROR(VLOOKUP($O20,'Table 3 YK Wind wS_2029'!$B$10:$K$37,10,FALSE),0)</f>
        <v>0</v>
      </c>
      <c r="BL20" s="356"/>
      <c r="BM20" s="130">
        <f>IFERROR(VLOOKUP($O20,'Table 3 ID Wind wS_2032'!$B$10:$K$38,10,FALSE),0)</f>
        <v>0</v>
      </c>
      <c r="BN20" s="130">
        <f>IFERROR(VLOOKUP($O20,'Table 3 PV wS YK_2024'!$B$10:$K$40,10,FALSE),0)</f>
        <v>102.31</v>
      </c>
      <c r="BO20" s="356"/>
      <c r="BP20" s="130">
        <f>IFERROR(VLOOKUP($O20,'Table 3 PV wS SO_2024'!$B$10:$K$40,10,FALSE),0)</f>
        <v>101.94999999999999</v>
      </c>
      <c r="BQ20" s="356"/>
      <c r="BR20" s="130">
        <f>IFERROR(VLOOKUP($O20,'Table 3 PV wS UTN_2024'!$B$10:$K$43,10,FALSE),0)</f>
        <v>101.07999999999998</v>
      </c>
      <c r="BS20" s="130">
        <f>IFERROR(VLOOKUP($O20,'Table 3 PV wS JB_2024'!$B$10:$K$40,10,FALSE),0)</f>
        <v>98.140000000000015</v>
      </c>
      <c r="BT20" s="130">
        <f>IFERROR(VLOOKUP($O20,'Table 3 PV wS JB_2029'!$B$10:$K$40,10,FALSE),0)</f>
        <v>29.96</v>
      </c>
      <c r="BU20" s="356"/>
      <c r="BV20" s="130">
        <f>IFERROR(VLOOKUP($O20,'Table 3 PV wS UTS_2024'!$B$10:$K$38,10,FALSE),0)</f>
        <v>99.899999999999991</v>
      </c>
      <c r="BW20" s="130">
        <f>IFERROR(VLOOKUP($O20,'Table 3 PV wS UTS_2030'!$B$10:$K$38,10,FALSE),0)</f>
        <v>29.96</v>
      </c>
      <c r="BX20" s="355"/>
      <c r="BY20" s="130">
        <f>IFERROR(VLOOKUP($O20,'Table 3 185 MW (NTN) 2026)'!$B$13:$L$40,11,FALSE),0)</f>
        <v>116.43</v>
      </c>
      <c r="CD20">
        <f>SUM(AL$13:AL20)*BH20/1000</f>
        <v>0</v>
      </c>
      <c r="CE20">
        <f>SUM(AM$13:AM20)*BI20/1000</f>
        <v>0</v>
      </c>
      <c r="CF20">
        <f>SUM(AN$13:AN20)*BJ20/1000</f>
        <v>0</v>
      </c>
      <c r="CG20">
        <f>SUM(AO$13:AO20)*BK20/1000</f>
        <v>0</v>
      </c>
      <c r="CH20">
        <f>SUM(AP$13:AP20)*BL20/1000</f>
        <v>0</v>
      </c>
      <c r="CI20">
        <f>SUM(AQ$13:AQ20)*BM20/1000</f>
        <v>0</v>
      </c>
      <c r="CJ20">
        <f>SUM(AR$13:AR20)*BN20/1000</f>
        <v>0</v>
      </c>
      <c r="CK20">
        <f>SUM(AS$13:AS20)*BO20/1000</f>
        <v>0</v>
      </c>
      <c r="CL20">
        <f>SUM(AT$13:AT20)*BP20/1000</f>
        <v>0</v>
      </c>
      <c r="CM20">
        <f>SUM(AU$13:AU20)*BQ20/1000</f>
        <v>0</v>
      </c>
      <c r="CN20">
        <f>SUM(AV$13:AV20)*BR20/1000</f>
        <v>0</v>
      </c>
      <c r="CO20">
        <f>SUM(AW$13:AW20)*BS20/1000</f>
        <v>0</v>
      </c>
      <c r="CP20">
        <f>SUM(AX$13:AX20)*BT20/1000</f>
        <v>0</v>
      </c>
      <c r="CQ20">
        <f>SUM(AY$13:AY20)*BU20/1000</f>
        <v>0</v>
      </c>
      <c r="CR20">
        <f>SUM(AZ$13:AZ20)*BV20/1000</f>
        <v>2.8653695156975769</v>
      </c>
      <c r="CS20">
        <f>SUM(BA$13:BA20)*BW20/1000</f>
        <v>0</v>
      </c>
      <c r="CT20">
        <f>SUM(BB$13:BB20)*BX20/1000</f>
        <v>0</v>
      </c>
      <c r="CU20">
        <f>SUM(BC$13:BC20)*BY20/1000</f>
        <v>0</v>
      </c>
      <c r="CV20">
        <f>SUM(BD$13:BD20)*BZ20/1000</f>
        <v>0</v>
      </c>
      <c r="CW20">
        <f>SUM(BE$13:BE20)*CA20/1000</f>
        <v>0</v>
      </c>
      <c r="CX20">
        <f>SUM(BF$13:BF20)*CB20/1000</f>
        <v>0</v>
      </c>
      <c r="CY20">
        <f t="shared" si="43"/>
        <v>2.8653695156975769</v>
      </c>
      <c r="DA20">
        <f t="shared" si="37"/>
        <v>2028</v>
      </c>
      <c r="DB20" s="89">
        <f>IFERROR(VLOOKUP($DA20,'Table 3 TransCost'!$B$10:$E$40,4,FALSE),0)</f>
        <v>52.29</v>
      </c>
      <c r="DC20" s="174">
        <f t="shared" si="41"/>
        <v>0</v>
      </c>
    </row>
    <row r="21" spans="2:107">
      <c r="B21" s="15">
        <f t="shared" si="38"/>
        <v>2029</v>
      </c>
      <c r="C21" s="9">
        <f t="shared" si="17"/>
        <v>36.641737300336885</v>
      </c>
      <c r="D21" s="45"/>
      <c r="E21" s="9">
        <f t="shared" ca="1" si="39"/>
        <v>10.156055367822333</v>
      </c>
      <c r="F21" s="37"/>
      <c r="G21" s="14">
        <f t="shared" ca="1" si="42"/>
        <v>23.682705025756423</v>
      </c>
      <c r="H21" s="36"/>
      <c r="I21" s="174"/>
      <c r="J21" s="174"/>
      <c r="M21" s="112"/>
      <c r="O21">
        <f t="shared" si="18"/>
        <v>2029</v>
      </c>
      <c r="P21">
        <v>0</v>
      </c>
      <c r="Q21">
        <v>0</v>
      </c>
      <c r="R21">
        <v>0</v>
      </c>
      <c r="S21" s="354">
        <v>0</v>
      </c>
      <c r="T21" s="354">
        <v>0</v>
      </c>
      <c r="U21" s="174">
        <v>0</v>
      </c>
      <c r="V21" s="354">
        <v>0</v>
      </c>
      <c r="W21" s="354">
        <v>0</v>
      </c>
      <c r="X21" s="354">
        <v>0</v>
      </c>
      <c r="Y21" s="354">
        <v>0</v>
      </c>
      <c r="Z21" s="354">
        <v>0</v>
      </c>
      <c r="AA21" s="354">
        <v>0</v>
      </c>
      <c r="AB21" s="354">
        <v>0</v>
      </c>
      <c r="AC21" s="354">
        <v>0</v>
      </c>
      <c r="AD21" s="354">
        <v>0</v>
      </c>
      <c r="AE21" s="354">
        <v>0</v>
      </c>
      <c r="AF21" s="354">
        <v>0</v>
      </c>
      <c r="AG21" s="354">
        <v>0</v>
      </c>
      <c r="AL21">
        <f t="shared" si="19"/>
        <v>0</v>
      </c>
      <c r="AM21">
        <f t="shared" si="19"/>
        <v>0</v>
      </c>
      <c r="AN21">
        <f t="shared" si="20"/>
        <v>0</v>
      </c>
      <c r="AO21">
        <f t="shared" si="21"/>
        <v>0</v>
      </c>
      <c r="AP21">
        <f t="shared" si="22"/>
        <v>0</v>
      </c>
      <c r="AQ21">
        <f t="shared" si="23"/>
        <v>0</v>
      </c>
      <c r="AR21">
        <f t="shared" si="24"/>
        <v>0</v>
      </c>
      <c r="AS21">
        <f t="shared" si="25"/>
        <v>0</v>
      </c>
      <c r="AT21">
        <f t="shared" si="26"/>
        <v>0</v>
      </c>
      <c r="AU21">
        <f t="shared" si="27"/>
        <v>0</v>
      </c>
      <c r="AV21">
        <f t="shared" si="28"/>
        <v>0</v>
      </c>
      <c r="AW21">
        <f t="shared" si="29"/>
        <v>0</v>
      </c>
      <c r="AX21">
        <f t="shared" si="30"/>
        <v>0</v>
      </c>
      <c r="AY21">
        <f t="shared" si="31"/>
        <v>0</v>
      </c>
      <c r="AZ21">
        <f t="shared" si="32"/>
        <v>0</v>
      </c>
      <c r="BA21">
        <f t="shared" si="33"/>
        <v>0</v>
      </c>
      <c r="BB21">
        <f t="shared" si="34"/>
        <v>0</v>
      </c>
      <c r="BC21">
        <f t="shared" si="35"/>
        <v>0</v>
      </c>
      <c r="BG21">
        <f t="shared" si="40"/>
        <v>2029</v>
      </c>
      <c r="BH21" s="130">
        <f>IFERROR(VLOOKUP($O21,'Table 3 ID Wind_2030'!$B$10:$K$37,10,FALSE),0)</f>
        <v>0</v>
      </c>
      <c r="BI21" s="130">
        <f>IFERROR(VLOOKUP($O21,'Table 3 UT CP Wind_2023'!$B$10:$K$37,10,FALSE),0)</f>
        <v>138.19449275362319</v>
      </c>
      <c r="BJ21" s="130">
        <f>IFERROR(VLOOKUP($O21,'Table 3 WYAE Wind_2024'!$B$10:$L$37,11,FALSE),0)</f>
        <v>186.94989583333333</v>
      </c>
      <c r="BK21" s="130">
        <f>IFERROR(VLOOKUP($O21,'Table 3 YK Wind wS_2029'!$B$10:$K$37,10,FALSE),0)</f>
        <v>143.38474081632654</v>
      </c>
      <c r="BL21" s="356"/>
      <c r="BM21" s="130">
        <f>IFERROR(VLOOKUP($O21,'Table 3 ID Wind wS_2032'!$B$10:$K$38,10,FALSE),0)</f>
        <v>0</v>
      </c>
      <c r="BN21" s="130">
        <f>IFERROR(VLOOKUP($O21,'Table 3 PV wS YK_2024'!$B$10:$K$40,10,FALSE),0)</f>
        <v>104.66</v>
      </c>
      <c r="BO21" s="356"/>
      <c r="BP21" s="130">
        <f>IFERROR(VLOOKUP($O21,'Table 3 PV wS SO_2024'!$B$10:$K$40,10,FALSE),0)</f>
        <v>104.30000000000001</v>
      </c>
      <c r="BQ21" s="356"/>
      <c r="BR21" s="130">
        <f>IFERROR(VLOOKUP($O21,'Table 3 PV wS UTN_2024'!$B$10:$K$43,10,FALSE),0)</f>
        <v>103.4</v>
      </c>
      <c r="BS21" s="130">
        <f>IFERROR(VLOOKUP($O21,'Table 3 PV wS JB_2024'!$B$10:$K$40,10,FALSE),0)</f>
        <v>100.4</v>
      </c>
      <c r="BT21" s="130">
        <f>IFERROR(VLOOKUP($O21,'Table 3 PV wS JB_2029'!$B$10:$K$40,10,FALSE),0)</f>
        <v>92.178924457429048</v>
      </c>
      <c r="BU21" s="356"/>
      <c r="BV21" s="130">
        <f>IFERROR(VLOOKUP($O21,'Table 3 PV wS UTS_2024'!$B$10:$K$38,10,FALSE),0)</f>
        <v>102.20000000000002</v>
      </c>
      <c r="BW21" s="130">
        <f>IFERROR(VLOOKUP($O21,'Table 3 PV wS UTS_2030'!$B$10:$K$38,10,FALSE),0)</f>
        <v>30.65</v>
      </c>
      <c r="BX21" s="355"/>
      <c r="BY21" s="130">
        <f>IFERROR(VLOOKUP($O21,'Table 3 185 MW (NTN) 2026)'!$B$13:$L$40,11,FALSE),0)</f>
        <v>119.12</v>
      </c>
      <c r="CD21">
        <f>SUM(AL$13:AL21)*BH21/1000</f>
        <v>0</v>
      </c>
      <c r="CE21">
        <f>SUM(AM$13:AM21)*BI21/1000</f>
        <v>0</v>
      </c>
      <c r="CF21">
        <f>SUM(AN$13:AN21)*BJ21/1000</f>
        <v>0</v>
      </c>
      <c r="CG21">
        <f>SUM(AO$13:AO21)*BK21/1000</f>
        <v>0</v>
      </c>
      <c r="CH21">
        <f>SUM(AP$13:AP21)*BL21/1000</f>
        <v>0</v>
      </c>
      <c r="CI21">
        <f>SUM(AQ$13:AQ21)*BM21/1000</f>
        <v>0</v>
      </c>
      <c r="CJ21">
        <f>SUM(AR$13:AR21)*BN21/1000</f>
        <v>0</v>
      </c>
      <c r="CK21">
        <f>SUM(AS$13:AS21)*BO21/1000</f>
        <v>0</v>
      </c>
      <c r="CL21">
        <f>SUM(AT$13:AT21)*BP21/1000</f>
        <v>0</v>
      </c>
      <c r="CM21">
        <f>SUM(AU$13:AU21)*BQ21/1000</f>
        <v>0</v>
      </c>
      <c r="CN21">
        <f>SUM(AV$13:AV21)*BR21/1000</f>
        <v>0</v>
      </c>
      <c r="CO21">
        <f>SUM(AW$13:AW21)*BS21/1000</f>
        <v>0</v>
      </c>
      <c r="CP21">
        <f>SUM(AX$13:AX21)*BT21/1000</f>
        <v>0</v>
      </c>
      <c r="CQ21">
        <f>SUM(AY$13:AY21)*BU21/1000</f>
        <v>0</v>
      </c>
      <c r="CR21">
        <f>SUM(AZ$13:AZ21)*BV21/1000</f>
        <v>2.9313389840269513</v>
      </c>
      <c r="CS21">
        <f>SUM(BA$13:BA21)*BW21/1000</f>
        <v>0</v>
      </c>
      <c r="CT21">
        <f>SUM(BB$13:BB21)*BX21/1000</f>
        <v>0</v>
      </c>
      <c r="CU21">
        <f>SUM(BC$13:BC21)*BY21/1000</f>
        <v>0</v>
      </c>
      <c r="CV21">
        <f>SUM(BD$13:BD21)*BZ21/1000</f>
        <v>0</v>
      </c>
      <c r="CW21">
        <f>SUM(BE$13:BE21)*CA21/1000</f>
        <v>0</v>
      </c>
      <c r="CX21">
        <f>SUM(BF$13:BF21)*CB21/1000</f>
        <v>0</v>
      </c>
      <c r="CY21">
        <f t="shared" si="43"/>
        <v>2.9313389840269513</v>
      </c>
      <c r="DA21">
        <f t="shared" si="37"/>
        <v>2029</v>
      </c>
      <c r="DB21" s="89">
        <f>IFERROR(VLOOKUP($DA21,'Table 3 TransCost'!$B$10:$E$40,4,FALSE),0)</f>
        <v>53.49</v>
      </c>
      <c r="DC21" s="174">
        <f t="shared" si="41"/>
        <v>0</v>
      </c>
    </row>
    <row r="22" spans="2:107">
      <c r="B22" s="15">
        <f t="shared" si="38"/>
        <v>2030</v>
      </c>
      <c r="C22" s="9">
        <f t="shared" si="17"/>
        <v>37.484282140413129</v>
      </c>
      <c r="D22" s="45"/>
      <c r="E22" s="9">
        <f t="shared" ca="1" si="39"/>
        <v>7.7003332299915757</v>
      </c>
      <c r="F22" s="37"/>
      <c r="G22" s="14">
        <f t="shared" ca="1" si="42"/>
        <v>21.607552493418538</v>
      </c>
      <c r="H22" s="36"/>
      <c r="I22" s="174"/>
      <c r="J22" s="174"/>
      <c r="M22" s="112"/>
      <c r="O22">
        <f t="shared" si="18"/>
        <v>2030</v>
      </c>
      <c r="P22">
        <v>0</v>
      </c>
      <c r="Q22">
        <v>0</v>
      </c>
      <c r="R22">
        <v>0</v>
      </c>
      <c r="S22" s="354">
        <v>0</v>
      </c>
      <c r="T22" s="354">
        <v>0</v>
      </c>
      <c r="U22" s="174">
        <v>0</v>
      </c>
      <c r="V22" s="354">
        <v>0</v>
      </c>
      <c r="W22" s="354">
        <v>0</v>
      </c>
      <c r="X22" s="354">
        <v>0</v>
      </c>
      <c r="Y22" s="354">
        <v>0</v>
      </c>
      <c r="Z22" s="354">
        <v>0</v>
      </c>
      <c r="AA22" s="354">
        <v>0</v>
      </c>
      <c r="AB22" s="354">
        <v>0</v>
      </c>
      <c r="AC22" s="354">
        <v>0</v>
      </c>
      <c r="AD22" s="354">
        <v>0</v>
      </c>
      <c r="AE22" s="354">
        <v>0</v>
      </c>
      <c r="AF22" s="354">
        <v>0</v>
      </c>
      <c r="AG22" s="354">
        <v>0</v>
      </c>
      <c r="AL22">
        <f t="shared" si="19"/>
        <v>0</v>
      </c>
      <c r="AM22">
        <f t="shared" si="19"/>
        <v>0</v>
      </c>
      <c r="AN22">
        <f t="shared" si="20"/>
        <v>0</v>
      </c>
      <c r="AO22">
        <f t="shared" si="21"/>
        <v>0</v>
      </c>
      <c r="AP22">
        <f t="shared" si="22"/>
        <v>0</v>
      </c>
      <c r="AQ22">
        <f t="shared" si="23"/>
        <v>0</v>
      </c>
      <c r="AR22">
        <f t="shared" si="24"/>
        <v>0</v>
      </c>
      <c r="AS22">
        <f t="shared" si="25"/>
        <v>0</v>
      </c>
      <c r="AT22">
        <f t="shared" si="26"/>
        <v>0</v>
      </c>
      <c r="AU22">
        <f t="shared" si="27"/>
        <v>0</v>
      </c>
      <c r="AV22">
        <f t="shared" si="28"/>
        <v>0</v>
      </c>
      <c r="AW22">
        <f t="shared" si="29"/>
        <v>0</v>
      </c>
      <c r="AX22">
        <f t="shared" si="30"/>
        <v>0</v>
      </c>
      <c r="AY22">
        <f t="shared" si="31"/>
        <v>0</v>
      </c>
      <c r="AZ22">
        <f t="shared" si="32"/>
        <v>0</v>
      </c>
      <c r="BA22">
        <f t="shared" si="33"/>
        <v>0</v>
      </c>
      <c r="BB22">
        <f t="shared" si="34"/>
        <v>0</v>
      </c>
      <c r="BC22">
        <f t="shared" si="35"/>
        <v>0</v>
      </c>
      <c r="BG22">
        <f t="shared" si="40"/>
        <v>2030</v>
      </c>
      <c r="BH22" s="130">
        <f>IFERROR(VLOOKUP($O22,'Table 3 ID Wind_2030'!$B$10:$K$37,10,FALSE),0)</f>
        <v>136.2952817537722</v>
      </c>
      <c r="BI22" s="130">
        <f>IFERROR(VLOOKUP($O22,'Table 3 UT CP Wind_2023'!$B$10:$K$37,10,FALSE),0)</f>
        <v>141.36507246376812</v>
      </c>
      <c r="BJ22" s="130">
        <f>IFERROR(VLOOKUP($O22,'Table 3 WYAE Wind_2024'!$B$10:$L$37,11,FALSE),0)</f>
        <v>191.23999999999998</v>
      </c>
      <c r="BK22" s="130">
        <f>IFERROR(VLOOKUP($O22,'Table 3 YK Wind wS_2029'!$B$10:$K$37,10,FALSE),0)</f>
        <v>146.62020408163264</v>
      </c>
      <c r="BL22" s="356"/>
      <c r="BM22" s="130">
        <f>IFERROR(VLOOKUP($O22,'Table 3 ID Wind wS_2032'!$B$10:$K$38,10,FALSE),0)</f>
        <v>0</v>
      </c>
      <c r="BN22" s="130">
        <f>IFERROR(VLOOKUP($O22,'Table 3 PV wS YK_2024'!$B$10:$K$40,10,FALSE),0)</f>
        <v>107.06000000000002</v>
      </c>
      <c r="BO22" s="356"/>
      <c r="BP22" s="130">
        <f>IFERROR(VLOOKUP($O22,'Table 3 PV wS SO_2024'!$B$10:$K$40,10,FALSE),0)</f>
        <v>106.69</v>
      </c>
      <c r="BQ22" s="356"/>
      <c r="BR22" s="130">
        <f>IFERROR(VLOOKUP($O22,'Table 3 PV wS UTN_2024'!$B$10:$K$43,10,FALSE),0)</f>
        <v>105.78000000000002</v>
      </c>
      <c r="BS22" s="130">
        <f>IFERROR(VLOOKUP($O22,'Table 3 PV wS JB_2024'!$B$10:$K$40,10,FALSE),0)</f>
        <v>102.69999999999999</v>
      </c>
      <c r="BT22" s="130">
        <f>IFERROR(VLOOKUP($O22,'Table 3 PV wS JB_2029'!$B$10:$K$40,10,FALSE),0)</f>
        <v>94.289999999999992</v>
      </c>
      <c r="BU22" s="356"/>
      <c r="BV22" s="130">
        <f>IFERROR(VLOOKUP($O22,'Table 3 PV wS UTS_2024'!$B$10:$K$38,10,FALSE),0)</f>
        <v>104.55000000000001</v>
      </c>
      <c r="BW22" s="130">
        <f>IFERROR(VLOOKUP($O22,'Table 3 PV wS UTS_2030'!$B$10:$K$38,10,FALSE),0)</f>
        <v>134.52129714599963</v>
      </c>
      <c r="BX22" s="355"/>
      <c r="BY22" s="130">
        <f>IFERROR(VLOOKUP($O22,'Table 3 185 MW (NTN) 2026)'!$B$13:$L$40,11,FALSE),0)</f>
        <v>121.86</v>
      </c>
      <c r="CD22">
        <f>SUM(AL$13:AL22)*BH22/1000</f>
        <v>0</v>
      </c>
      <c r="CE22">
        <f>SUM(AM$13:AM22)*BI22/1000</f>
        <v>0</v>
      </c>
      <c r="CF22">
        <f>SUM(AN$13:AN22)*BJ22/1000</f>
        <v>0</v>
      </c>
      <c r="CG22">
        <f>SUM(AO$13:AO22)*BK22/1000</f>
        <v>0</v>
      </c>
      <c r="CH22">
        <f>SUM(AP$13:AP22)*BL22/1000</f>
        <v>0</v>
      </c>
      <c r="CI22">
        <f>SUM(AQ$13:AQ22)*BM22/1000</f>
        <v>0</v>
      </c>
      <c r="CJ22">
        <f>SUM(AR$13:AR22)*BN22/1000</f>
        <v>0</v>
      </c>
      <c r="CK22">
        <f>SUM(AS$13:AS22)*BO22/1000</f>
        <v>0</v>
      </c>
      <c r="CL22">
        <f>SUM(AT$13:AT22)*BP22/1000</f>
        <v>0</v>
      </c>
      <c r="CM22">
        <f>SUM(AU$13:AU22)*BQ22/1000</f>
        <v>0</v>
      </c>
      <c r="CN22">
        <f>SUM(AV$13:AV22)*BR22/1000</f>
        <v>0</v>
      </c>
      <c r="CO22">
        <f>SUM(AW$13:AW22)*BS22/1000</f>
        <v>0</v>
      </c>
      <c r="CP22">
        <f>SUM(AX$13:AX22)*BT22/1000</f>
        <v>0</v>
      </c>
      <c r="CQ22">
        <f>SUM(AY$13:AY22)*BU22/1000</f>
        <v>0</v>
      </c>
      <c r="CR22">
        <f>SUM(AZ$13:AZ22)*BV22/1000</f>
        <v>2.9987425712330502</v>
      </c>
      <c r="CS22">
        <f>SUM(BA$13:BA22)*BW22/1000</f>
        <v>0</v>
      </c>
      <c r="CT22">
        <f>SUM(BB$13:BB22)*BX22/1000</f>
        <v>0</v>
      </c>
      <c r="CU22">
        <f>SUM(BC$13:BC22)*BY22/1000</f>
        <v>0</v>
      </c>
      <c r="CV22">
        <f>SUM(BD$13:BD22)*BZ22/1000</f>
        <v>0</v>
      </c>
      <c r="CW22">
        <f>SUM(BE$13:BE22)*CA22/1000</f>
        <v>0</v>
      </c>
      <c r="CX22">
        <f>SUM(BF$13:BF22)*CB22/1000</f>
        <v>0</v>
      </c>
      <c r="CY22">
        <f t="shared" si="43"/>
        <v>2.9987425712330502</v>
      </c>
      <c r="DA22">
        <f t="shared" si="37"/>
        <v>2030</v>
      </c>
      <c r="DB22" s="89">
        <f>IFERROR(VLOOKUP($DA22,'Table 3 TransCost'!$B$10:$E$40,4,FALSE),0)</f>
        <v>54.72</v>
      </c>
      <c r="DC22" s="174">
        <f t="shared" si="41"/>
        <v>0</v>
      </c>
    </row>
    <row r="23" spans="2:107">
      <c r="B23" s="15">
        <f t="shared" si="38"/>
        <v>2031</v>
      </c>
      <c r="C23" s="9">
        <f t="shared" si="17"/>
        <v>38.344753466448431</v>
      </c>
      <c r="D23" s="45"/>
      <c r="E23" s="9">
        <f t="shared" ca="1" si="39"/>
        <v>8.5348903048244988</v>
      </c>
      <c r="F23" s="37"/>
      <c r="G23" s="14">
        <f t="shared" ca="1" si="42"/>
        <v>22.832846983599275</v>
      </c>
      <c r="H23" s="36"/>
      <c r="I23" s="174"/>
      <c r="J23" s="174"/>
      <c r="M23" s="112"/>
      <c r="O23">
        <f t="shared" si="18"/>
        <v>2031</v>
      </c>
      <c r="P23">
        <v>0</v>
      </c>
      <c r="Q23">
        <v>0</v>
      </c>
      <c r="R23">
        <v>0</v>
      </c>
      <c r="S23" s="354">
        <v>0</v>
      </c>
      <c r="T23" s="354">
        <v>0</v>
      </c>
      <c r="U23" s="174">
        <v>0</v>
      </c>
      <c r="V23" s="354">
        <v>0</v>
      </c>
      <c r="W23" s="354">
        <v>0</v>
      </c>
      <c r="X23" s="354">
        <v>0</v>
      </c>
      <c r="Y23" s="354">
        <v>0</v>
      </c>
      <c r="Z23" s="354">
        <v>0</v>
      </c>
      <c r="AA23" s="354">
        <v>0</v>
      </c>
      <c r="AB23" s="354">
        <v>0</v>
      </c>
      <c r="AC23" s="354">
        <v>0</v>
      </c>
      <c r="AD23" s="354">
        <v>0</v>
      </c>
      <c r="AE23" s="354">
        <v>0</v>
      </c>
      <c r="AF23" s="354">
        <v>0</v>
      </c>
      <c r="AG23" s="354">
        <v>0</v>
      </c>
      <c r="AL23">
        <f t="shared" si="19"/>
        <v>0</v>
      </c>
      <c r="AM23">
        <f t="shared" si="19"/>
        <v>0</v>
      </c>
      <c r="AN23">
        <f t="shared" si="20"/>
        <v>0</v>
      </c>
      <c r="AO23">
        <f t="shared" si="21"/>
        <v>0</v>
      </c>
      <c r="AP23">
        <f t="shared" si="22"/>
        <v>0</v>
      </c>
      <c r="AQ23">
        <f t="shared" si="23"/>
        <v>0</v>
      </c>
      <c r="AR23">
        <f t="shared" si="24"/>
        <v>0</v>
      </c>
      <c r="AS23">
        <f t="shared" si="25"/>
        <v>0</v>
      </c>
      <c r="AT23">
        <f t="shared" si="26"/>
        <v>0</v>
      </c>
      <c r="AU23">
        <f t="shared" si="27"/>
        <v>0</v>
      </c>
      <c r="AV23">
        <f t="shared" si="28"/>
        <v>0</v>
      </c>
      <c r="AW23">
        <f t="shared" si="29"/>
        <v>0</v>
      </c>
      <c r="AX23">
        <f t="shared" si="30"/>
        <v>0</v>
      </c>
      <c r="AY23">
        <f t="shared" si="31"/>
        <v>0</v>
      </c>
      <c r="AZ23">
        <f t="shared" si="32"/>
        <v>0</v>
      </c>
      <c r="BA23">
        <f t="shared" si="33"/>
        <v>0</v>
      </c>
      <c r="BB23">
        <f t="shared" si="34"/>
        <v>0</v>
      </c>
      <c r="BC23">
        <f t="shared" si="35"/>
        <v>0</v>
      </c>
      <c r="BG23">
        <f t="shared" si="40"/>
        <v>2031</v>
      </c>
      <c r="BH23" s="130">
        <f>IFERROR(VLOOKUP($O23,'Table 3 ID Wind_2030'!$B$10:$K$37,10,FALSE),0)</f>
        <v>139.43004232397075</v>
      </c>
      <c r="BI23" s="130">
        <f>IFERROR(VLOOKUP($O23,'Table 3 UT CP Wind_2023'!$B$10:$K$37,10,FALSE),0)</f>
        <v>144.61463768115942</v>
      </c>
      <c r="BJ23" s="130">
        <f>IFERROR(VLOOKUP($O23,'Table 3 WYAE Wind_2024'!$B$10:$L$37,11,FALSE),0)</f>
        <v>195.62989583333334</v>
      </c>
      <c r="BK23" s="130">
        <f>IFERROR(VLOOKUP($O23,'Table 3 YK Wind wS_2029'!$B$10:$K$37,10,FALSE),0)</f>
        <v>150.02244897959184</v>
      </c>
      <c r="BL23" s="356"/>
      <c r="BM23" s="130">
        <f>IFERROR(VLOOKUP($O23,'Table 3 ID Wind wS_2032'!$B$10:$K$38,10,FALSE),0)</f>
        <v>0</v>
      </c>
      <c r="BN23" s="130">
        <f>IFERROR(VLOOKUP($O23,'Table 3 PV wS YK_2024'!$B$10:$K$40,10,FALSE),0)</f>
        <v>109.52</v>
      </c>
      <c r="BO23" s="356"/>
      <c r="BP23" s="130">
        <f>IFERROR(VLOOKUP($O23,'Table 3 PV wS SO_2024'!$B$10:$K$40,10,FALSE),0)</f>
        <v>109.13999999999999</v>
      </c>
      <c r="BQ23" s="356"/>
      <c r="BR23" s="130">
        <f>IFERROR(VLOOKUP($O23,'Table 3 PV wS UTN_2024'!$B$10:$K$43,10,FALSE),0)</f>
        <v>108.21</v>
      </c>
      <c r="BS23" s="130">
        <f>IFERROR(VLOOKUP($O23,'Table 3 PV wS JB_2024'!$B$10:$K$40,10,FALSE),0)</f>
        <v>105.06</v>
      </c>
      <c r="BT23" s="130">
        <f>IFERROR(VLOOKUP($O23,'Table 3 PV wS JB_2029'!$B$10:$K$40,10,FALSE),0)</f>
        <v>96.460000000000008</v>
      </c>
      <c r="BU23" s="356"/>
      <c r="BV23" s="130">
        <f>IFERROR(VLOOKUP($O23,'Table 3 PV wS UTS_2024'!$B$10:$K$38,10,FALSE),0)</f>
        <v>106.95</v>
      </c>
      <c r="BW23" s="130">
        <f>IFERROR(VLOOKUP($O23,'Table 3 PV wS UTS_2030'!$B$10:$K$38,10,FALSE),0)</f>
        <v>137.60999999999999</v>
      </c>
      <c r="BX23" s="355"/>
      <c r="BY23" s="130">
        <f>IFERROR(VLOOKUP($O23,'Table 3 185 MW (NTN) 2026)'!$B$13:$L$40,11,FALSE),0)</f>
        <v>124.67</v>
      </c>
      <c r="CD23">
        <f>SUM(AL$13:AL23)*BH23/1000</f>
        <v>0</v>
      </c>
      <c r="CE23">
        <f>SUM(AM$13:AM23)*BI23/1000</f>
        <v>0</v>
      </c>
      <c r="CF23">
        <f>SUM(AN$13:AN23)*BJ23/1000</f>
        <v>0</v>
      </c>
      <c r="CG23">
        <f>SUM(AO$13:AO23)*BK23/1000</f>
        <v>0</v>
      </c>
      <c r="CH23">
        <f>SUM(AP$13:AP23)*BL23/1000</f>
        <v>0</v>
      </c>
      <c r="CI23">
        <f>SUM(AQ$13:AQ23)*BM23/1000</f>
        <v>0</v>
      </c>
      <c r="CJ23">
        <f>SUM(AR$13:AR23)*BN23/1000</f>
        <v>0</v>
      </c>
      <c r="CK23">
        <f>SUM(AS$13:AS23)*BO23/1000</f>
        <v>0</v>
      </c>
      <c r="CL23">
        <f>SUM(AT$13:AT23)*BP23/1000</f>
        <v>0</v>
      </c>
      <c r="CM23">
        <f>SUM(AU$13:AU23)*BQ23/1000</f>
        <v>0</v>
      </c>
      <c r="CN23">
        <f>SUM(AV$13:AV23)*BR23/1000</f>
        <v>0</v>
      </c>
      <c r="CO23">
        <f>SUM(AW$13:AW23)*BS23/1000</f>
        <v>0</v>
      </c>
      <c r="CP23">
        <f>SUM(AX$13:AX23)*BT23/1000</f>
        <v>0</v>
      </c>
      <c r="CQ23">
        <f>SUM(AY$13:AY23)*BU23/1000</f>
        <v>0</v>
      </c>
      <c r="CR23">
        <f>SUM(AZ$13:AZ23)*BV23/1000</f>
        <v>3.0675802773158742</v>
      </c>
      <c r="CS23">
        <f>SUM(BA$13:BA23)*BW23/1000</f>
        <v>0</v>
      </c>
      <c r="CT23">
        <f>SUM(BB$13:BB23)*BX23/1000</f>
        <v>0</v>
      </c>
      <c r="CU23">
        <f>SUM(BC$13:BC23)*BY23/1000</f>
        <v>0</v>
      </c>
      <c r="CV23">
        <f>SUM(BD$13:BD23)*BZ23/1000</f>
        <v>0</v>
      </c>
      <c r="CW23">
        <f>SUM(BE$13:BE23)*CA23/1000</f>
        <v>0</v>
      </c>
      <c r="CX23">
        <f>SUM(BF$13:BF23)*CB23/1000</f>
        <v>0</v>
      </c>
      <c r="CY23">
        <f t="shared" si="43"/>
        <v>3.0675802773158742</v>
      </c>
      <c r="DA23">
        <f t="shared" si="37"/>
        <v>2031</v>
      </c>
      <c r="DB23" s="89">
        <f>IFERROR(VLOOKUP($DA23,'Table 3 TransCost'!$B$10:$E$40,4,FALSE),0)</f>
        <v>55.98</v>
      </c>
      <c r="DC23" s="174">
        <f t="shared" si="41"/>
        <v>0</v>
      </c>
    </row>
    <row r="24" spans="2:107">
      <c r="B24" s="15">
        <f t="shared" si="38"/>
        <v>2032</v>
      </c>
      <c r="C24" s="9">
        <f t="shared" si="17"/>
        <v>39.226736575634618</v>
      </c>
      <c r="D24" s="45"/>
      <c r="E24" s="9">
        <f t="shared" ca="1" si="39"/>
        <v>9.3157111543807627</v>
      </c>
      <c r="F24" s="37"/>
      <c r="G24" s="14">
        <f t="shared" ca="1" si="42"/>
        <v>23.976556799533775</v>
      </c>
      <c r="H24" s="36"/>
      <c r="I24" s="174"/>
      <c r="J24" s="174"/>
      <c r="M24" s="112"/>
      <c r="O24">
        <f t="shared" si="18"/>
        <v>2032</v>
      </c>
      <c r="P24">
        <v>0</v>
      </c>
      <c r="Q24">
        <v>0</v>
      </c>
      <c r="R24">
        <v>0</v>
      </c>
      <c r="S24" s="354">
        <v>0</v>
      </c>
      <c r="T24" s="354">
        <v>0</v>
      </c>
      <c r="U24" s="174">
        <v>0</v>
      </c>
      <c r="V24" s="354">
        <v>0</v>
      </c>
      <c r="W24" s="354">
        <v>0</v>
      </c>
      <c r="X24" s="354">
        <v>0</v>
      </c>
      <c r="Y24" s="354">
        <v>0</v>
      </c>
      <c r="Z24" s="354">
        <v>0</v>
      </c>
      <c r="AA24" s="354">
        <v>0</v>
      </c>
      <c r="AB24" s="354">
        <v>0</v>
      </c>
      <c r="AC24" s="354">
        <v>0</v>
      </c>
      <c r="AD24" s="354">
        <v>0</v>
      </c>
      <c r="AE24" s="354">
        <v>0</v>
      </c>
      <c r="AF24" s="354">
        <v>0</v>
      </c>
      <c r="AG24" s="354">
        <v>0</v>
      </c>
      <c r="AL24">
        <f t="shared" si="19"/>
        <v>0</v>
      </c>
      <c r="AM24">
        <f t="shared" si="19"/>
        <v>0</v>
      </c>
      <c r="AN24">
        <f t="shared" si="20"/>
        <v>0</v>
      </c>
      <c r="AO24">
        <f t="shared" si="21"/>
        <v>0</v>
      </c>
      <c r="AP24">
        <f t="shared" si="22"/>
        <v>0</v>
      </c>
      <c r="AQ24">
        <f t="shared" si="23"/>
        <v>0</v>
      </c>
      <c r="AR24">
        <f t="shared" si="24"/>
        <v>0</v>
      </c>
      <c r="AS24">
        <f t="shared" si="25"/>
        <v>0</v>
      </c>
      <c r="AT24">
        <f t="shared" si="26"/>
        <v>0</v>
      </c>
      <c r="AU24">
        <f t="shared" si="27"/>
        <v>0</v>
      </c>
      <c r="AV24">
        <f t="shared" si="28"/>
        <v>0</v>
      </c>
      <c r="AW24">
        <f t="shared" si="29"/>
        <v>0</v>
      </c>
      <c r="AX24">
        <f t="shared" si="30"/>
        <v>0</v>
      </c>
      <c r="AY24">
        <f t="shared" si="31"/>
        <v>0</v>
      </c>
      <c r="AZ24">
        <f t="shared" si="32"/>
        <v>0</v>
      </c>
      <c r="BA24">
        <f t="shared" si="33"/>
        <v>0</v>
      </c>
      <c r="BB24">
        <f t="shared" si="34"/>
        <v>0</v>
      </c>
      <c r="BC24">
        <f t="shared" si="35"/>
        <v>0</v>
      </c>
      <c r="BG24">
        <f t="shared" si="40"/>
        <v>2032</v>
      </c>
      <c r="BH24" s="130">
        <f>IFERROR(VLOOKUP($O24,'Table 3 ID Wind_2030'!$B$10:$K$37,10,FALSE),0)</f>
        <v>142.62018853405155</v>
      </c>
      <c r="BI24" s="130">
        <f>IFERROR(VLOOKUP($O24,'Table 3 UT CP Wind_2023'!$B$10:$K$37,10,FALSE),0)</f>
        <v>147.92869565217393</v>
      </c>
      <c r="BJ24" s="130">
        <f>IFERROR(VLOOKUP($O24,'Table 3 WYAE Wind_2024'!$B$10:$L$37,11,FALSE),0)</f>
        <v>200.12010416666666</v>
      </c>
      <c r="BK24" s="130">
        <f>IFERROR(VLOOKUP($O24,'Table 3 YK Wind wS_2029'!$B$10:$K$37,10,FALSE),0)</f>
        <v>153.48469387755102</v>
      </c>
      <c r="BL24" s="356"/>
      <c r="BM24" s="130">
        <f>IFERROR(VLOOKUP($O24,'Table 3 ID Wind wS_2032'!$B$10:$K$38,10,FALSE),0)</f>
        <v>154.72594420529799</v>
      </c>
      <c r="BN24" s="130">
        <f>IFERROR(VLOOKUP($O24,'Table 3 PV wS YK_2024'!$B$10:$K$40,10,FALSE),0)</f>
        <v>112.04</v>
      </c>
      <c r="BO24" s="356"/>
      <c r="BP24" s="130">
        <f>IFERROR(VLOOKUP($O24,'Table 3 PV wS SO_2024'!$B$10:$K$40,10,FALSE),0)</f>
        <v>111.65</v>
      </c>
      <c r="BQ24" s="356"/>
      <c r="BR24" s="130">
        <f>IFERROR(VLOOKUP($O24,'Table 3 PV wS UTN_2024'!$B$10:$K$43,10,FALSE),0)</f>
        <v>110.7</v>
      </c>
      <c r="BS24" s="130">
        <f>IFERROR(VLOOKUP($O24,'Table 3 PV wS JB_2024'!$B$10:$K$40,10,FALSE),0)</f>
        <v>107.48</v>
      </c>
      <c r="BT24" s="130">
        <f>IFERROR(VLOOKUP($O24,'Table 3 PV wS JB_2029'!$B$10:$K$40,10,FALSE),0)</f>
        <v>98.68</v>
      </c>
      <c r="BU24" s="356"/>
      <c r="BV24" s="130">
        <f>IFERROR(VLOOKUP($O24,'Table 3 PV wS UTS_2024'!$B$10:$K$38,10,FALSE),0)</f>
        <v>109.41</v>
      </c>
      <c r="BW24" s="130">
        <f>IFERROR(VLOOKUP($O24,'Table 3 PV wS UTS_2030'!$B$10:$K$38,10,FALSE),0)</f>
        <v>140.78</v>
      </c>
      <c r="BX24" s="355"/>
      <c r="BY24" s="130">
        <f>IFERROR(VLOOKUP($O24,'Table 3 185 MW (NTN) 2026)'!$B$13:$L$40,11,FALSE),0)</f>
        <v>127.53</v>
      </c>
      <c r="CD24">
        <f>SUM(AL$13:AL24)*BH24/1000</f>
        <v>0</v>
      </c>
      <c r="CE24">
        <f>SUM(AM$13:AM24)*BI24/1000</f>
        <v>0</v>
      </c>
      <c r="CF24">
        <f>SUM(AN$13:AN24)*BJ24/1000</f>
        <v>0</v>
      </c>
      <c r="CG24">
        <f>SUM(AO$13:AO24)*BK24/1000</f>
        <v>0</v>
      </c>
      <c r="CH24">
        <f>SUM(AP$13:AP24)*BL24/1000</f>
        <v>0</v>
      </c>
      <c r="CI24">
        <f>SUM(AQ$13:AQ24)*BM24/1000</f>
        <v>0</v>
      </c>
      <c r="CJ24">
        <f>SUM(AR$13:AR24)*BN24/1000</f>
        <v>0</v>
      </c>
      <c r="CK24">
        <f>SUM(AS$13:AS24)*BO24/1000</f>
        <v>0</v>
      </c>
      <c r="CL24">
        <f>SUM(AT$13:AT24)*BP24/1000</f>
        <v>0</v>
      </c>
      <c r="CM24">
        <f>SUM(AU$13:AU24)*BQ24/1000</f>
        <v>0</v>
      </c>
      <c r="CN24">
        <f>SUM(AV$13:AV24)*BR24/1000</f>
        <v>0</v>
      </c>
      <c r="CO24">
        <f>SUM(AW$13:AW24)*BS24/1000</f>
        <v>0</v>
      </c>
      <c r="CP24">
        <f>SUM(AX$13:AX24)*BT24/1000</f>
        <v>0</v>
      </c>
      <c r="CQ24">
        <f>SUM(AY$13:AY24)*BU24/1000</f>
        <v>0</v>
      </c>
      <c r="CR24">
        <f>SUM(AZ$13:AZ24)*BV24/1000</f>
        <v>3.1381389260507695</v>
      </c>
      <c r="CS24">
        <f>SUM(BA$13:BA24)*BW24/1000</f>
        <v>0</v>
      </c>
      <c r="CT24">
        <f>SUM(BB$13:BB24)*BX24/1000</f>
        <v>0</v>
      </c>
      <c r="CU24">
        <f>SUM(BC$13:BC24)*BY24/1000</f>
        <v>0</v>
      </c>
      <c r="CV24">
        <f>SUM(BD$13:BD24)*BZ24/1000</f>
        <v>0</v>
      </c>
      <c r="CW24">
        <f>SUM(BE$13:BE24)*CA24/1000</f>
        <v>0</v>
      </c>
      <c r="CX24">
        <f>SUM(BF$13:BF24)*CB24/1000</f>
        <v>0</v>
      </c>
      <c r="CY24">
        <f t="shared" si="43"/>
        <v>3.1381389260507695</v>
      </c>
      <c r="DA24">
        <f t="shared" si="37"/>
        <v>2032</v>
      </c>
      <c r="DB24" s="89">
        <f>IFERROR(VLOOKUP($DA24,'Table 3 TransCost'!$B$10:$E$40,4,FALSE),0)</f>
        <v>57.27</v>
      </c>
      <c r="DC24" s="174">
        <f t="shared" si="41"/>
        <v>0</v>
      </c>
    </row>
    <row r="25" spans="2:107">
      <c r="B25" s="15">
        <f t="shared" si="38"/>
        <v>2033</v>
      </c>
      <c r="C25" s="9">
        <f t="shared" si="17"/>
        <v>40.126646170779885</v>
      </c>
      <c r="D25" s="45"/>
      <c r="E25" s="9">
        <f t="shared" ca="1" si="39"/>
        <v>9.0319159412181858</v>
      </c>
      <c r="F25" s="37"/>
      <c r="G25" s="14">
        <f t="shared" ca="1" si="42"/>
        <v>24.14505656784096</v>
      </c>
      <c r="H25" s="36"/>
      <c r="I25" s="174"/>
      <c r="J25" s="174"/>
      <c r="M25" s="112"/>
      <c r="O25">
        <f t="shared" si="18"/>
        <v>2033</v>
      </c>
      <c r="P25">
        <v>0</v>
      </c>
      <c r="Q25">
        <v>0</v>
      </c>
      <c r="R25">
        <v>0</v>
      </c>
      <c r="S25" s="354">
        <v>0</v>
      </c>
      <c r="T25" s="354">
        <v>0</v>
      </c>
      <c r="U25" s="174">
        <v>0</v>
      </c>
      <c r="V25" s="354">
        <v>0</v>
      </c>
      <c r="W25" s="354">
        <v>0</v>
      </c>
      <c r="X25" s="354">
        <v>0</v>
      </c>
      <c r="Y25" s="354">
        <v>0</v>
      </c>
      <c r="Z25" s="354">
        <v>0</v>
      </c>
      <c r="AA25" s="354">
        <v>0</v>
      </c>
      <c r="AB25" s="354">
        <v>0</v>
      </c>
      <c r="AC25" s="354">
        <v>0</v>
      </c>
      <c r="AD25" s="354">
        <v>0</v>
      </c>
      <c r="AE25" s="354">
        <v>0</v>
      </c>
      <c r="AF25" s="354">
        <v>0</v>
      </c>
      <c r="AG25" s="354">
        <v>0</v>
      </c>
      <c r="AL25">
        <f t="shared" si="19"/>
        <v>0</v>
      </c>
      <c r="AM25">
        <f t="shared" si="19"/>
        <v>0</v>
      </c>
      <c r="AN25">
        <f t="shared" si="20"/>
        <v>0</v>
      </c>
      <c r="AO25">
        <f t="shared" si="21"/>
        <v>0</v>
      </c>
      <c r="AP25">
        <f t="shared" si="22"/>
        <v>0</v>
      </c>
      <c r="AQ25">
        <f t="shared" si="23"/>
        <v>0</v>
      </c>
      <c r="AR25">
        <f t="shared" si="24"/>
        <v>0</v>
      </c>
      <c r="AS25">
        <f t="shared" si="25"/>
        <v>0</v>
      </c>
      <c r="AT25">
        <f t="shared" si="26"/>
        <v>0</v>
      </c>
      <c r="AU25">
        <f t="shared" si="27"/>
        <v>0</v>
      </c>
      <c r="AV25">
        <f t="shared" si="28"/>
        <v>0</v>
      </c>
      <c r="AW25">
        <f t="shared" si="29"/>
        <v>0</v>
      </c>
      <c r="AX25">
        <f t="shared" si="30"/>
        <v>0</v>
      </c>
      <c r="AY25">
        <f t="shared" si="31"/>
        <v>0</v>
      </c>
      <c r="AZ25">
        <f t="shared" si="32"/>
        <v>0</v>
      </c>
      <c r="BA25">
        <f t="shared" si="33"/>
        <v>0</v>
      </c>
      <c r="BB25">
        <f t="shared" si="34"/>
        <v>0</v>
      </c>
      <c r="BC25">
        <f t="shared" si="35"/>
        <v>0</v>
      </c>
      <c r="BG25">
        <f t="shared" si="40"/>
        <v>2033</v>
      </c>
      <c r="BH25" s="130">
        <f>IFERROR(VLOOKUP($O25,'Table 3 ID Wind_2030'!$B$10:$K$37,10,FALSE),0)</f>
        <v>145.88957291265871</v>
      </c>
      <c r="BI25" s="130">
        <f>IFERROR(VLOOKUP($O25,'Table 3 UT CP Wind_2023'!$B$10:$K$37,10,FALSE),0)</f>
        <v>151.3172463768116</v>
      </c>
      <c r="BJ25" s="130">
        <f>IFERROR(VLOOKUP($O25,'Table 3 WYAE Wind_2024'!$B$10:$L$37,11,FALSE),0)</f>
        <v>204.72010416666666</v>
      </c>
      <c r="BK25" s="130">
        <f>IFERROR(VLOOKUP($O25,'Table 3 YK Wind wS_2029'!$B$10:$K$37,10,FALSE),0)</f>
        <v>157.00693877551021</v>
      </c>
      <c r="BL25" s="356"/>
      <c r="BM25" s="130">
        <f>IFERROR(VLOOKUP($O25,'Table 3 ID Wind wS_2032'!$B$10:$K$38,10,FALSE),0)</f>
        <v>158.27788079470199</v>
      </c>
      <c r="BN25" s="130">
        <f>IFERROR(VLOOKUP($O25,'Table 3 PV wS YK_2024'!$B$10:$K$40,10,FALSE),0)</f>
        <v>114.61</v>
      </c>
      <c r="BO25" s="356"/>
      <c r="BP25" s="130">
        <f>IFERROR(VLOOKUP($O25,'Table 3 PV wS SO_2024'!$B$10:$K$40,10,FALSE),0)</f>
        <v>114.21000000000001</v>
      </c>
      <c r="BQ25" s="356"/>
      <c r="BR25" s="130">
        <f>IFERROR(VLOOKUP($O25,'Table 3 PV wS UTN_2024'!$B$10:$K$43,10,FALSE),0)</f>
        <v>113.24</v>
      </c>
      <c r="BS25" s="130">
        <f>IFERROR(VLOOKUP($O25,'Table 3 PV wS JB_2024'!$B$10:$K$40,10,FALSE),0)</f>
        <v>109.95</v>
      </c>
      <c r="BT25" s="130">
        <f>IFERROR(VLOOKUP($O25,'Table 3 PV wS JB_2029'!$B$10:$K$40,10,FALSE),0)</f>
        <v>100.95</v>
      </c>
      <c r="BU25" s="356"/>
      <c r="BV25" s="130">
        <f>IFERROR(VLOOKUP($O25,'Table 3 PV wS UTS_2024'!$B$10:$K$38,10,FALSE),0)</f>
        <v>111.92</v>
      </c>
      <c r="BW25" s="130">
        <f>IFERROR(VLOOKUP($O25,'Table 3 PV wS UTS_2030'!$B$10:$K$38,10,FALSE),0)</f>
        <v>144.01</v>
      </c>
      <c r="BX25" s="355"/>
      <c r="BY25" s="130">
        <f>IFERROR(VLOOKUP($O25,'Table 3 185 MW (NTN) 2026)'!$B$13:$L$40,11,FALSE),0)</f>
        <v>130.45999999999998</v>
      </c>
      <c r="CD25">
        <f>SUM(AL$13:AL25)*BH25/1000</f>
        <v>0</v>
      </c>
      <c r="CE25">
        <f>SUM(AM$13:AM25)*BI25/1000</f>
        <v>0</v>
      </c>
      <c r="CF25">
        <f>SUM(AN$13:AN25)*BJ25/1000</f>
        <v>0</v>
      </c>
      <c r="CG25">
        <f>SUM(AO$13:AO25)*BK25/1000</f>
        <v>0</v>
      </c>
      <c r="CH25">
        <f>SUM(AP$13:AP25)*BL25/1000</f>
        <v>0</v>
      </c>
      <c r="CI25">
        <f>SUM(AQ$13:AQ25)*BM25/1000</f>
        <v>0</v>
      </c>
      <c r="CJ25">
        <f>SUM(AR$13:AR25)*BN25/1000</f>
        <v>0</v>
      </c>
      <c r="CK25">
        <f>SUM(AS$13:AS25)*BO25/1000</f>
        <v>0</v>
      </c>
      <c r="CL25">
        <f>SUM(AT$13:AT25)*BP25/1000</f>
        <v>0</v>
      </c>
      <c r="CM25">
        <f>SUM(AU$13:AU25)*BQ25/1000</f>
        <v>0</v>
      </c>
      <c r="CN25">
        <f>SUM(AV$13:AV25)*BR25/1000</f>
        <v>0</v>
      </c>
      <c r="CO25">
        <f>SUM(AW$13:AW25)*BS25/1000</f>
        <v>0</v>
      </c>
      <c r="CP25">
        <f>SUM(AX$13:AX25)*BT25/1000</f>
        <v>0</v>
      </c>
      <c r="CQ25">
        <f>SUM(AY$13:AY25)*BU25/1000</f>
        <v>0</v>
      </c>
      <c r="CR25">
        <f>SUM(AZ$13:AZ25)*BV25/1000</f>
        <v>3.2101316936623907</v>
      </c>
      <c r="CS25">
        <f>SUM(BA$13:BA25)*BW25/1000</f>
        <v>0</v>
      </c>
      <c r="CT25">
        <f>SUM(BB$13:BB25)*BX25/1000</f>
        <v>0</v>
      </c>
      <c r="CU25">
        <f>SUM(BC$13:BC25)*BY25/1000</f>
        <v>0</v>
      </c>
      <c r="CV25">
        <f>SUM(BD$13:BD25)*BZ25/1000</f>
        <v>0</v>
      </c>
      <c r="CW25">
        <f>SUM(BE$13:BE25)*CA25/1000</f>
        <v>0</v>
      </c>
      <c r="CX25">
        <f>SUM(BF$13:BF25)*CB25/1000</f>
        <v>0</v>
      </c>
      <c r="CY25">
        <f t="shared" si="43"/>
        <v>3.2101316936623907</v>
      </c>
      <c r="DA25">
        <f t="shared" si="37"/>
        <v>2033</v>
      </c>
      <c r="DB25" s="89">
        <f>IFERROR(VLOOKUP($DA25,'Table 3 TransCost'!$B$10:$E$40,4,FALSE),0)</f>
        <v>58.59</v>
      </c>
      <c r="DC25" s="174">
        <f t="shared" si="41"/>
        <v>0</v>
      </c>
    </row>
    <row r="26" spans="2:107">
      <c r="B26" s="15">
        <f t="shared" si="38"/>
        <v>2034</v>
      </c>
      <c r="C26" s="9">
        <f t="shared" si="17"/>
        <v>41.048067549076023</v>
      </c>
      <c r="D26" s="45"/>
      <c r="E26" s="9">
        <f t="shared" ca="1" si="39"/>
        <v>10.147824254220943</v>
      </c>
      <c r="F26" s="37"/>
      <c r="G26" s="14">
        <f t="shared" ca="1" si="42"/>
        <v>25.685694724407579</v>
      </c>
      <c r="H26" s="36"/>
      <c r="I26" s="174"/>
      <c r="J26" s="174"/>
      <c r="M26" s="112"/>
      <c r="O26">
        <f t="shared" si="18"/>
        <v>2034</v>
      </c>
      <c r="P26">
        <v>0</v>
      </c>
      <c r="Q26">
        <v>0</v>
      </c>
      <c r="R26">
        <v>0</v>
      </c>
      <c r="S26" s="354">
        <v>0</v>
      </c>
      <c r="T26" s="354">
        <v>0</v>
      </c>
      <c r="U26" s="174">
        <v>0</v>
      </c>
      <c r="V26" s="354">
        <v>0</v>
      </c>
      <c r="W26" s="354">
        <v>0</v>
      </c>
      <c r="X26" s="354">
        <v>0</v>
      </c>
      <c r="Y26" s="354">
        <v>0</v>
      </c>
      <c r="Z26" s="354">
        <v>0</v>
      </c>
      <c r="AA26" s="354">
        <v>0</v>
      </c>
      <c r="AB26" s="354">
        <v>0</v>
      </c>
      <c r="AC26" s="354">
        <v>0</v>
      </c>
      <c r="AD26" s="354">
        <v>0</v>
      </c>
      <c r="AE26" s="354">
        <v>0</v>
      </c>
      <c r="AF26" s="354">
        <v>0</v>
      </c>
      <c r="AG26" s="354">
        <v>0</v>
      </c>
      <c r="AL26">
        <f t="shared" si="19"/>
        <v>0</v>
      </c>
      <c r="AM26">
        <f t="shared" si="19"/>
        <v>0</v>
      </c>
      <c r="AN26">
        <f t="shared" si="20"/>
        <v>0</v>
      </c>
      <c r="AO26">
        <f t="shared" si="21"/>
        <v>0</v>
      </c>
      <c r="AP26">
        <f t="shared" si="22"/>
        <v>0</v>
      </c>
      <c r="AQ26">
        <f t="shared" si="23"/>
        <v>0</v>
      </c>
      <c r="AR26">
        <f t="shared" si="24"/>
        <v>0</v>
      </c>
      <c r="AS26">
        <f t="shared" si="25"/>
        <v>0</v>
      </c>
      <c r="AT26">
        <f t="shared" si="26"/>
        <v>0</v>
      </c>
      <c r="AU26">
        <f t="shared" si="27"/>
        <v>0</v>
      </c>
      <c r="AV26">
        <f t="shared" si="28"/>
        <v>0</v>
      </c>
      <c r="AW26">
        <f t="shared" si="29"/>
        <v>0</v>
      </c>
      <c r="AX26">
        <f t="shared" si="30"/>
        <v>0</v>
      </c>
      <c r="AY26">
        <f t="shared" si="31"/>
        <v>0</v>
      </c>
      <c r="AZ26">
        <f t="shared" si="32"/>
        <v>0</v>
      </c>
      <c r="BA26">
        <f t="shared" si="33"/>
        <v>0</v>
      </c>
      <c r="BB26">
        <f t="shared" si="34"/>
        <v>0</v>
      </c>
      <c r="BC26">
        <f t="shared" si="35"/>
        <v>0</v>
      </c>
      <c r="BG26">
        <f t="shared" si="40"/>
        <v>2034</v>
      </c>
      <c r="BH26" s="130">
        <f>IFERROR(VLOOKUP($O26,'Table 3 ID Wind_2030'!$B$10:$K$37,10,FALSE),0)</f>
        <v>149.24011927664486</v>
      </c>
      <c r="BI26" s="130">
        <f>IFERROR(VLOOKUP($O26,'Table 3 UT CP Wind_2023'!$B$10:$K$37,10,FALSE),0)</f>
        <v>154.79478260869564</v>
      </c>
      <c r="BJ26" s="130">
        <f>IFERROR(VLOOKUP($O26,'Table 3 WYAE Wind_2024'!$B$10:$L$37,11,FALSE),0)</f>
        <v>209.41989583333333</v>
      </c>
      <c r="BK26" s="130">
        <f>IFERROR(VLOOKUP($O26,'Table 3 YK Wind wS_2029'!$B$10:$K$37,10,FALSE),0)</f>
        <v>160.59918367346941</v>
      </c>
      <c r="BL26" s="356"/>
      <c r="BM26" s="130">
        <f>IFERROR(VLOOKUP($O26,'Table 3 ID Wind wS_2032'!$B$10:$K$38,10,FALSE),0)</f>
        <v>161.91701986754967</v>
      </c>
      <c r="BN26" s="130">
        <f>IFERROR(VLOOKUP($O26,'Table 3 PV wS YK_2024'!$B$10:$K$40,10,FALSE),0)</f>
        <v>117.24</v>
      </c>
      <c r="BO26" s="356"/>
      <c r="BP26" s="130">
        <f>IFERROR(VLOOKUP($O26,'Table 3 PV wS SO_2024'!$B$10:$K$40,10,FALSE),0)</f>
        <v>116.83</v>
      </c>
      <c r="BQ26" s="356"/>
      <c r="BR26" s="130">
        <f>IFERROR(VLOOKUP($O26,'Table 3 PV wS UTN_2024'!$B$10:$K$43,10,FALSE),0)</f>
        <v>115.84</v>
      </c>
      <c r="BS26" s="130">
        <f>IFERROR(VLOOKUP($O26,'Table 3 PV wS JB_2024'!$B$10:$K$40,10,FALSE),0)</f>
        <v>112.48</v>
      </c>
      <c r="BT26" s="130">
        <f>IFERROR(VLOOKUP($O26,'Table 3 PV wS JB_2029'!$B$10:$K$40,10,FALSE),0)</f>
        <v>103.27</v>
      </c>
      <c r="BU26" s="356"/>
      <c r="BV26" s="130">
        <f>IFERROR(VLOOKUP($O26,'Table 3 PV wS UTS_2024'!$B$10:$K$38,10,FALSE),0)</f>
        <v>114.49</v>
      </c>
      <c r="BW26" s="130">
        <f>IFERROR(VLOOKUP($O26,'Table 3 PV wS UTS_2030'!$B$10:$K$38,10,FALSE),0)</f>
        <v>147.32</v>
      </c>
      <c r="BX26" s="355"/>
      <c r="BY26" s="130">
        <f>IFERROR(VLOOKUP($O26,'Table 3 185 MW (NTN) 2026)'!$B$13:$L$40,11,FALSE),0)</f>
        <v>133.45999999999998</v>
      </c>
      <c r="CD26">
        <f>SUM(AL$13:AL26)*BH26/1000</f>
        <v>0</v>
      </c>
      <c r="CE26">
        <f>SUM(AM$13:AM26)*BI26/1000</f>
        <v>0</v>
      </c>
      <c r="CF26">
        <f>SUM(AN$13:AN26)*BJ26/1000</f>
        <v>0</v>
      </c>
      <c r="CG26">
        <f>SUM(AO$13:AO26)*BK26/1000</f>
        <v>0</v>
      </c>
      <c r="CH26">
        <f>SUM(AP$13:AP26)*BL26/1000</f>
        <v>0</v>
      </c>
      <c r="CI26">
        <f>SUM(AQ$13:AQ26)*BM26/1000</f>
        <v>0</v>
      </c>
      <c r="CJ26">
        <f>SUM(AR$13:AR26)*BN26/1000</f>
        <v>0</v>
      </c>
      <c r="CK26">
        <f>SUM(AS$13:AS26)*BO26/1000</f>
        <v>0</v>
      </c>
      <c r="CL26">
        <f>SUM(AT$13:AT26)*BP26/1000</f>
        <v>0</v>
      </c>
      <c r="CM26">
        <f>SUM(AU$13:AU26)*BQ26/1000</f>
        <v>0</v>
      </c>
      <c r="CN26">
        <f>SUM(AV$13:AV26)*BR26/1000</f>
        <v>0</v>
      </c>
      <c r="CO26">
        <f>SUM(AW$13:AW26)*BS26/1000</f>
        <v>0</v>
      </c>
      <c r="CP26">
        <f>SUM(AX$13:AX26)*BT26/1000</f>
        <v>0</v>
      </c>
      <c r="CQ26">
        <f>SUM(AY$13:AY26)*BU26/1000</f>
        <v>0</v>
      </c>
      <c r="CR26">
        <f>SUM(AZ$13:AZ26)*BV26/1000</f>
        <v>3.2838454039260818</v>
      </c>
      <c r="CS26">
        <f>SUM(BA$13:BA26)*BW26/1000</f>
        <v>0</v>
      </c>
      <c r="CT26">
        <f>SUM(BB$13:BB26)*BX26/1000</f>
        <v>0</v>
      </c>
      <c r="CU26">
        <f>SUM(BC$13:BC26)*BY26/1000</f>
        <v>0</v>
      </c>
      <c r="CV26">
        <f>SUM(BD$13:BD26)*BZ26/1000</f>
        <v>0</v>
      </c>
      <c r="CW26">
        <f>SUM(BE$13:BE26)*CA26/1000</f>
        <v>0</v>
      </c>
      <c r="CX26">
        <f>SUM(BF$13:BF26)*CB26/1000</f>
        <v>0</v>
      </c>
      <c r="CY26">
        <f t="shared" si="43"/>
        <v>3.2838454039260818</v>
      </c>
      <c r="DA26">
        <f t="shared" si="37"/>
        <v>2034</v>
      </c>
      <c r="DB26" s="89">
        <f>IFERROR(VLOOKUP($DA26,'Table 3 TransCost'!$B$10:$E$40,4,FALSE),0)</f>
        <v>59.94</v>
      </c>
      <c r="DC26" s="174">
        <f t="shared" si="41"/>
        <v>0</v>
      </c>
    </row>
    <row r="27" spans="2:107">
      <c r="B27" s="15">
        <f t="shared" si="38"/>
        <v>2035</v>
      </c>
      <c r="C27" s="9">
        <f t="shared" si="17"/>
        <v>41.991000710523046</v>
      </c>
      <c r="D27" s="45"/>
      <c r="E27" s="9">
        <f t="shared" ca="1" si="39"/>
        <v>10.600785110618183</v>
      </c>
      <c r="F27" s="37"/>
      <c r="G27" s="14">
        <f t="shared" ca="1" si="42"/>
        <v>26.575456267388091</v>
      </c>
      <c r="H27" s="36"/>
      <c r="I27" s="174"/>
      <c r="J27" s="174"/>
      <c r="M27" s="112"/>
      <c r="O27">
        <f t="shared" si="18"/>
        <v>2035</v>
      </c>
      <c r="P27">
        <v>0</v>
      </c>
      <c r="Q27">
        <v>0</v>
      </c>
      <c r="R27">
        <v>0</v>
      </c>
      <c r="S27" s="354">
        <v>0</v>
      </c>
      <c r="T27" s="354">
        <v>0</v>
      </c>
      <c r="U27" s="174">
        <v>0</v>
      </c>
      <c r="V27" s="354">
        <v>0</v>
      </c>
      <c r="W27" s="354">
        <v>0</v>
      </c>
      <c r="X27" s="354">
        <v>0</v>
      </c>
      <c r="Y27" s="354">
        <v>0</v>
      </c>
      <c r="Z27" s="354">
        <v>0</v>
      </c>
      <c r="AA27" s="354">
        <v>0</v>
      </c>
      <c r="AB27" s="354">
        <v>0</v>
      </c>
      <c r="AC27" s="354">
        <v>0</v>
      </c>
      <c r="AD27" s="354">
        <v>0</v>
      </c>
      <c r="AE27" s="354">
        <v>0</v>
      </c>
      <c r="AF27" s="354">
        <v>0</v>
      </c>
      <c r="AG27" s="354">
        <v>0</v>
      </c>
      <c r="AL27">
        <f t="shared" si="19"/>
        <v>0</v>
      </c>
      <c r="AM27">
        <f t="shared" si="19"/>
        <v>0</v>
      </c>
      <c r="AN27">
        <f t="shared" si="20"/>
        <v>0</v>
      </c>
      <c r="AO27">
        <f t="shared" si="21"/>
        <v>0</v>
      </c>
      <c r="AP27">
        <f t="shared" si="22"/>
        <v>0</v>
      </c>
      <c r="AQ27">
        <f t="shared" si="23"/>
        <v>0</v>
      </c>
      <c r="AR27">
        <f t="shared" si="24"/>
        <v>0</v>
      </c>
      <c r="AS27">
        <f t="shared" si="25"/>
        <v>0</v>
      </c>
      <c r="AT27">
        <f t="shared" si="26"/>
        <v>0</v>
      </c>
      <c r="AU27">
        <f t="shared" si="27"/>
        <v>0</v>
      </c>
      <c r="AV27">
        <f t="shared" si="28"/>
        <v>0</v>
      </c>
      <c r="AW27">
        <f t="shared" si="29"/>
        <v>0</v>
      </c>
      <c r="AX27">
        <f t="shared" si="30"/>
        <v>0</v>
      </c>
      <c r="AY27">
        <f t="shared" si="31"/>
        <v>0</v>
      </c>
      <c r="AZ27">
        <f t="shared" si="32"/>
        <v>0</v>
      </c>
      <c r="BA27">
        <f t="shared" si="33"/>
        <v>0</v>
      </c>
      <c r="BB27">
        <f t="shared" si="34"/>
        <v>0</v>
      </c>
      <c r="BC27">
        <f t="shared" si="35"/>
        <v>0</v>
      </c>
      <c r="BG27">
        <f t="shared" si="40"/>
        <v>2035</v>
      </c>
      <c r="BH27" s="130">
        <f>IFERROR(VLOOKUP($O27,'Table 3 ID Wind_2030'!$B$10:$K$37,10,FALSE),0)</f>
        <v>152.65990380915738</v>
      </c>
      <c r="BI27" s="130">
        <f>IFERROR(VLOOKUP($O27,'Table 3 UT CP Wind_2023'!$B$10:$K$37,10,FALSE),0)</f>
        <v>158.33681159420289</v>
      </c>
      <c r="BJ27" s="130">
        <f>IFERROR(VLOOKUP($O27,'Table 3 WYAE Wind_2024'!$B$10:$L$37,11,FALSE),0)</f>
        <v>214.23</v>
      </c>
      <c r="BK27" s="130">
        <f>IFERROR(VLOOKUP($O27,'Table 3 YK Wind wS_2029'!$B$10:$K$37,10,FALSE),0)</f>
        <v>164.26142857142858</v>
      </c>
      <c r="BL27" s="356"/>
      <c r="BM27" s="130">
        <f>IFERROR(VLOOKUP($O27,'Table 3 ID Wind wS_2032'!$B$10:$K$38,10,FALSE),0)</f>
        <v>165.62615894039737</v>
      </c>
      <c r="BN27" s="130">
        <f>IFERROR(VLOOKUP($O27,'Table 3 PV wS YK_2024'!$B$10:$K$40,10,FALSE),0)</f>
        <v>119.94</v>
      </c>
      <c r="BO27" s="356"/>
      <c r="BP27" s="130">
        <f>IFERROR(VLOOKUP($O27,'Table 3 PV wS SO_2024'!$B$10:$K$40,10,FALSE),0)</f>
        <v>119.52000000000001</v>
      </c>
      <c r="BQ27" s="356"/>
      <c r="BR27" s="130">
        <f>IFERROR(VLOOKUP($O27,'Table 3 PV wS UTN_2024'!$B$10:$K$43,10,FALSE),0)</f>
        <v>118.49999999999999</v>
      </c>
      <c r="BS27" s="130">
        <f>IFERROR(VLOOKUP($O27,'Table 3 PV wS JB_2024'!$B$10:$K$40,10,FALSE),0)</f>
        <v>115.07</v>
      </c>
      <c r="BT27" s="130">
        <f>IFERROR(VLOOKUP($O27,'Table 3 PV wS JB_2029'!$B$10:$K$40,10,FALSE),0)</f>
        <v>105.65</v>
      </c>
      <c r="BU27" s="356"/>
      <c r="BV27" s="130">
        <f>IFERROR(VLOOKUP($O27,'Table 3 PV wS UTS_2024'!$B$10:$K$38,10,FALSE),0)</f>
        <v>117.11999999999999</v>
      </c>
      <c r="BW27" s="130">
        <f>IFERROR(VLOOKUP($O27,'Table 3 PV wS UTS_2030'!$B$10:$K$38,10,FALSE),0)</f>
        <v>150.70999999999998</v>
      </c>
      <c r="BX27" s="355"/>
      <c r="BY27" s="130">
        <f>IFERROR(VLOOKUP($O27,'Table 3 185 MW (NTN) 2026)'!$B$13:$L$40,11,FALSE),0)</f>
        <v>136.53</v>
      </c>
      <c r="CD27">
        <f>SUM(AL$13:AL27)*BH27/1000</f>
        <v>0</v>
      </c>
      <c r="CE27">
        <f>SUM(AM$13:AM27)*BI27/1000</f>
        <v>0</v>
      </c>
      <c r="CF27">
        <f>SUM(AN$13:AN27)*BJ27/1000</f>
        <v>0</v>
      </c>
      <c r="CG27">
        <f>SUM(AO$13:AO27)*BK27/1000</f>
        <v>0</v>
      </c>
      <c r="CH27">
        <f>SUM(AP$13:AP27)*BL27/1000</f>
        <v>0</v>
      </c>
      <c r="CI27">
        <f>SUM(AQ$13:AQ27)*BM27/1000</f>
        <v>0</v>
      </c>
      <c r="CJ27">
        <f>SUM(AR$13:AR27)*BN27/1000</f>
        <v>0</v>
      </c>
      <c r="CK27">
        <f>SUM(AS$13:AS27)*BO27/1000</f>
        <v>0</v>
      </c>
      <c r="CL27">
        <f>SUM(AT$13:AT27)*BP27/1000</f>
        <v>0</v>
      </c>
      <c r="CM27">
        <f>SUM(AU$13:AU27)*BQ27/1000</f>
        <v>0</v>
      </c>
      <c r="CN27">
        <f>SUM(AV$13:AV27)*BR27/1000</f>
        <v>0</v>
      </c>
      <c r="CO27">
        <f>SUM(AW$13:AW27)*BS27/1000</f>
        <v>0</v>
      </c>
      <c r="CP27">
        <f>SUM(AX$13:AX27)*BT27/1000</f>
        <v>0</v>
      </c>
      <c r="CQ27">
        <f>SUM(AY$13:AY27)*BU27/1000</f>
        <v>0</v>
      </c>
      <c r="CR27">
        <f>SUM(AZ$13:AZ27)*BV27/1000</f>
        <v>3.3592800568418437</v>
      </c>
      <c r="CS27">
        <f>SUM(BA$13:BA27)*BW27/1000</f>
        <v>0</v>
      </c>
      <c r="CT27">
        <f>SUM(BB$13:BB27)*BX27/1000</f>
        <v>0</v>
      </c>
      <c r="CU27">
        <f>SUM(BC$13:BC27)*BY27/1000</f>
        <v>0</v>
      </c>
      <c r="CV27">
        <f>SUM(BD$13:BD27)*BZ27/1000</f>
        <v>0</v>
      </c>
      <c r="CW27">
        <f>SUM(BE$13:BE27)*CA27/1000</f>
        <v>0</v>
      </c>
      <c r="CX27">
        <f>SUM(BF$13:BF27)*CB27/1000</f>
        <v>0</v>
      </c>
      <c r="CY27">
        <f t="shared" si="43"/>
        <v>3.3592800568418437</v>
      </c>
      <c r="DA27">
        <f t="shared" si="37"/>
        <v>2035</v>
      </c>
      <c r="DB27" s="89">
        <f>IFERROR(VLOOKUP($DA27,'Table 3 TransCost'!$B$10:$E$40,4,FALSE),0)</f>
        <v>61.32</v>
      </c>
      <c r="DC27" s="174">
        <f t="shared" si="41"/>
        <v>0</v>
      </c>
    </row>
    <row r="28" spans="2:107" hidden="1">
      <c r="B28" s="15">
        <f t="shared" si="38"/>
        <v>2036</v>
      </c>
      <c r="C28" s="9">
        <f t="shared" si="17"/>
        <v>42.955445655120954</v>
      </c>
      <c r="D28" s="45"/>
      <c r="E28" s="9">
        <f t="shared" ca="1" si="39"/>
        <v>12.284920139600489</v>
      </c>
      <c r="F28" s="37"/>
      <c r="G28" s="14">
        <f t="shared" ca="1" si="42"/>
        <v>28.664499591232282</v>
      </c>
      <c r="H28" s="36"/>
      <c r="I28" s="174"/>
      <c r="J28" s="174"/>
      <c r="M28" s="112"/>
      <c r="O28">
        <f t="shared" si="18"/>
        <v>2036</v>
      </c>
      <c r="P28">
        <v>0</v>
      </c>
      <c r="Q28">
        <v>0</v>
      </c>
      <c r="R28">
        <v>0</v>
      </c>
      <c r="S28" s="354">
        <v>0</v>
      </c>
      <c r="T28" s="354">
        <v>0</v>
      </c>
      <c r="U28" s="174">
        <v>0</v>
      </c>
      <c r="V28" s="354">
        <v>0</v>
      </c>
      <c r="W28" s="354">
        <v>0</v>
      </c>
      <c r="X28" s="354">
        <v>0</v>
      </c>
      <c r="Y28" s="354">
        <v>0</v>
      </c>
      <c r="Z28" s="354">
        <v>0</v>
      </c>
      <c r="AA28" s="354">
        <v>0</v>
      </c>
      <c r="AB28" s="354">
        <v>0</v>
      </c>
      <c r="AC28" s="354">
        <v>0</v>
      </c>
      <c r="AD28" s="354">
        <v>0</v>
      </c>
      <c r="AE28" s="354">
        <v>0</v>
      </c>
      <c r="AF28" s="354">
        <v>0</v>
      </c>
      <c r="AG28" s="354">
        <v>0</v>
      </c>
      <c r="AL28">
        <f t="shared" si="19"/>
        <v>0</v>
      </c>
      <c r="AM28">
        <f t="shared" si="19"/>
        <v>0</v>
      </c>
      <c r="AN28">
        <f t="shared" si="20"/>
        <v>0</v>
      </c>
      <c r="AO28">
        <f t="shared" si="21"/>
        <v>0</v>
      </c>
      <c r="AP28">
        <f t="shared" si="22"/>
        <v>0</v>
      </c>
      <c r="AQ28">
        <f t="shared" si="23"/>
        <v>0</v>
      </c>
      <c r="AR28">
        <f t="shared" si="24"/>
        <v>0</v>
      </c>
      <c r="AS28">
        <f t="shared" si="25"/>
        <v>0</v>
      </c>
      <c r="AT28">
        <f t="shared" si="26"/>
        <v>0</v>
      </c>
      <c r="AU28">
        <f t="shared" si="27"/>
        <v>0</v>
      </c>
      <c r="AV28">
        <f t="shared" si="28"/>
        <v>0</v>
      </c>
      <c r="AW28">
        <f t="shared" si="29"/>
        <v>0</v>
      </c>
      <c r="AX28">
        <f t="shared" si="30"/>
        <v>0</v>
      </c>
      <c r="AY28">
        <f t="shared" si="31"/>
        <v>0</v>
      </c>
      <c r="AZ28">
        <f t="shared" si="32"/>
        <v>0</v>
      </c>
      <c r="BA28">
        <f t="shared" si="33"/>
        <v>0</v>
      </c>
      <c r="BB28">
        <f t="shared" si="34"/>
        <v>0</v>
      </c>
      <c r="BC28">
        <f t="shared" si="35"/>
        <v>0</v>
      </c>
      <c r="BG28">
        <f t="shared" si="40"/>
        <v>2036</v>
      </c>
      <c r="BH28" s="130">
        <f>IFERROR(VLOOKUP($O28,'Table 3 ID Wind_2030'!$B$10:$K$37,10,FALSE),0)</f>
        <v>156.16950750288572</v>
      </c>
      <c r="BI28" s="130">
        <f>IFERROR(VLOOKUP($O28,'Table 3 UT CP Wind_2023'!$B$10:$K$37,10,FALSE),0)</f>
        <v>161.96782608695653</v>
      </c>
      <c r="BJ28" s="130">
        <f>IFERROR(VLOOKUP($O28,'Table 3 WYAE Wind_2024'!$B$10:$L$37,11,FALSE),0)</f>
        <v>219.15979166666665</v>
      </c>
      <c r="BK28" s="130">
        <f>IFERROR(VLOOKUP($O28,'Table 3 YK Wind wS_2029'!$B$10:$K$37,10,FALSE),0)</f>
        <v>167.99367346938777</v>
      </c>
      <c r="BL28" s="356"/>
      <c r="BM28" s="130">
        <f>IFERROR(VLOOKUP($O28,'Table 3 ID Wind wS_2032'!$B$10:$K$38,10,FALSE),0)</f>
        <v>169.42185430463576</v>
      </c>
      <c r="BN28" s="130">
        <f>IFERROR(VLOOKUP($O28,'Table 3 PV wS YK_2024'!$B$10:$K$40,10,FALSE),0)</f>
        <v>122.7</v>
      </c>
      <c r="BO28" s="356"/>
      <c r="BP28" s="130">
        <f>IFERROR(VLOOKUP($O28,'Table 3 PV wS SO_2024'!$B$10:$K$40,10,FALSE),0)</f>
        <v>122.27000000000001</v>
      </c>
      <c r="BQ28" s="356"/>
      <c r="BR28" s="130">
        <f>IFERROR(VLOOKUP($O28,'Table 3 PV wS UTN_2024'!$B$10:$K$43,10,FALSE),0)</f>
        <v>121.22999999999999</v>
      </c>
      <c r="BS28" s="130">
        <f>IFERROR(VLOOKUP($O28,'Table 3 PV wS JB_2024'!$B$10:$K$40,10,FALSE),0)</f>
        <v>117.72</v>
      </c>
      <c r="BT28" s="130">
        <f>IFERROR(VLOOKUP($O28,'Table 3 PV wS JB_2029'!$B$10:$K$40,10,FALSE),0)</f>
        <v>108.08000000000001</v>
      </c>
      <c r="BU28" s="356"/>
      <c r="BV28" s="130">
        <f>IFERROR(VLOOKUP($O28,'Table 3 PV wS UTS_2024'!$B$10:$K$38,10,FALSE),0)</f>
        <v>119.80999999999999</v>
      </c>
      <c r="BW28" s="130">
        <f>IFERROR(VLOOKUP($O28,'Table 3 PV wS UTS_2030'!$B$10:$K$38,10,FALSE),0)</f>
        <v>154.17999999999998</v>
      </c>
      <c r="BX28" s="355"/>
      <c r="BY28" s="130">
        <f>IFERROR(VLOOKUP($O28,'Table 3 185 MW (NTN) 2026)'!$B$13:$L$40,11,FALSE),0)</f>
        <v>139.63999999999999</v>
      </c>
      <c r="CD28">
        <f>SUM(AL$13:AL28)*BH28/1000</f>
        <v>0</v>
      </c>
      <c r="CE28">
        <f>SUM(AM$13:AM28)*BI28/1000</f>
        <v>0</v>
      </c>
      <c r="CF28">
        <f>SUM(AN$13:AN28)*BJ28/1000</f>
        <v>0</v>
      </c>
      <c r="CG28">
        <f>SUM(AO$13:AO28)*BK28/1000</f>
        <v>0</v>
      </c>
      <c r="CH28">
        <f>SUM(AP$13:AP28)*BL28/1000</f>
        <v>0</v>
      </c>
      <c r="CI28">
        <f>SUM(AQ$13:AQ28)*BM28/1000</f>
        <v>0</v>
      </c>
      <c r="CJ28">
        <f>SUM(AR$13:AR28)*BN28/1000</f>
        <v>0</v>
      </c>
      <c r="CK28">
        <f>SUM(AS$13:AS28)*BO28/1000</f>
        <v>0</v>
      </c>
      <c r="CL28">
        <f>SUM(AT$13:AT28)*BP28/1000</f>
        <v>0</v>
      </c>
      <c r="CM28">
        <f>SUM(AU$13:AU28)*BQ28/1000</f>
        <v>0</v>
      </c>
      <c r="CN28">
        <f>SUM(AV$13:AV28)*BR28/1000</f>
        <v>0</v>
      </c>
      <c r="CO28">
        <f>SUM(AW$13:AW28)*BS28/1000</f>
        <v>0</v>
      </c>
      <c r="CP28">
        <f>SUM(AX$13:AX28)*BT28/1000</f>
        <v>0</v>
      </c>
      <c r="CQ28">
        <f>SUM(AY$13:AY28)*BU28/1000</f>
        <v>0</v>
      </c>
      <c r="CR28">
        <f>SUM(AZ$13:AZ28)*BV28/1000</f>
        <v>3.4364356524096764</v>
      </c>
      <c r="CS28">
        <f>SUM(BA$13:BA28)*BW28/1000</f>
        <v>0</v>
      </c>
      <c r="CT28">
        <f>SUM(BB$13:BB28)*BX28/1000</f>
        <v>0</v>
      </c>
      <c r="CU28">
        <f>SUM(BC$13:BC28)*BY28/1000</f>
        <v>0</v>
      </c>
      <c r="CV28">
        <f>SUM(BD$13:BD28)*BZ28/1000</f>
        <v>0</v>
      </c>
      <c r="CW28">
        <f>SUM(BE$13:BE28)*CA28/1000</f>
        <v>0</v>
      </c>
      <c r="CX28">
        <f>SUM(BF$13:BF28)*CB28/1000</f>
        <v>0</v>
      </c>
      <c r="CY28">
        <f t="shared" si="43"/>
        <v>3.4364356524096764</v>
      </c>
      <c r="DA28">
        <f t="shared" si="37"/>
        <v>2036</v>
      </c>
      <c r="DB28" s="89">
        <f>IFERROR(VLOOKUP($DA28,'Table 3 TransCost'!$B$10:$E$40,4,FALSE),0)</f>
        <v>62.73</v>
      </c>
      <c r="DC28" s="174">
        <f t="shared" si="41"/>
        <v>0</v>
      </c>
    </row>
    <row r="29" spans="2:107" hidden="1">
      <c r="B29" s="15">
        <f t="shared" si="38"/>
        <v>2037</v>
      </c>
      <c r="C29" s="9">
        <f t="shared" si="17"/>
        <v>43.944987680061566</v>
      </c>
      <c r="D29" s="45"/>
      <c r="E29" s="9">
        <f t="shared" ca="1" si="39"/>
        <v>12.846824690032562</v>
      </c>
      <c r="F29" s="37"/>
      <c r="G29" s="14">
        <f t="shared" ca="1" si="42"/>
        <v>29.733295316991299</v>
      </c>
      <c r="H29" s="36"/>
      <c r="I29" s="174"/>
      <c r="J29" s="174"/>
      <c r="M29" s="112"/>
      <c r="O29">
        <f t="shared" si="18"/>
        <v>2037</v>
      </c>
      <c r="P29">
        <v>0</v>
      </c>
      <c r="Q29">
        <v>0</v>
      </c>
      <c r="R29">
        <v>0</v>
      </c>
      <c r="S29" s="354">
        <v>0</v>
      </c>
      <c r="T29" s="354">
        <v>0</v>
      </c>
      <c r="U29" s="174">
        <v>0</v>
      </c>
      <c r="V29" s="354">
        <v>0</v>
      </c>
      <c r="W29" s="354">
        <v>0</v>
      </c>
      <c r="X29" s="354">
        <v>0</v>
      </c>
      <c r="Y29" s="354">
        <v>0</v>
      </c>
      <c r="Z29" s="354">
        <v>0</v>
      </c>
      <c r="AA29" s="354">
        <v>0</v>
      </c>
      <c r="AB29" s="354">
        <v>0</v>
      </c>
      <c r="AC29" s="354">
        <v>0</v>
      </c>
      <c r="AD29" s="354">
        <v>0</v>
      </c>
      <c r="AE29" s="354">
        <v>0</v>
      </c>
      <c r="AF29" s="354">
        <v>0</v>
      </c>
      <c r="AG29" s="354">
        <v>0</v>
      </c>
      <c r="AL29">
        <f t="shared" si="19"/>
        <v>0</v>
      </c>
      <c r="AM29">
        <f t="shared" si="19"/>
        <v>0</v>
      </c>
      <c r="AN29">
        <f t="shared" si="20"/>
        <v>0</v>
      </c>
      <c r="AO29">
        <f t="shared" si="21"/>
        <v>0</v>
      </c>
      <c r="AP29">
        <f t="shared" si="22"/>
        <v>0</v>
      </c>
      <c r="AQ29">
        <f t="shared" si="23"/>
        <v>0</v>
      </c>
      <c r="AR29">
        <f t="shared" si="24"/>
        <v>0</v>
      </c>
      <c r="AS29">
        <f t="shared" si="25"/>
        <v>0</v>
      </c>
      <c r="AT29">
        <f t="shared" si="26"/>
        <v>0</v>
      </c>
      <c r="AU29">
        <f t="shared" si="27"/>
        <v>0</v>
      </c>
      <c r="AV29">
        <f t="shared" si="28"/>
        <v>0</v>
      </c>
      <c r="AW29">
        <f t="shared" si="29"/>
        <v>0</v>
      </c>
      <c r="AX29">
        <f t="shared" si="30"/>
        <v>0</v>
      </c>
      <c r="AY29">
        <f t="shared" si="31"/>
        <v>0</v>
      </c>
      <c r="AZ29">
        <f t="shared" si="32"/>
        <v>0</v>
      </c>
      <c r="BA29">
        <f t="shared" si="33"/>
        <v>0</v>
      </c>
      <c r="BB29">
        <f t="shared" si="34"/>
        <v>0</v>
      </c>
      <c r="BC29">
        <f t="shared" si="35"/>
        <v>0</v>
      </c>
      <c r="BG29">
        <f t="shared" si="40"/>
        <v>2037</v>
      </c>
      <c r="BH29" s="130">
        <f>IFERROR(VLOOKUP($O29,'Table 3 ID Wind_2030'!$B$10:$K$37,10,FALSE),0)</f>
        <v>159.7496921893036</v>
      </c>
      <c r="BI29" s="130">
        <f>IFERROR(VLOOKUP($O29,'Table 3 UT CP Wind_2023'!$B$10:$K$37,10,FALSE),0)</f>
        <v>165.68333333333334</v>
      </c>
      <c r="BJ29" s="130">
        <f>IFERROR(VLOOKUP($O29,'Table 3 WYAE Wind_2024'!$B$10:$L$37,11,FALSE),0)</f>
        <v>224.18</v>
      </c>
      <c r="BK29" s="130">
        <f>IFERROR(VLOOKUP($O29,'Table 3 YK Wind wS_2029'!$B$10:$K$37,10,FALSE),0)</f>
        <v>171.89795918367346</v>
      </c>
      <c r="BL29" s="356"/>
      <c r="BM29" s="130">
        <f>IFERROR(VLOOKUP($O29,'Table 3 ID Wind wS_2032'!$B$10:$K$38,10,FALSE),0)</f>
        <v>173.33066225165564</v>
      </c>
      <c r="BN29" s="130">
        <f>IFERROR(VLOOKUP($O29,'Table 3 PV wS YK_2024'!$B$10:$K$40,10,FALSE),0)</f>
        <v>125.52</v>
      </c>
      <c r="BO29" s="356"/>
      <c r="BP29" s="130">
        <f>IFERROR(VLOOKUP($O29,'Table 3 PV wS SO_2024'!$B$10:$K$40,10,FALSE),0)</f>
        <v>125.09</v>
      </c>
      <c r="BQ29" s="356"/>
      <c r="BR29" s="130">
        <f>IFERROR(VLOOKUP($O29,'Table 3 PV wS UTN_2024'!$B$10:$K$43,10,FALSE),0)</f>
        <v>124.02</v>
      </c>
      <c r="BS29" s="130">
        <f>IFERROR(VLOOKUP($O29,'Table 3 PV wS JB_2024'!$B$10:$K$40,10,FALSE),0)</f>
        <v>120.43</v>
      </c>
      <c r="BT29" s="130">
        <f>IFERROR(VLOOKUP($O29,'Table 3 PV wS JB_2029'!$B$10:$K$40,10,FALSE),0)</f>
        <v>110.57</v>
      </c>
      <c r="BU29" s="356"/>
      <c r="BV29" s="130">
        <f>IFERROR(VLOOKUP($O29,'Table 3 PV wS UTS_2024'!$B$10:$K$38,10,FALSE),0)</f>
        <v>122.57000000000001</v>
      </c>
      <c r="BW29" s="130">
        <f>IFERROR(VLOOKUP($O29,'Table 3 PV wS UTS_2030'!$B$10:$K$38,10,FALSE),0)</f>
        <v>157.73000000000002</v>
      </c>
      <c r="BX29" s="355"/>
      <c r="BY29" s="130">
        <f>IFERROR(VLOOKUP($O29,'Table 3 185 MW (NTN) 2026)'!$B$13:$L$40,11,FALSE),0)</f>
        <v>142.85</v>
      </c>
      <c r="CD29">
        <f>SUM(AL$13:AL29)*BH29/1000</f>
        <v>0</v>
      </c>
      <c r="CE29">
        <f>SUM(AM$13:AM29)*BI29/1000</f>
        <v>0</v>
      </c>
      <c r="CF29">
        <f>SUM(AN$13:AN29)*BJ29/1000</f>
        <v>0</v>
      </c>
      <c r="CG29">
        <f>SUM(AO$13:AO29)*BK29/1000</f>
        <v>0</v>
      </c>
      <c r="CH29">
        <f>SUM(AP$13:AP29)*BL29/1000</f>
        <v>0</v>
      </c>
      <c r="CI29">
        <f>SUM(AQ$13:AQ29)*BM29/1000</f>
        <v>0</v>
      </c>
      <c r="CJ29">
        <f>SUM(AR$13:AR29)*BN29/1000</f>
        <v>0</v>
      </c>
      <c r="CK29">
        <f>SUM(AS$13:AS29)*BO29/1000</f>
        <v>0</v>
      </c>
      <c r="CL29">
        <f>SUM(AT$13:AT29)*BP29/1000</f>
        <v>0</v>
      </c>
      <c r="CM29">
        <f>SUM(AU$13:AU29)*BQ29/1000</f>
        <v>0</v>
      </c>
      <c r="CN29">
        <f>SUM(AV$13:AV29)*BR29/1000</f>
        <v>0</v>
      </c>
      <c r="CO29">
        <f>SUM(AW$13:AW29)*BS29/1000</f>
        <v>0</v>
      </c>
      <c r="CP29">
        <f>SUM(AX$13:AX29)*BT29/1000</f>
        <v>0</v>
      </c>
      <c r="CQ29">
        <f>SUM(AY$13:AY29)*BU29/1000</f>
        <v>0</v>
      </c>
      <c r="CR29">
        <f>SUM(AZ$13:AZ29)*BV29/1000</f>
        <v>3.5155990144049252</v>
      </c>
      <c r="CS29">
        <f>SUM(BA$13:BA29)*BW29/1000</f>
        <v>0</v>
      </c>
      <c r="CT29">
        <f>SUM(BB$13:BB29)*BX29/1000</f>
        <v>0</v>
      </c>
      <c r="CU29">
        <f>SUM(BC$13:BC29)*BY29/1000</f>
        <v>0</v>
      </c>
      <c r="CV29">
        <f>SUM(BD$13:BD29)*BZ29/1000</f>
        <v>0</v>
      </c>
      <c r="CW29">
        <f>SUM(BE$13:BE29)*CA29/1000</f>
        <v>0</v>
      </c>
      <c r="CX29">
        <f>SUM(BF$13:BF29)*CB29/1000</f>
        <v>0</v>
      </c>
      <c r="CY29">
        <f t="shared" si="43"/>
        <v>3.5155990144049252</v>
      </c>
      <c r="DA29">
        <f t="shared" si="37"/>
        <v>2037</v>
      </c>
      <c r="DB29" s="89">
        <f>IFERROR(VLOOKUP($DA29,'Table 3 TransCost'!$B$10:$E$40,4,FALSE),0)</f>
        <v>64.17</v>
      </c>
      <c r="DC29" s="174">
        <f t="shared" si="41"/>
        <v>0</v>
      </c>
    </row>
    <row r="30" spans="2:107" hidden="1">
      <c r="B30" s="15">
        <f t="shared" si="38"/>
        <v>2038</v>
      </c>
      <c r="C30" s="9">
        <f t="shared" si="17"/>
        <v>44.959626785344867</v>
      </c>
      <c r="D30" s="45"/>
      <c r="E30" s="9">
        <f t="shared" ca="1" si="39"/>
        <v>14.186350957503087</v>
      </c>
      <c r="F30" s="37"/>
      <c r="G30" s="14">
        <f t="shared" ca="1" si="42"/>
        <v>31.549526559899594</v>
      </c>
      <c r="H30" s="36"/>
      <c r="I30" s="174"/>
      <c r="J30" s="174"/>
      <c r="M30" s="112"/>
      <c r="O30">
        <f t="shared" si="18"/>
        <v>2038</v>
      </c>
      <c r="P30">
        <v>0</v>
      </c>
      <c r="Q30">
        <v>0</v>
      </c>
      <c r="R30">
        <v>0</v>
      </c>
      <c r="S30" s="354">
        <v>0</v>
      </c>
      <c r="T30" s="354">
        <v>0</v>
      </c>
      <c r="U30" s="174">
        <v>0</v>
      </c>
      <c r="V30" s="354">
        <v>0</v>
      </c>
      <c r="W30" s="354">
        <v>0</v>
      </c>
      <c r="X30" s="354">
        <v>0</v>
      </c>
      <c r="Y30" s="354">
        <v>0</v>
      </c>
      <c r="Z30" s="354">
        <v>0</v>
      </c>
      <c r="AA30" s="354">
        <v>0</v>
      </c>
      <c r="AB30" s="354">
        <v>0</v>
      </c>
      <c r="AC30" s="354">
        <v>0</v>
      </c>
      <c r="AD30" s="354">
        <v>0</v>
      </c>
      <c r="AE30" s="354">
        <v>0</v>
      </c>
      <c r="AF30" s="354">
        <v>0</v>
      </c>
      <c r="AG30" s="354">
        <v>0</v>
      </c>
      <c r="AL30">
        <f t="shared" si="19"/>
        <v>0</v>
      </c>
      <c r="AM30">
        <f t="shared" si="19"/>
        <v>0</v>
      </c>
      <c r="AN30">
        <f t="shared" si="20"/>
        <v>0</v>
      </c>
      <c r="AO30">
        <f t="shared" si="21"/>
        <v>0</v>
      </c>
      <c r="AP30">
        <f t="shared" si="22"/>
        <v>0</v>
      </c>
      <c r="AQ30">
        <f t="shared" si="23"/>
        <v>0</v>
      </c>
      <c r="AR30">
        <f t="shared" si="24"/>
        <v>0</v>
      </c>
      <c r="AS30">
        <f t="shared" si="25"/>
        <v>0</v>
      </c>
      <c r="AT30">
        <f t="shared" si="26"/>
        <v>0</v>
      </c>
      <c r="AU30">
        <f t="shared" si="27"/>
        <v>0</v>
      </c>
      <c r="AV30">
        <f t="shared" si="28"/>
        <v>0</v>
      </c>
      <c r="AW30">
        <f t="shared" si="29"/>
        <v>0</v>
      </c>
      <c r="AX30">
        <f t="shared" si="30"/>
        <v>0</v>
      </c>
      <c r="AY30">
        <f t="shared" si="31"/>
        <v>0</v>
      </c>
      <c r="AZ30">
        <f t="shared" si="32"/>
        <v>0</v>
      </c>
      <c r="BA30">
        <f t="shared" si="33"/>
        <v>0</v>
      </c>
      <c r="BB30">
        <f t="shared" si="34"/>
        <v>0</v>
      </c>
      <c r="BC30">
        <f t="shared" si="35"/>
        <v>0</v>
      </c>
      <c r="BG30">
        <f t="shared" si="40"/>
        <v>2038</v>
      </c>
      <c r="BH30" s="130">
        <f>IFERROR(VLOOKUP($O30,'Table 3 ID Wind_2030'!$B$10:$K$37,10,FALSE),0)</f>
        <v>163.42065794536359</v>
      </c>
      <c r="BI30" s="130">
        <f>IFERROR(VLOOKUP($O30,'Table 3 UT CP Wind_2023'!$B$10:$K$37,10,FALSE),0)</f>
        <v>169.48782608695652</v>
      </c>
      <c r="BJ30" s="130">
        <f>IFERROR(VLOOKUP($O30,'Table 3 WYAE Wind_2024'!$B$10:$L$37,11,FALSE),0)</f>
        <v>229.32989583333332</v>
      </c>
      <c r="BK30" s="130">
        <f>IFERROR(VLOOKUP($O30,'Table 3 YK Wind wS_2029'!$B$10:$K$37,10,FALSE),0)</f>
        <v>175.87224489795918</v>
      </c>
      <c r="BL30" s="356"/>
      <c r="BM30" s="130">
        <f>IFERROR(VLOOKUP($O30,'Table 3 ID Wind wS_2032'!$B$10:$K$38,10,FALSE),0)</f>
        <v>177.30947019867548</v>
      </c>
      <c r="BN30" s="130">
        <f>IFERROR(VLOOKUP($O30,'Table 3 PV wS YK_2024'!$B$10:$K$40,10,FALSE),0)</f>
        <v>128.41</v>
      </c>
      <c r="BO30" s="356"/>
      <c r="BP30" s="130">
        <f>IFERROR(VLOOKUP($O30,'Table 3 PV wS SO_2024'!$B$10:$K$40,10,FALSE),0)</f>
        <v>127.97</v>
      </c>
      <c r="BQ30" s="356"/>
      <c r="BR30" s="130">
        <f>IFERROR(VLOOKUP($O30,'Table 3 PV wS UTN_2024'!$B$10:$K$43,10,FALSE),0)</f>
        <v>126.88000000000001</v>
      </c>
      <c r="BS30" s="130">
        <f>IFERROR(VLOOKUP($O30,'Table 3 PV wS JB_2024'!$B$10:$K$40,10,FALSE),0)</f>
        <v>123.2</v>
      </c>
      <c r="BT30" s="130">
        <f>IFERROR(VLOOKUP($O30,'Table 3 PV wS JB_2029'!$B$10:$K$40,10,FALSE),0)</f>
        <v>113.12</v>
      </c>
      <c r="BU30" s="356"/>
      <c r="BV30" s="130">
        <f>IFERROR(VLOOKUP($O30,'Table 3 PV wS UTS_2024'!$B$10:$K$38,10,FALSE),0)</f>
        <v>125.4</v>
      </c>
      <c r="BW30" s="130">
        <f>IFERROR(VLOOKUP($O30,'Table 3 PV wS UTS_2030'!$B$10:$K$38,10,FALSE),0)</f>
        <v>161.36000000000001</v>
      </c>
      <c r="BX30" s="355"/>
      <c r="BY30" s="130">
        <f>IFERROR(VLOOKUP($O30,'Table 3 185 MW (NTN) 2026)'!$B$13:$L$40,11,FALSE),0)</f>
        <v>146.13999999999999</v>
      </c>
      <c r="CD30">
        <f>SUM(AL$13:AL30)*BH30/1000</f>
        <v>0</v>
      </c>
      <c r="CE30">
        <f>SUM(AM$13:AM30)*BI30/1000</f>
        <v>0</v>
      </c>
      <c r="CF30">
        <f>SUM(AN$13:AN30)*BJ30/1000</f>
        <v>0</v>
      </c>
      <c r="CG30">
        <f>SUM(AO$13:AO30)*BK30/1000</f>
        <v>0</v>
      </c>
      <c r="CH30">
        <f>SUM(AP$13:AP30)*BL30/1000</f>
        <v>0</v>
      </c>
      <c r="CI30">
        <f>SUM(AQ$13:AQ30)*BM30/1000</f>
        <v>0</v>
      </c>
      <c r="CJ30">
        <f>SUM(AR$13:AR30)*BN30/1000</f>
        <v>0</v>
      </c>
      <c r="CK30">
        <f>SUM(AS$13:AS30)*BO30/1000</f>
        <v>0</v>
      </c>
      <c r="CL30">
        <f>SUM(AT$13:AT30)*BP30/1000</f>
        <v>0</v>
      </c>
      <c r="CM30">
        <f>SUM(AU$13:AU30)*BQ30/1000</f>
        <v>0</v>
      </c>
      <c r="CN30">
        <f>SUM(AV$13:AV30)*BR30/1000</f>
        <v>0</v>
      </c>
      <c r="CO30">
        <f>SUM(AW$13:AW30)*BS30/1000</f>
        <v>0</v>
      </c>
      <c r="CP30">
        <f>SUM(AX$13:AX30)*BT30/1000</f>
        <v>0</v>
      </c>
      <c r="CQ30">
        <f>SUM(AY$13:AY30)*BU30/1000</f>
        <v>0</v>
      </c>
      <c r="CR30">
        <f>SUM(AZ$13:AZ30)*BV30/1000</f>
        <v>3.5967701428275891</v>
      </c>
      <c r="CS30">
        <f>SUM(BA$13:BA30)*BW30/1000</f>
        <v>0</v>
      </c>
      <c r="CT30">
        <f>SUM(BB$13:BB30)*BX30/1000</f>
        <v>0</v>
      </c>
      <c r="CU30">
        <f>SUM(BC$13:BC30)*BY30/1000</f>
        <v>0</v>
      </c>
      <c r="CV30">
        <f>SUM(BD$13:BD30)*BZ30/1000</f>
        <v>0</v>
      </c>
      <c r="CW30">
        <f>SUM(BE$13:BE30)*CA30/1000</f>
        <v>0</v>
      </c>
      <c r="CX30">
        <f>SUM(BF$13:BF30)*CB30/1000</f>
        <v>0</v>
      </c>
      <c r="CY30">
        <f t="shared" si="43"/>
        <v>3.5967701428275891</v>
      </c>
      <c r="DA30">
        <f t="shared" si="37"/>
        <v>2038</v>
      </c>
      <c r="DB30" s="89">
        <f>IFERROR(VLOOKUP($DA30,'Table 3 TransCost'!$B$10:$E$40,4,FALSE),0)</f>
        <v>65.650000000000006</v>
      </c>
      <c r="DC30" s="174">
        <f t="shared" si="41"/>
        <v>0</v>
      </c>
    </row>
    <row r="31" spans="2:107" hidden="1">
      <c r="B31" s="15">
        <f t="shared" si="38"/>
        <v>2039</v>
      </c>
      <c r="C31" s="9">
        <f t="shared" si="17"/>
        <v>45.995777673779052</v>
      </c>
      <c r="D31" s="45"/>
      <c r="E31" s="9" t="e">
        <f t="shared" ca="1" si="39"/>
        <v>#DIV/0!</v>
      </c>
      <c r="F31" s="37"/>
      <c r="G31" s="14" t="e">
        <f t="shared" ca="1" si="42"/>
        <v>#DIV/0!</v>
      </c>
      <c r="H31" s="36"/>
      <c r="I31" s="174"/>
      <c r="J31" s="174"/>
      <c r="M31" s="112"/>
      <c r="O31">
        <f t="shared" si="18"/>
        <v>2039</v>
      </c>
      <c r="P31">
        <v>0</v>
      </c>
      <c r="Q31">
        <v>0</v>
      </c>
      <c r="R31">
        <v>0</v>
      </c>
      <c r="S31" s="354">
        <v>0</v>
      </c>
      <c r="T31" s="354">
        <v>0</v>
      </c>
      <c r="U31" s="174">
        <v>0</v>
      </c>
      <c r="V31" s="354">
        <v>0</v>
      </c>
      <c r="W31" s="354">
        <v>0</v>
      </c>
      <c r="X31" s="354">
        <v>0</v>
      </c>
      <c r="Y31" s="354">
        <v>0</v>
      </c>
      <c r="Z31" s="354">
        <v>0</v>
      </c>
      <c r="AA31" s="354">
        <v>0</v>
      </c>
      <c r="AB31" s="354">
        <v>0</v>
      </c>
      <c r="AC31" s="354">
        <v>0</v>
      </c>
      <c r="AD31" s="354">
        <v>0</v>
      </c>
      <c r="AE31" s="354">
        <v>0</v>
      </c>
      <c r="AF31" s="354">
        <v>0</v>
      </c>
      <c r="AG31" s="354">
        <v>0</v>
      </c>
      <c r="AL31">
        <f t="shared" ref="AL31:AL32" si="44">P31/P$5</f>
        <v>0</v>
      </c>
      <c r="AM31">
        <f t="shared" ref="AM31:AM38" si="45">Q31/Q$5</f>
        <v>0</v>
      </c>
      <c r="AN31">
        <f t="shared" ref="AN31:AN38" si="46">R31/R$5</f>
        <v>0</v>
      </c>
      <c r="AO31">
        <f t="shared" ref="AO31:AO38" si="47">S31/S$5</f>
        <v>0</v>
      </c>
      <c r="AP31">
        <f t="shared" ref="AP31:AP38" si="48">T31/T$5</f>
        <v>0</v>
      </c>
      <c r="AQ31">
        <f t="shared" ref="AQ31:AQ38" si="49">U31/U$5</f>
        <v>0</v>
      </c>
      <c r="AR31">
        <f t="shared" ref="AR31:AR38" si="50">V31/V$5</f>
        <v>0</v>
      </c>
      <c r="AS31">
        <f t="shared" ref="AS31:AS38" si="51">W31/W$5</f>
        <v>0</v>
      </c>
      <c r="AT31">
        <f t="shared" ref="AT31:AT38" si="52">X31/X$5</f>
        <v>0</v>
      </c>
      <c r="AU31">
        <f t="shared" ref="AU31:AU38" si="53">Y31/Y$5</f>
        <v>0</v>
      </c>
      <c r="AV31">
        <f t="shared" ref="AV31:AV38" si="54">Z31/Z$5</f>
        <v>0</v>
      </c>
      <c r="AW31">
        <f t="shared" ref="AW31:AW38" si="55">AA31/AA$5</f>
        <v>0</v>
      </c>
      <c r="AX31">
        <f t="shared" ref="AX31:AX38" si="56">AB31/AB$5</f>
        <v>0</v>
      </c>
      <c r="AY31">
        <f t="shared" ref="AY31:AY38" si="57">AC31/AC$5</f>
        <v>0</v>
      </c>
      <c r="AZ31">
        <f t="shared" ref="AZ31:AZ38" si="58">AD31/AD$5</f>
        <v>0</v>
      </c>
      <c r="BA31">
        <f t="shared" ref="BA31:BA38" si="59">AE31/AE$5</f>
        <v>0</v>
      </c>
      <c r="BB31">
        <f t="shared" ref="BB31:BB38" si="60">AF31/AF$5</f>
        <v>0</v>
      </c>
      <c r="BC31">
        <f t="shared" ref="BC31:BC38" si="61">AG31/AG$5</f>
        <v>0</v>
      </c>
      <c r="BG31">
        <f t="shared" ref="BG31:BG32" si="62">O31</f>
        <v>2039</v>
      </c>
      <c r="BH31" s="130">
        <f>IFERROR(VLOOKUP($O31,'Table 3 ID Wind_2030'!$B$10:$K$37,10,FALSE),0)</f>
        <v>167.18</v>
      </c>
      <c r="BI31" s="130">
        <f>IFERROR(VLOOKUP($O31,'Table 3 UT CP Wind_2023'!$B$10:$K$37,10,FALSE),0)</f>
        <v>173.39000000000001</v>
      </c>
      <c r="BJ31" s="130">
        <f>IFERROR(VLOOKUP($O31,'Table 3 WYAE Wind_2024'!$B$10:$L$37,11,FALSE),0)</f>
        <v>234.6</v>
      </c>
      <c r="BK31" s="130">
        <f>IFERROR(VLOOKUP($O31,'Table 3 YK Wind wS_2029'!$B$10:$K$37,10,FALSE),0)</f>
        <v>179.92</v>
      </c>
      <c r="BL31" s="356"/>
      <c r="BM31" s="130">
        <f>IFERROR(VLOOKUP($O31,'Table 3 ID Wind wS_2032'!$B$10:$K$38,10,FALSE),0)</f>
        <v>181.38</v>
      </c>
      <c r="BN31" s="130">
        <f>IFERROR(VLOOKUP($O31,'Table 3 PV wS YK_2024'!$B$10:$K$40,10,FALSE),0)</f>
        <v>131.36999999999998</v>
      </c>
      <c r="BO31" s="356"/>
      <c r="BP31" s="130">
        <f>IFERROR(VLOOKUP($O31,'Table 3 PV wS SO_2024'!$B$10:$K$40,10,FALSE),0)</f>
        <v>130.91999999999999</v>
      </c>
      <c r="BQ31" s="356"/>
      <c r="BR31" s="130">
        <f>IFERROR(VLOOKUP($O31,'Table 3 PV wS UTN_2024'!$B$10:$K$43,10,FALSE),0)</f>
        <v>129.80000000000001</v>
      </c>
      <c r="BS31" s="130">
        <f>IFERROR(VLOOKUP($O31,'Table 3 PV wS JB_2024'!$B$10:$K$40,10,FALSE),0)</f>
        <v>126.03999999999999</v>
      </c>
      <c r="BT31" s="130">
        <f>IFERROR(VLOOKUP($O31,'Table 3 PV wS JB_2029'!$B$10:$K$40,10,FALSE),0)</f>
        <v>115.72999999999999</v>
      </c>
      <c r="BU31" s="356"/>
      <c r="BV31" s="130">
        <f>IFERROR(VLOOKUP($O31,'Table 3 PV wS UTS_2024'!$B$10:$K$38,10,FALSE),0)</f>
        <v>128.29000000000002</v>
      </c>
      <c r="BW31" s="130">
        <f>IFERROR(VLOOKUP($O31,'Table 3 PV wS UTS_2030'!$B$10:$K$38,10,FALSE),0)</f>
        <v>165.07999999999998</v>
      </c>
      <c r="BX31" s="355"/>
      <c r="BY31" s="130">
        <f>IFERROR(VLOOKUP($O31,'Table 3 185 MW (NTN) 2026)'!$B$13:$L$40,11,FALSE),0)</f>
        <v>149.5</v>
      </c>
      <c r="CD31">
        <f>SUM(AL$13:AL31)*BH31/1000</f>
        <v>0</v>
      </c>
      <c r="CE31">
        <f>SUM(AM$13:AM31)*BI31/1000</f>
        <v>0</v>
      </c>
      <c r="CF31">
        <f>SUM(AN$13:AN31)*BJ31/1000</f>
        <v>0</v>
      </c>
      <c r="CG31">
        <f>SUM(AO$13:AO31)*BK31/1000</f>
        <v>0</v>
      </c>
      <c r="CH31">
        <f>SUM(AP$13:AP31)*BL31/1000</f>
        <v>0</v>
      </c>
      <c r="CI31">
        <f>SUM(AQ$13:AQ31)*BM31/1000</f>
        <v>0</v>
      </c>
      <c r="CJ31">
        <f>SUM(AR$13:AR31)*BN31/1000</f>
        <v>0</v>
      </c>
      <c r="CK31">
        <f>SUM(AS$13:AS31)*BO31/1000</f>
        <v>0</v>
      </c>
      <c r="CL31">
        <f>SUM(AT$13:AT31)*BP31/1000</f>
        <v>0</v>
      </c>
      <c r="CM31">
        <f>SUM(AU$13:AU31)*BQ31/1000</f>
        <v>0</v>
      </c>
      <c r="CN31">
        <f>SUM(AV$13:AV31)*BR31/1000</f>
        <v>0</v>
      </c>
      <c r="CO31">
        <f>SUM(AW$13:AW31)*BS31/1000</f>
        <v>0</v>
      </c>
      <c r="CP31">
        <f>SUM(AX$13:AX31)*BT31/1000</f>
        <v>0</v>
      </c>
      <c r="CQ31">
        <f>SUM(AY$13:AY31)*BU31/1000</f>
        <v>0</v>
      </c>
      <c r="CR31">
        <f>SUM(AZ$13:AZ31)*BV31/1000</f>
        <v>3.6796622139023243</v>
      </c>
      <c r="CS31">
        <f>SUM(BA$13:BA31)*BW31/1000</f>
        <v>0</v>
      </c>
      <c r="CT31">
        <f>SUM(BB$13:BB31)*BX31/1000</f>
        <v>0</v>
      </c>
      <c r="CU31">
        <f>SUM(BC$13:BC31)*BY31/1000</f>
        <v>0</v>
      </c>
      <c r="CV31">
        <f>SUM(BD$13:BD31)*BZ31/1000</f>
        <v>0</v>
      </c>
      <c r="CW31">
        <f>SUM(BE$13:BE31)*CA31/1000</f>
        <v>0</v>
      </c>
      <c r="CX31">
        <f>SUM(BF$13:BF31)*CB31/1000</f>
        <v>0</v>
      </c>
      <c r="CY31">
        <f t="shared" ref="CY31:CY32" si="63">SUM(CD31:CX31)</f>
        <v>3.6796622139023243</v>
      </c>
      <c r="DA31">
        <f t="shared" ref="DA31:DA32" si="64">O31</f>
        <v>2039</v>
      </c>
      <c r="DB31" s="89">
        <f>IFERROR(VLOOKUP($DA31,'Table 3 TransCost'!$B$10:$E$40,4,FALSE),0)</f>
        <v>67.16</v>
      </c>
      <c r="DC31" s="174">
        <f t="shared" ref="DC31:DC32" si="65">$DB$5*DB31/1000</f>
        <v>0</v>
      </c>
    </row>
    <row r="32" spans="2:107" hidden="1">
      <c r="B32" s="15">
        <f t="shared" si="38"/>
        <v>2040</v>
      </c>
      <c r="C32" s="9">
        <f t="shared" si="17"/>
        <v>47.057025642555928</v>
      </c>
      <c r="D32" s="45"/>
      <c r="E32" s="9" t="e">
        <f t="shared" ca="1" si="39"/>
        <v>#DIV/0!</v>
      </c>
      <c r="F32" s="37"/>
      <c r="G32" s="14" t="e">
        <f t="shared" ca="1" si="42"/>
        <v>#DIV/0!</v>
      </c>
      <c r="H32" s="36"/>
      <c r="I32" s="174"/>
      <c r="J32" s="174"/>
      <c r="M32" s="112"/>
      <c r="O32">
        <f t="shared" si="18"/>
        <v>2040</v>
      </c>
      <c r="P32" s="368">
        <v>0</v>
      </c>
      <c r="Q32" s="368">
        <v>0</v>
      </c>
      <c r="R32" s="368">
        <v>0</v>
      </c>
      <c r="S32" s="368">
        <v>0</v>
      </c>
      <c r="T32" s="368">
        <v>0</v>
      </c>
      <c r="U32" s="368">
        <v>0</v>
      </c>
      <c r="V32" s="368">
        <v>0</v>
      </c>
      <c r="W32" s="368">
        <v>0</v>
      </c>
      <c r="X32" s="368">
        <v>0</v>
      </c>
      <c r="Y32" s="368">
        <v>0</v>
      </c>
      <c r="Z32" s="368">
        <v>0</v>
      </c>
      <c r="AA32" s="368">
        <v>0</v>
      </c>
      <c r="AB32" s="368">
        <v>0</v>
      </c>
      <c r="AC32" s="368">
        <v>0</v>
      </c>
      <c r="AD32" s="368">
        <v>0</v>
      </c>
      <c r="AE32" s="368">
        <v>0</v>
      </c>
      <c r="AF32" s="368">
        <v>0</v>
      </c>
      <c r="AG32" s="368">
        <v>0</v>
      </c>
      <c r="AL32">
        <f t="shared" si="44"/>
        <v>0</v>
      </c>
      <c r="AM32">
        <f t="shared" si="45"/>
        <v>0</v>
      </c>
      <c r="AN32">
        <f t="shared" si="46"/>
        <v>0</v>
      </c>
      <c r="AO32">
        <f t="shared" si="47"/>
        <v>0</v>
      </c>
      <c r="AP32">
        <f t="shared" si="48"/>
        <v>0</v>
      </c>
      <c r="AQ32">
        <f t="shared" si="49"/>
        <v>0</v>
      </c>
      <c r="AR32">
        <f t="shared" si="50"/>
        <v>0</v>
      </c>
      <c r="AS32">
        <f t="shared" si="51"/>
        <v>0</v>
      </c>
      <c r="AT32">
        <f t="shared" si="52"/>
        <v>0</v>
      </c>
      <c r="AU32">
        <f t="shared" si="53"/>
        <v>0</v>
      </c>
      <c r="AV32">
        <f t="shared" si="54"/>
        <v>0</v>
      </c>
      <c r="AW32">
        <f t="shared" si="55"/>
        <v>0</v>
      </c>
      <c r="AX32">
        <f t="shared" si="56"/>
        <v>0</v>
      </c>
      <c r="AY32">
        <f t="shared" si="57"/>
        <v>0</v>
      </c>
      <c r="AZ32">
        <f t="shared" si="58"/>
        <v>0</v>
      </c>
      <c r="BA32">
        <f t="shared" si="59"/>
        <v>0</v>
      </c>
      <c r="BB32">
        <f t="shared" si="60"/>
        <v>0</v>
      </c>
      <c r="BC32">
        <f t="shared" si="61"/>
        <v>0</v>
      </c>
      <c r="BG32">
        <f t="shared" si="62"/>
        <v>2040</v>
      </c>
      <c r="BH32" s="130">
        <f>IFERROR(VLOOKUP($O32,'Table 3 ID Wind_2030'!$B$10:$K$37,10,FALSE),0)</f>
        <v>171.02</v>
      </c>
      <c r="BI32" s="130">
        <f>IFERROR(VLOOKUP($O32,'Table 3 UT CP Wind_2023'!$B$10:$K$37,10,FALSE),0)</f>
        <v>177.38</v>
      </c>
      <c r="BJ32" s="130">
        <f>IFERROR(VLOOKUP($O32,'Table 3 WYAE Wind_2024'!$B$10:$L$37,11,FALSE),0)</f>
        <v>239.99</v>
      </c>
      <c r="BK32" s="130">
        <f>IFERROR(VLOOKUP($O32,'Table 3 YK Wind wS_2029'!$B$10:$K$37,10,FALSE),0)</f>
        <v>184.06</v>
      </c>
      <c r="BL32" s="356"/>
      <c r="BM32" s="130">
        <f>IFERROR(VLOOKUP($O32,'Table 3 ID Wind wS_2032'!$B$10:$K$38,10,FALSE),0)</f>
        <v>185.55</v>
      </c>
      <c r="BN32" s="130">
        <f>IFERROR(VLOOKUP($O32,'Table 3 PV wS YK_2024'!$B$10:$K$40,10,FALSE),0)</f>
        <v>134.39000000000001</v>
      </c>
      <c r="BO32" s="356"/>
      <c r="BP32" s="130">
        <f>IFERROR(VLOOKUP($O32,'Table 3 PV wS SO_2024'!$B$10:$K$40,10,FALSE),0)</f>
        <v>133.94</v>
      </c>
      <c r="BQ32" s="356"/>
      <c r="BR32" s="130">
        <f>IFERROR(VLOOKUP($O32,'Table 3 PV wS UTN_2024'!$B$10:$K$43,10,FALSE),0)</f>
        <v>132.79</v>
      </c>
      <c r="BS32" s="130">
        <f>IFERROR(VLOOKUP($O32,'Table 3 PV wS JB_2024'!$B$10:$K$40,10,FALSE),0)</f>
        <v>128.94</v>
      </c>
      <c r="BT32" s="130">
        <f>IFERROR(VLOOKUP($O32,'Table 3 PV wS JB_2029'!$B$10:$K$40,10,FALSE),0)</f>
        <v>118.4</v>
      </c>
      <c r="BU32" s="356"/>
      <c r="BV32" s="130">
        <f>IFERROR(VLOOKUP($O32,'Table 3 PV wS UTS_2024'!$B$10:$K$38,10,FALSE),0)</f>
        <v>131.25</v>
      </c>
      <c r="BW32" s="130">
        <f>IFERROR(VLOOKUP($O32,'Table 3 PV wS UTS_2030'!$B$10:$K$38,10,FALSE),0)</f>
        <v>168.88</v>
      </c>
      <c r="BX32" s="355"/>
      <c r="BY32" s="130">
        <f>IFERROR(VLOOKUP($O32,'Table 3 185 MW (NTN) 2026)'!$B$13:$L$40,11,FALSE),0)</f>
        <v>152.94</v>
      </c>
      <c r="CD32">
        <f>SUM(AL$13:AL32)*BH32/1000</f>
        <v>0</v>
      </c>
      <c r="CE32">
        <f>SUM(AM$13:AM32)*BI32/1000</f>
        <v>0</v>
      </c>
      <c r="CF32">
        <f>SUM(AN$13:AN32)*BJ32/1000</f>
        <v>0</v>
      </c>
      <c r="CG32">
        <f>SUM(AO$13:AO32)*BK32/1000</f>
        <v>0</v>
      </c>
      <c r="CH32">
        <f>SUM(AP$13:AP32)*BL32/1000</f>
        <v>0</v>
      </c>
      <c r="CI32">
        <f>SUM(AQ$13:AQ32)*BM32/1000</f>
        <v>0</v>
      </c>
      <c r="CJ32">
        <f>SUM(AR$13:AR32)*BN32/1000</f>
        <v>0</v>
      </c>
      <c r="CK32">
        <f>SUM(AS$13:AS32)*BO32/1000</f>
        <v>0</v>
      </c>
      <c r="CL32">
        <f>SUM(AT$13:AT32)*BP32/1000</f>
        <v>0</v>
      </c>
      <c r="CM32">
        <f>SUM(AU$13:AU32)*BQ32/1000</f>
        <v>0</v>
      </c>
      <c r="CN32">
        <f>SUM(AV$13:AV32)*BR32/1000</f>
        <v>0</v>
      </c>
      <c r="CO32">
        <f>SUM(AW$13:AW32)*BS32/1000</f>
        <v>0</v>
      </c>
      <c r="CP32">
        <f>SUM(AX$13:AX32)*BT32/1000</f>
        <v>0</v>
      </c>
      <c r="CQ32">
        <f>SUM(AY$13:AY32)*BU32/1000</f>
        <v>0</v>
      </c>
      <c r="CR32">
        <f>SUM(AZ$13:AZ32)*BV32/1000</f>
        <v>3.7645620514044746</v>
      </c>
      <c r="CS32">
        <f>SUM(BA$13:BA32)*BW32/1000</f>
        <v>0</v>
      </c>
      <c r="CT32">
        <f>SUM(BB$13:BB32)*BX32/1000</f>
        <v>0</v>
      </c>
      <c r="CU32">
        <f>SUM(BC$13:BC32)*BY32/1000</f>
        <v>0</v>
      </c>
      <c r="CV32">
        <f>SUM(BD$13:BD32)*BZ32/1000</f>
        <v>0</v>
      </c>
      <c r="CW32">
        <f>SUM(BE$13:BE32)*CA32/1000</f>
        <v>0</v>
      </c>
      <c r="CX32">
        <f>SUM(BF$13:BF32)*CB32/1000</f>
        <v>0</v>
      </c>
      <c r="CY32">
        <f t="shared" si="63"/>
        <v>3.7645620514044746</v>
      </c>
      <c r="DA32">
        <f t="shared" si="64"/>
        <v>2040</v>
      </c>
      <c r="DB32" s="89">
        <f>IFERROR(VLOOKUP($DA32,'Table 3 TransCost'!$B$10:$E$40,4,FALSE),0)</f>
        <v>68.7</v>
      </c>
      <c r="DC32" s="174">
        <f t="shared" si="65"/>
        <v>0</v>
      </c>
    </row>
    <row r="33" spans="1:107" hidden="1">
      <c r="B33" s="15">
        <f t="shared" si="38"/>
        <v>2041</v>
      </c>
      <c r="C33" s="9">
        <f t="shared" si="17"/>
        <v>48.139785394483695</v>
      </c>
      <c r="D33" s="45"/>
      <c r="E33" s="9" t="e">
        <f ca="1">SUMIF(INDIRECT("'Table 5'!$J$"&amp;$K$3&amp;":$J$"&amp;$K$4),B33,INDIRECT("'Table 5'!$c$"&amp;$K$3&amp;":$c$"&amp;$K$4))/SUMIF(INDIRECT("'Table 5'!$J$"&amp;$K$3&amp;":$J$"&amp;$K$4),B33,INDIRECT("'Table 5'!$f$"&amp;$K$3&amp;":$f$"&amp;$K$4))</f>
        <v>#DIV/0!</v>
      </c>
      <c r="F33" s="37"/>
      <c r="G33" s="14" t="e">
        <f t="shared" ca="1" si="42"/>
        <v>#DIV/0!</v>
      </c>
      <c r="H33" s="36"/>
      <c r="I33" s="174"/>
      <c r="J33" s="174"/>
      <c r="M33" s="112"/>
      <c r="O33">
        <f t="shared" ref="O33" si="66">B33</f>
        <v>2041</v>
      </c>
      <c r="P33" s="368">
        <v>0</v>
      </c>
      <c r="Q33" s="368">
        <v>0</v>
      </c>
      <c r="R33" s="368">
        <v>0</v>
      </c>
      <c r="S33" s="368">
        <v>0</v>
      </c>
      <c r="T33" s="368">
        <v>0</v>
      </c>
      <c r="U33" s="368">
        <v>0</v>
      </c>
      <c r="V33" s="368">
        <v>0</v>
      </c>
      <c r="W33" s="368">
        <v>0</v>
      </c>
      <c r="X33" s="368">
        <v>0</v>
      </c>
      <c r="Y33" s="368">
        <v>0</v>
      </c>
      <c r="Z33" s="368">
        <v>0</v>
      </c>
      <c r="AA33" s="368">
        <v>0</v>
      </c>
      <c r="AB33" s="368">
        <v>0</v>
      </c>
      <c r="AC33" s="368">
        <v>0</v>
      </c>
      <c r="AD33" s="368">
        <v>0</v>
      </c>
      <c r="AE33" s="368">
        <v>0</v>
      </c>
      <c r="AF33" s="368">
        <v>0</v>
      </c>
      <c r="AG33" s="368">
        <v>0</v>
      </c>
      <c r="AH33">
        <v>0</v>
      </c>
      <c r="AI33">
        <v>0</v>
      </c>
      <c r="AJ33">
        <v>0</v>
      </c>
      <c r="AL33">
        <f t="shared" si="19"/>
        <v>0</v>
      </c>
      <c r="AM33">
        <f t="shared" si="45"/>
        <v>0</v>
      </c>
      <c r="AN33">
        <f t="shared" si="46"/>
        <v>0</v>
      </c>
      <c r="AO33">
        <f t="shared" si="47"/>
        <v>0</v>
      </c>
      <c r="AP33">
        <f t="shared" si="48"/>
        <v>0</v>
      </c>
      <c r="AQ33">
        <f t="shared" si="49"/>
        <v>0</v>
      </c>
      <c r="AR33">
        <f t="shared" si="50"/>
        <v>0</v>
      </c>
      <c r="AS33">
        <f t="shared" si="51"/>
        <v>0</v>
      </c>
      <c r="AT33">
        <f t="shared" si="52"/>
        <v>0</v>
      </c>
      <c r="AU33">
        <f t="shared" si="53"/>
        <v>0</v>
      </c>
      <c r="AV33">
        <f t="shared" si="54"/>
        <v>0</v>
      </c>
      <c r="AW33">
        <f t="shared" si="55"/>
        <v>0</v>
      </c>
      <c r="AX33">
        <f t="shared" si="56"/>
        <v>0</v>
      </c>
      <c r="AY33">
        <f t="shared" si="57"/>
        <v>0</v>
      </c>
      <c r="AZ33">
        <f t="shared" si="58"/>
        <v>0</v>
      </c>
      <c r="BA33">
        <f t="shared" si="59"/>
        <v>0</v>
      </c>
      <c r="BB33">
        <f t="shared" si="60"/>
        <v>0</v>
      </c>
      <c r="BC33">
        <f t="shared" si="61"/>
        <v>0</v>
      </c>
      <c r="BG33">
        <f t="shared" ref="BG33:BG38" si="67">O33</f>
        <v>2041</v>
      </c>
      <c r="BH33" s="130">
        <f>IFERROR(VLOOKUP($O33,'Table 3 ID Wind_2030'!$B$10:$K$37,10,FALSE),0)</f>
        <v>174.96</v>
      </c>
      <c r="BI33" s="130">
        <f>IFERROR(VLOOKUP($O33,'Table 3 UT CP Wind_2023'!$B$10:$K$37,10,FALSE),0)</f>
        <v>181.46</v>
      </c>
      <c r="BJ33" s="130">
        <f>IFERROR(VLOOKUP($O33,'Table 3 WYAE Wind_2024'!$B$10:$L$37,11,FALSE),0)</f>
        <v>245.51</v>
      </c>
      <c r="BK33" s="130">
        <f>IFERROR(VLOOKUP($O33,'Table 3 YK Wind wS_2029'!$B$10:$K$37,10,FALSE),0)</f>
        <v>188.29</v>
      </c>
      <c r="BL33" s="356"/>
      <c r="BM33" s="130">
        <f>IFERROR(VLOOKUP($O33,'Table 3 ID Wind wS_2032'!$B$10:$K$38,10,FALSE),0)</f>
        <v>189.82000000000002</v>
      </c>
      <c r="BN33" s="130">
        <f>IFERROR(VLOOKUP($O33,'Table 3 PV wS YK_2024'!$B$10:$K$40,10,FALSE),0)</f>
        <v>137.48000000000002</v>
      </c>
      <c r="BO33" s="356"/>
      <c r="BP33" s="130">
        <f>IFERROR(VLOOKUP($O33,'Table 3 PV wS SO_2024'!$B$10:$K$40,10,FALSE),0)</f>
        <v>137.03</v>
      </c>
      <c r="BQ33" s="356"/>
      <c r="BR33" s="130">
        <f>IFERROR(VLOOKUP($O33,'Table 3 PV wS UTN_2024'!$B$10:$K$43,10,FALSE),0)</f>
        <v>135.85</v>
      </c>
      <c r="BS33" s="130">
        <f>IFERROR(VLOOKUP($O33,'Table 3 PV wS JB_2024'!$B$10:$K$40,10,FALSE),0)</f>
        <v>131.91</v>
      </c>
      <c r="BT33" s="130">
        <f>IFERROR(VLOOKUP($O33,'Table 3 PV wS JB_2029'!$B$10:$K$40,10,FALSE),0)</f>
        <v>121.13</v>
      </c>
      <c r="BU33" s="356"/>
      <c r="BV33" s="130">
        <f>IFERROR(VLOOKUP($O33,'Table 3 PV wS UTS_2024'!$B$10:$K$38,10,FALSE),0)</f>
        <v>134.27000000000001</v>
      </c>
      <c r="BW33" s="130">
        <f>IFERROR(VLOOKUP($O33,'Table 3 PV wS UTS_2030'!$B$10:$K$38,10,FALSE),0)</f>
        <v>172.77</v>
      </c>
      <c r="BX33" s="355"/>
      <c r="BY33" s="130">
        <f>IFERROR(VLOOKUP($O33,'Table 3 185 MW (NTN) 2026)'!$B$13:$L$40,11,FALSE),0)</f>
        <v>156.47</v>
      </c>
      <c r="CD33">
        <f>SUM(AL$13:AL33)*BH33/1000</f>
        <v>0</v>
      </c>
      <c r="CE33">
        <f>SUM(AM$13:AM33)*BI33/1000</f>
        <v>0</v>
      </c>
      <c r="CF33">
        <f>SUM(AN$13:AN33)*BJ33/1000</f>
        <v>0</v>
      </c>
      <c r="CG33">
        <f>SUM(AO$13:AO33)*BK33/1000</f>
        <v>0</v>
      </c>
      <c r="CH33">
        <f>SUM(AP$13:AP33)*BL33/1000</f>
        <v>0</v>
      </c>
      <c r="CI33">
        <f>SUM(AQ$13:AQ33)*BM33/1000</f>
        <v>0</v>
      </c>
      <c r="CJ33">
        <f>SUM(AR$13:AR33)*BN33/1000</f>
        <v>0</v>
      </c>
      <c r="CK33">
        <f>SUM(AS$13:AS33)*BO33/1000</f>
        <v>0</v>
      </c>
      <c r="CL33">
        <f>SUM(AT$13:AT33)*BP33/1000</f>
        <v>0</v>
      </c>
      <c r="CM33">
        <f>SUM(AU$13:AU33)*BQ33/1000</f>
        <v>0</v>
      </c>
      <c r="CN33">
        <f>SUM(AV$13:AV33)*BR33/1000</f>
        <v>0</v>
      </c>
      <c r="CO33">
        <f>SUM(AW$13:AW33)*BS33/1000</f>
        <v>0</v>
      </c>
      <c r="CP33">
        <f>SUM(AX$13:AX33)*BT33/1000</f>
        <v>0</v>
      </c>
      <c r="CQ33">
        <f>SUM(AY$13:AY33)*BU33/1000</f>
        <v>0</v>
      </c>
      <c r="CR33">
        <f>SUM(AZ$13:AZ33)*BV33/1000</f>
        <v>3.8511828315586958</v>
      </c>
      <c r="CS33">
        <f>SUM(BA$13:BA33)*BW33/1000</f>
        <v>0</v>
      </c>
      <c r="CT33">
        <f>SUM(BB$13:BB33)*BX33/1000</f>
        <v>0</v>
      </c>
      <c r="CU33">
        <f>SUM(BC$13:BC33)*BY33/1000</f>
        <v>0</v>
      </c>
      <c r="CV33">
        <f>SUM(BD$13:BD33)*BZ33/1000</f>
        <v>0</v>
      </c>
      <c r="CW33">
        <f>SUM(BE$13:BE33)*CA33/1000</f>
        <v>0</v>
      </c>
      <c r="CX33">
        <f>SUM(BF$13:BF33)*CB33/1000</f>
        <v>0</v>
      </c>
      <c r="CY33">
        <f t="shared" ref="CY33:CY38" si="68">SUM(CD33:CX33)</f>
        <v>3.8511828315586958</v>
      </c>
      <c r="DA33">
        <f t="shared" ref="DA33:DA38" si="69">O33</f>
        <v>2041</v>
      </c>
      <c r="DB33" s="89">
        <f>IFERROR(VLOOKUP($DA33,'Table 3 TransCost'!$B$10:$E$40,4,FALSE),0)</f>
        <v>70.28</v>
      </c>
      <c r="DC33" s="174">
        <f t="shared" ref="DC33:DC38" si="70">$DB$5*DB33/1000</f>
        <v>0</v>
      </c>
    </row>
    <row r="34" spans="1:107" hidden="1">
      <c r="B34" s="15">
        <f t="shared" si="38"/>
        <v>2042</v>
      </c>
      <c r="C34" s="9">
        <f t="shared" si="17"/>
        <v>49.247642226754145</v>
      </c>
      <c r="D34" s="45"/>
      <c r="E34" s="9" t="e">
        <f t="shared" ref="E34" ca="1" si="71">SUMIF(INDIRECT("'Table 5'!$J$"&amp;$K$3&amp;":$J$"&amp;$K$4),B34,INDIRECT("'Table 5'!$c$"&amp;$K$3&amp;":$c$"&amp;$K$4))/SUMIF(INDIRECT("'Table 5'!$J$"&amp;$K$3&amp;":$J$"&amp;$K$4),B34,INDIRECT("'Table 5'!$f$"&amp;$K$3&amp;":$f$"&amp;$K$4))</f>
        <v>#DIV/0!</v>
      </c>
      <c r="F34" s="37"/>
      <c r="G34" s="14" t="e">
        <f t="shared" ca="1" si="42"/>
        <v>#DIV/0!</v>
      </c>
      <c r="H34" s="36"/>
      <c r="I34" s="174"/>
      <c r="J34" s="174"/>
      <c r="M34" s="112"/>
      <c r="O34">
        <f t="shared" ref="O34" si="72">B34</f>
        <v>2042</v>
      </c>
      <c r="P34" s="368">
        <v>0</v>
      </c>
      <c r="Q34" s="368">
        <v>0</v>
      </c>
      <c r="R34" s="368">
        <v>0</v>
      </c>
      <c r="S34" s="368">
        <v>0</v>
      </c>
      <c r="T34" s="368">
        <v>0</v>
      </c>
      <c r="U34" s="368">
        <v>0</v>
      </c>
      <c r="V34" s="368">
        <v>0</v>
      </c>
      <c r="W34" s="368">
        <v>0</v>
      </c>
      <c r="X34" s="368">
        <v>0</v>
      </c>
      <c r="Y34" s="368">
        <v>0</v>
      </c>
      <c r="Z34" s="368">
        <v>0</v>
      </c>
      <c r="AA34" s="368">
        <v>0</v>
      </c>
      <c r="AB34" s="368">
        <v>0</v>
      </c>
      <c r="AC34" s="368">
        <v>0</v>
      </c>
      <c r="AD34" s="368">
        <v>0</v>
      </c>
      <c r="AE34" s="368">
        <v>0</v>
      </c>
      <c r="AF34" s="368">
        <v>0</v>
      </c>
      <c r="AG34" s="368">
        <v>0</v>
      </c>
      <c r="AL34">
        <f t="shared" ref="AL34:AL38" si="73">P34/P$5</f>
        <v>0</v>
      </c>
      <c r="AM34">
        <f t="shared" si="45"/>
        <v>0</v>
      </c>
      <c r="AN34">
        <f t="shared" si="46"/>
        <v>0</v>
      </c>
      <c r="AO34">
        <f t="shared" si="47"/>
        <v>0</v>
      </c>
      <c r="AP34">
        <f t="shared" si="48"/>
        <v>0</v>
      </c>
      <c r="AQ34">
        <f t="shared" si="49"/>
        <v>0</v>
      </c>
      <c r="AR34">
        <f t="shared" si="50"/>
        <v>0</v>
      </c>
      <c r="AS34">
        <f t="shared" si="51"/>
        <v>0</v>
      </c>
      <c r="AT34">
        <f t="shared" si="52"/>
        <v>0</v>
      </c>
      <c r="AU34">
        <f t="shared" si="53"/>
        <v>0</v>
      </c>
      <c r="AV34">
        <f t="shared" si="54"/>
        <v>0</v>
      </c>
      <c r="AW34">
        <f t="shared" si="55"/>
        <v>0</v>
      </c>
      <c r="AX34">
        <f t="shared" si="56"/>
        <v>0</v>
      </c>
      <c r="AY34">
        <f t="shared" si="57"/>
        <v>0</v>
      </c>
      <c r="AZ34">
        <f t="shared" si="58"/>
        <v>0</v>
      </c>
      <c r="BA34">
        <f t="shared" si="59"/>
        <v>0</v>
      </c>
      <c r="BB34">
        <f t="shared" si="60"/>
        <v>0</v>
      </c>
      <c r="BC34">
        <f t="shared" si="61"/>
        <v>0</v>
      </c>
      <c r="BG34">
        <f t="shared" si="67"/>
        <v>2042</v>
      </c>
      <c r="BH34" s="130">
        <f>IFERROR(VLOOKUP($O34,'Table 3 ID Wind_2030'!$B$10:$K$37,10,FALSE),0)</f>
        <v>178.98000000000002</v>
      </c>
      <c r="BI34" s="130">
        <f>IFERROR(VLOOKUP($O34,'Table 3 UT CP Wind_2023'!$B$10:$K$37,10,FALSE),0)</f>
        <v>185.64</v>
      </c>
      <c r="BJ34" s="130">
        <f>IFERROR(VLOOKUP($O34,'Table 3 WYAE Wind_2024'!$B$10:$L$37,11,FALSE),0)</f>
        <v>251.16</v>
      </c>
      <c r="BK34" s="130">
        <f>IFERROR(VLOOKUP($O34,'Table 3 YK Wind wS_2029'!$B$10:$K$37,10,FALSE),0)</f>
        <v>192.60999999999999</v>
      </c>
      <c r="BL34" s="356"/>
      <c r="BM34" s="130">
        <f>IFERROR(VLOOKUP($O34,'Table 3 ID Wind wS_2032'!$B$10:$K$38,10,FALSE),0)</f>
        <v>194.19</v>
      </c>
      <c r="BN34" s="130">
        <f>IFERROR(VLOOKUP($O34,'Table 3 PV wS YK_2024'!$B$10:$K$40,10,FALSE),0)</f>
        <v>140.63999999999999</v>
      </c>
      <c r="BO34" s="356"/>
      <c r="BP34" s="130">
        <f>IFERROR(VLOOKUP($O34,'Table 3 PV wS SO_2024'!$B$10:$K$40,10,FALSE),0)</f>
        <v>140.19</v>
      </c>
      <c r="BQ34" s="356"/>
      <c r="BR34" s="130">
        <f>IFERROR(VLOOKUP($O34,'Table 3 PV wS UTN_2024'!$B$10:$K$43,10,FALSE),0)</f>
        <v>138.97999999999999</v>
      </c>
      <c r="BS34" s="130">
        <f>IFERROR(VLOOKUP($O34,'Table 3 PV wS JB_2024'!$B$10:$K$40,10,FALSE),0)</f>
        <v>134.94999999999999</v>
      </c>
      <c r="BT34" s="130">
        <f>IFERROR(VLOOKUP($O34,'Table 3 PV wS JB_2029'!$B$10:$K$40,10,FALSE),0)</f>
        <v>123.91999999999999</v>
      </c>
      <c r="BU34" s="356"/>
      <c r="BV34" s="130">
        <f>IFERROR(VLOOKUP($O34,'Table 3 PV wS UTS_2024'!$B$10:$K$38,10,FALSE),0)</f>
        <v>137.35999999999999</v>
      </c>
      <c r="BW34" s="130">
        <f>IFERROR(VLOOKUP($O34,'Table 3 PV wS UTS_2030'!$B$10:$K$38,10,FALSE),0)</f>
        <v>176.75</v>
      </c>
      <c r="BX34" s="355"/>
      <c r="BY34" s="130">
        <f>IFERROR(VLOOKUP($O34,'Table 3 185 MW (NTN) 2026)'!$B$13:$L$40,11,FALSE),0)</f>
        <v>160.06</v>
      </c>
      <c r="CD34">
        <f>SUM(AL$13:AL34)*BH34/1000</f>
        <v>0</v>
      </c>
      <c r="CE34">
        <f>SUM(AM$13:AM34)*BI34/1000</f>
        <v>0</v>
      </c>
      <c r="CF34">
        <f>SUM(AN$13:AN34)*BJ34/1000</f>
        <v>0</v>
      </c>
      <c r="CG34">
        <f>SUM(AO$13:AO34)*BK34/1000</f>
        <v>0</v>
      </c>
      <c r="CH34">
        <f>SUM(AP$13:AP34)*BL34/1000</f>
        <v>0</v>
      </c>
      <c r="CI34">
        <f>SUM(AQ$13:AQ34)*BM34/1000</f>
        <v>0</v>
      </c>
      <c r="CJ34">
        <f>SUM(AR$13:AR34)*BN34/1000</f>
        <v>0</v>
      </c>
      <c r="CK34">
        <f>SUM(AS$13:AS34)*BO34/1000</f>
        <v>0</v>
      </c>
      <c r="CL34">
        <f>SUM(AT$13:AT34)*BP34/1000</f>
        <v>0</v>
      </c>
      <c r="CM34">
        <f>SUM(AU$13:AU34)*BQ34/1000</f>
        <v>0</v>
      </c>
      <c r="CN34">
        <f>SUM(AV$13:AV34)*BR34/1000</f>
        <v>0</v>
      </c>
      <c r="CO34">
        <f>SUM(AW$13:AW34)*BS34/1000</f>
        <v>0</v>
      </c>
      <c r="CP34">
        <f>SUM(AX$13:AX34)*BT34/1000</f>
        <v>0</v>
      </c>
      <c r="CQ34">
        <f>SUM(AY$13:AY34)*BU34/1000</f>
        <v>0</v>
      </c>
      <c r="CR34">
        <f>SUM(AZ$13:AZ34)*BV34/1000</f>
        <v>3.9398113781403317</v>
      </c>
      <c r="CS34">
        <f>SUM(BA$13:BA34)*BW34/1000</f>
        <v>0</v>
      </c>
      <c r="CT34">
        <f>SUM(BB$13:BB34)*BX34/1000</f>
        <v>0</v>
      </c>
      <c r="CU34">
        <f>SUM(BC$13:BC34)*BY34/1000</f>
        <v>0</v>
      </c>
      <c r="CV34">
        <f>SUM(BD$13:BD34)*BZ34/1000</f>
        <v>0</v>
      </c>
      <c r="CW34">
        <f>SUM(BE$13:BE34)*CA34/1000</f>
        <v>0</v>
      </c>
      <c r="CX34">
        <f>SUM(BF$13:BF34)*CB34/1000</f>
        <v>0</v>
      </c>
      <c r="CY34">
        <f t="shared" si="68"/>
        <v>3.9398113781403317</v>
      </c>
      <c r="DA34">
        <f t="shared" si="69"/>
        <v>2042</v>
      </c>
      <c r="DB34" s="89">
        <f>IFERROR(VLOOKUP($DA34,'Table 3 TransCost'!$B$10:$E$40,4,FALSE),0)</f>
        <v>71.900000000000006</v>
      </c>
      <c r="DC34" s="174">
        <f t="shared" si="70"/>
        <v>0</v>
      </c>
    </row>
    <row r="35" spans="1:107" hidden="1">
      <c r="B35" s="15">
        <f t="shared" si="38"/>
        <v>2043</v>
      </c>
      <c r="C35" s="9">
        <f t="shared" si="17"/>
        <v>50.427205002860887</v>
      </c>
      <c r="D35" s="45"/>
      <c r="E35" s="9" t="e">
        <f t="shared" ref="E35:E38" ca="1" si="74">SUMIF(INDIRECT("'Table 5'!$J$"&amp;$K$3&amp;":$J$"&amp;$K$4),B35,INDIRECT("'Table 5'!$c$"&amp;$K$3&amp;":$c$"&amp;$K$4))/SUMIF(INDIRECT("'Table 5'!$J$"&amp;$K$3&amp;":$J$"&amp;$K$4),B35,INDIRECT("'Table 5'!$f$"&amp;$K$3&amp;":$f$"&amp;$K$4))</f>
        <v>#DIV/0!</v>
      </c>
      <c r="F35" s="37"/>
      <c r="G35" s="14" t="e">
        <f t="shared" ca="1" si="42"/>
        <v>#DIV/0!</v>
      </c>
      <c r="H35" s="36"/>
      <c r="I35" s="174"/>
      <c r="J35" s="174"/>
      <c r="M35" s="112"/>
      <c r="O35">
        <f t="shared" ref="O35:O38" si="75">B35</f>
        <v>2043</v>
      </c>
      <c r="P35" s="368">
        <v>0</v>
      </c>
      <c r="Q35" s="368">
        <v>0</v>
      </c>
      <c r="R35" s="368">
        <v>0</v>
      </c>
      <c r="S35" s="368">
        <v>0</v>
      </c>
      <c r="T35" s="368">
        <v>0</v>
      </c>
      <c r="U35" s="368">
        <v>0</v>
      </c>
      <c r="V35" s="368">
        <v>0</v>
      </c>
      <c r="W35" s="368">
        <v>0</v>
      </c>
      <c r="X35" s="368">
        <v>0</v>
      </c>
      <c r="Y35" s="368">
        <v>0</v>
      </c>
      <c r="Z35" s="368">
        <v>0</v>
      </c>
      <c r="AA35" s="368">
        <v>0</v>
      </c>
      <c r="AB35" s="368">
        <v>0</v>
      </c>
      <c r="AC35" s="368">
        <v>0</v>
      </c>
      <c r="AD35" s="368">
        <v>0</v>
      </c>
      <c r="AE35" s="368">
        <v>0</v>
      </c>
      <c r="AF35" s="368">
        <v>0</v>
      </c>
      <c r="AG35" s="368">
        <v>0</v>
      </c>
      <c r="AL35">
        <f t="shared" si="73"/>
        <v>0</v>
      </c>
      <c r="AM35">
        <f t="shared" si="45"/>
        <v>0</v>
      </c>
      <c r="AN35">
        <f t="shared" si="46"/>
        <v>0</v>
      </c>
      <c r="AO35">
        <f t="shared" si="47"/>
        <v>0</v>
      </c>
      <c r="AP35">
        <f t="shared" si="48"/>
        <v>0</v>
      </c>
      <c r="AQ35">
        <f t="shared" si="49"/>
        <v>0</v>
      </c>
      <c r="AR35">
        <f t="shared" si="50"/>
        <v>0</v>
      </c>
      <c r="AS35">
        <f t="shared" si="51"/>
        <v>0</v>
      </c>
      <c r="AT35">
        <f t="shared" si="52"/>
        <v>0</v>
      </c>
      <c r="AU35">
        <f t="shared" si="53"/>
        <v>0</v>
      </c>
      <c r="AV35">
        <f t="shared" si="54"/>
        <v>0</v>
      </c>
      <c r="AW35">
        <f t="shared" si="55"/>
        <v>0</v>
      </c>
      <c r="AX35">
        <f t="shared" si="56"/>
        <v>0</v>
      </c>
      <c r="AY35">
        <f t="shared" si="57"/>
        <v>0</v>
      </c>
      <c r="AZ35">
        <f t="shared" si="58"/>
        <v>0</v>
      </c>
      <c r="BA35">
        <f t="shared" si="59"/>
        <v>0</v>
      </c>
      <c r="BB35">
        <f t="shared" si="60"/>
        <v>0</v>
      </c>
      <c r="BC35">
        <f t="shared" si="61"/>
        <v>0</v>
      </c>
      <c r="BG35">
        <f t="shared" si="67"/>
        <v>2043</v>
      </c>
      <c r="BH35" s="130">
        <f>IFERROR(VLOOKUP($O35,'Table 3 ID Wind_2030'!$B$10:$K$37,10,FALSE),0)</f>
        <v>183.28</v>
      </c>
      <c r="BI35" s="130">
        <f>IFERROR(VLOOKUP($O35,'Table 3 UT CP Wind_2023'!$B$10:$K$37,10,FALSE),0)</f>
        <v>190.08999999999997</v>
      </c>
      <c r="BJ35" s="130">
        <f>IFERROR(VLOOKUP($O35,'Table 3 WYAE Wind_2024'!$B$10:$L$37,11,FALSE),0)</f>
        <v>257.19</v>
      </c>
      <c r="BK35" s="130">
        <f>IFERROR(VLOOKUP($O35,'Table 3 YK Wind wS_2029'!$B$10:$K$37,10,FALSE),0)</f>
        <v>197.22</v>
      </c>
      <c r="BL35" s="356"/>
      <c r="BM35" s="130">
        <f>IFERROR(VLOOKUP($O35,'Table 3 ID Wind wS_2032'!$B$10:$K$38,10,FALSE),0)</f>
        <v>198.85</v>
      </c>
      <c r="BN35" s="130">
        <f>IFERROR(VLOOKUP($O35,'Table 3 PV wS YK_2024'!$B$10:$K$40,10,FALSE),0)</f>
        <v>144.01000000000002</v>
      </c>
      <c r="BO35" s="356"/>
      <c r="BP35" s="130">
        <f>IFERROR(VLOOKUP($O35,'Table 3 PV wS SO_2024'!$B$10:$K$40,10,FALSE),0)</f>
        <v>143.56</v>
      </c>
      <c r="BQ35" s="356"/>
      <c r="BR35" s="130">
        <f>IFERROR(VLOOKUP($O35,'Table 3 PV wS UTN_2024'!$B$10:$K$43,10,FALSE),0)</f>
        <v>142.31</v>
      </c>
      <c r="BS35" s="130">
        <f>IFERROR(VLOOKUP($O35,'Table 3 PV wS JB_2024'!$B$10:$K$40,10,FALSE),0)</f>
        <v>138.19</v>
      </c>
      <c r="BT35" s="130">
        <f>IFERROR(VLOOKUP($O35,'Table 3 PV wS JB_2029'!$B$10:$K$40,10,FALSE),0)</f>
        <v>126.9</v>
      </c>
      <c r="BU35" s="356"/>
      <c r="BV35" s="130">
        <f>IFERROR(VLOOKUP($O35,'Table 3 PV wS UTS_2024'!$B$10:$K$38,10,FALSE),0)</f>
        <v>140.65</v>
      </c>
      <c r="BW35" s="130">
        <f>IFERROR(VLOOKUP($O35,'Table 3 PV wS UTS_2030'!$B$10:$K$38,10,FALSE),0)</f>
        <v>180.99</v>
      </c>
      <c r="BX35" s="355"/>
      <c r="BY35" s="130">
        <f>IFERROR(VLOOKUP($O35,'Table 3 185 MW (NTN) 2026)'!$B$13:$L$40,11,FALSE),0)</f>
        <v>0</v>
      </c>
      <c r="CD35">
        <f>SUM(AL$13:AL35)*BH35/1000</f>
        <v>0</v>
      </c>
      <c r="CE35">
        <f>SUM(AM$13:AM35)*BI35/1000</f>
        <v>0</v>
      </c>
      <c r="CF35">
        <f>SUM(AN$13:AN35)*BJ35/1000</f>
        <v>0</v>
      </c>
      <c r="CG35">
        <f>SUM(AO$13:AO35)*BK35/1000</f>
        <v>0</v>
      </c>
      <c r="CH35">
        <f>SUM(AP$13:AP35)*BL35/1000</f>
        <v>0</v>
      </c>
      <c r="CI35">
        <f>SUM(AQ$13:AQ35)*BM35/1000</f>
        <v>0</v>
      </c>
      <c r="CJ35">
        <f>SUM(AR$13:AR35)*BN35/1000</f>
        <v>0</v>
      </c>
      <c r="CK35">
        <f>SUM(AS$13:AS35)*BO35/1000</f>
        <v>0</v>
      </c>
      <c r="CL35">
        <f>SUM(AT$13:AT35)*BP35/1000</f>
        <v>0</v>
      </c>
      <c r="CM35">
        <f>SUM(AU$13:AU35)*BQ35/1000</f>
        <v>0</v>
      </c>
      <c r="CN35">
        <f>SUM(AV$13:AV35)*BR35/1000</f>
        <v>0</v>
      </c>
      <c r="CO35">
        <f>SUM(AW$13:AW35)*BS35/1000</f>
        <v>0</v>
      </c>
      <c r="CP35">
        <f>SUM(AX$13:AX35)*BT35/1000</f>
        <v>0</v>
      </c>
      <c r="CQ35">
        <f>SUM(AY$13:AY35)*BU35/1000</f>
        <v>0</v>
      </c>
      <c r="CR35">
        <f>SUM(AZ$13:AZ35)*BV35/1000</f>
        <v>4.0341764002288709</v>
      </c>
      <c r="CS35">
        <f>SUM(BA$13:BA35)*BW35/1000</f>
        <v>0</v>
      </c>
      <c r="CT35">
        <f>SUM(BB$13:BB35)*BX35/1000</f>
        <v>0</v>
      </c>
      <c r="CU35">
        <f>SUM(BC$13:BC35)*BY35/1000</f>
        <v>0</v>
      </c>
      <c r="CV35">
        <f>SUM(BD$13:BD35)*BZ35/1000</f>
        <v>0</v>
      </c>
      <c r="CW35">
        <f>SUM(BE$13:BE35)*CA35/1000</f>
        <v>0</v>
      </c>
      <c r="CX35">
        <f>SUM(BF$13:BF35)*CB35/1000</f>
        <v>0</v>
      </c>
      <c r="CY35">
        <f t="shared" si="68"/>
        <v>4.0341764002288709</v>
      </c>
      <c r="DA35">
        <f t="shared" si="69"/>
        <v>2043</v>
      </c>
      <c r="DB35" s="89">
        <f>IFERROR(VLOOKUP($DA35,'Table 3 TransCost'!$B$10:$E$40,4,FALSE),0)</f>
        <v>73.63</v>
      </c>
      <c r="DC35" s="174">
        <f t="shared" si="70"/>
        <v>0</v>
      </c>
    </row>
    <row r="36" spans="1:107" hidden="1">
      <c r="B36" s="15">
        <f t="shared" si="38"/>
        <v>2044</v>
      </c>
      <c r="C36" s="9">
        <f t="shared" si="17"/>
        <v>0</v>
      </c>
      <c r="D36" s="45"/>
      <c r="E36" s="9" t="e">
        <f t="shared" ca="1" si="74"/>
        <v>#DIV/0!</v>
      </c>
      <c r="F36" s="37"/>
      <c r="G36" s="14" t="e">
        <f t="shared" ca="1" si="42"/>
        <v>#DIV/0!</v>
      </c>
      <c r="H36" s="36"/>
      <c r="I36" s="174"/>
      <c r="J36" s="174"/>
      <c r="M36" s="112"/>
      <c r="O36">
        <f t="shared" si="75"/>
        <v>2044</v>
      </c>
      <c r="P36" s="368">
        <v>0</v>
      </c>
      <c r="Q36" s="368">
        <v>0</v>
      </c>
      <c r="R36" s="368">
        <v>0</v>
      </c>
      <c r="S36" s="368">
        <v>0</v>
      </c>
      <c r="T36" s="368">
        <v>0</v>
      </c>
      <c r="U36" s="368">
        <v>0</v>
      </c>
      <c r="V36" s="368">
        <v>0</v>
      </c>
      <c r="W36" s="368">
        <v>0</v>
      </c>
      <c r="X36" s="368">
        <v>0</v>
      </c>
      <c r="Y36" s="368">
        <v>0</v>
      </c>
      <c r="Z36" s="368">
        <v>0</v>
      </c>
      <c r="AA36" s="368">
        <v>0</v>
      </c>
      <c r="AB36" s="368">
        <v>0</v>
      </c>
      <c r="AC36" s="368">
        <v>0</v>
      </c>
      <c r="AD36" s="368">
        <v>0</v>
      </c>
      <c r="AE36" s="368">
        <v>0</v>
      </c>
      <c r="AF36" s="368">
        <v>0</v>
      </c>
      <c r="AG36" s="368">
        <v>0</v>
      </c>
      <c r="AL36">
        <f t="shared" si="73"/>
        <v>0</v>
      </c>
      <c r="AM36">
        <f t="shared" si="45"/>
        <v>0</v>
      </c>
      <c r="AN36">
        <f t="shared" si="46"/>
        <v>0</v>
      </c>
      <c r="AO36">
        <f t="shared" si="47"/>
        <v>0</v>
      </c>
      <c r="AP36">
        <f t="shared" si="48"/>
        <v>0</v>
      </c>
      <c r="AQ36">
        <f t="shared" si="49"/>
        <v>0</v>
      </c>
      <c r="AR36">
        <f t="shared" si="50"/>
        <v>0</v>
      </c>
      <c r="AS36">
        <f t="shared" si="51"/>
        <v>0</v>
      </c>
      <c r="AT36">
        <f t="shared" si="52"/>
        <v>0</v>
      </c>
      <c r="AU36">
        <f t="shared" si="53"/>
        <v>0</v>
      </c>
      <c r="AV36">
        <f t="shared" si="54"/>
        <v>0</v>
      </c>
      <c r="AW36">
        <f t="shared" si="55"/>
        <v>0</v>
      </c>
      <c r="AX36">
        <f t="shared" si="56"/>
        <v>0</v>
      </c>
      <c r="AY36">
        <f t="shared" si="57"/>
        <v>0</v>
      </c>
      <c r="AZ36">
        <f t="shared" si="58"/>
        <v>0</v>
      </c>
      <c r="BA36">
        <f t="shared" si="59"/>
        <v>0</v>
      </c>
      <c r="BB36">
        <f t="shared" si="60"/>
        <v>0</v>
      </c>
      <c r="BC36">
        <f t="shared" si="61"/>
        <v>0</v>
      </c>
      <c r="BG36">
        <f t="shared" si="67"/>
        <v>2044</v>
      </c>
      <c r="BH36" s="130">
        <f>IFERROR(VLOOKUP($O36,'Table 3 ID Wind_2030'!$B$10:$K$37,10,FALSE),0)</f>
        <v>0</v>
      </c>
      <c r="BI36" s="130">
        <f>IFERROR(VLOOKUP($O36,'Table 3 UT CP Wind_2023'!$B$10:$K$37,10,FALSE),0)</f>
        <v>0</v>
      </c>
      <c r="BJ36" s="130">
        <f>IFERROR(VLOOKUP($O36,'Table 3 WYAE Wind_2024'!$B$10:$L$37,11,FALSE),0)</f>
        <v>0</v>
      </c>
      <c r="BK36" s="130">
        <f>IFERROR(VLOOKUP($O36,'Table 3 YK Wind wS_2029'!$B$10:$K$37,10,FALSE),0)</f>
        <v>0</v>
      </c>
      <c r="BL36" s="356"/>
      <c r="BM36" s="130">
        <f>IFERROR(VLOOKUP($O36,'Table 3 ID Wind wS_2032'!$B$10:$K$38,10,FALSE),0)</f>
        <v>0</v>
      </c>
      <c r="BN36" s="130">
        <f>IFERROR(VLOOKUP($O36,'Table 3 PV wS YK_2024'!$B$10:$K$40,10,FALSE),0)</f>
        <v>0</v>
      </c>
      <c r="BO36" s="356"/>
      <c r="BP36" s="130">
        <f>IFERROR(VLOOKUP($O36,'Table 3 PV wS SO_2024'!$B$10:$K$40,10,FALSE),0)</f>
        <v>0</v>
      </c>
      <c r="BQ36" s="356"/>
      <c r="BR36" s="130">
        <f>IFERROR(VLOOKUP($O36,'Table 3 PV wS UTN_2024'!$B$10:$K$43,10,FALSE),0)</f>
        <v>142.31</v>
      </c>
      <c r="BS36" s="130">
        <f>IFERROR(VLOOKUP($O36,'Table 3 PV wS JB_2024'!$B$10:$K$40,10,FALSE),0)</f>
        <v>0</v>
      </c>
      <c r="BT36" s="130">
        <f>IFERROR(VLOOKUP($O36,'Table 3 PV wS JB_2029'!$B$10:$K$40,10,FALSE),0)</f>
        <v>0</v>
      </c>
      <c r="BU36" s="356"/>
      <c r="BV36" s="130">
        <f>IFERROR(VLOOKUP($O36,'Table 3 PV wS UTS_2024'!$B$10:$K$38,10,FALSE),0)</f>
        <v>0</v>
      </c>
      <c r="BW36" s="130">
        <f>IFERROR(VLOOKUP($O36,'Table 3 PV wS UTS_2030'!$B$10:$K$38,10,FALSE),0)</f>
        <v>0</v>
      </c>
      <c r="BX36" s="355"/>
      <c r="BY36" s="130">
        <f>IFERROR(VLOOKUP($O36,'Table 3 185 MW (NTN) 2026)'!$B$13:$L$40,11,FALSE),0)</f>
        <v>0</v>
      </c>
      <c r="CD36">
        <f>SUM(AL$13:AL36)*BH36/1000</f>
        <v>0</v>
      </c>
      <c r="CE36">
        <f>SUM(AM$13:AM36)*BI36/1000</f>
        <v>0</v>
      </c>
      <c r="CF36">
        <f>SUM(AN$13:AN36)*BJ36/1000</f>
        <v>0</v>
      </c>
      <c r="CG36">
        <f>SUM(AO$13:AO36)*BK36/1000</f>
        <v>0</v>
      </c>
      <c r="CH36">
        <f>SUM(AP$13:AP36)*BL36/1000</f>
        <v>0</v>
      </c>
      <c r="CI36">
        <f>SUM(AQ$13:AQ36)*BM36/1000</f>
        <v>0</v>
      </c>
      <c r="CJ36">
        <f>SUM(AR$13:AR36)*BN36/1000</f>
        <v>0</v>
      </c>
      <c r="CK36">
        <f>SUM(AS$13:AS36)*BO36/1000</f>
        <v>0</v>
      </c>
      <c r="CL36">
        <f>SUM(AT$13:AT36)*BP36/1000</f>
        <v>0</v>
      </c>
      <c r="CM36">
        <f>SUM(AU$13:AU36)*BQ36/1000</f>
        <v>0</v>
      </c>
      <c r="CN36">
        <f>SUM(AV$13:AV36)*BR36/1000</f>
        <v>0</v>
      </c>
      <c r="CO36">
        <f>SUM(AW$13:AW36)*BS36/1000</f>
        <v>0</v>
      </c>
      <c r="CP36">
        <f>SUM(AX$13:AX36)*BT36/1000</f>
        <v>0</v>
      </c>
      <c r="CQ36">
        <f>SUM(AY$13:AY36)*BU36/1000</f>
        <v>0</v>
      </c>
      <c r="CR36">
        <f>SUM(AZ$13:AZ36)*BV36/1000</f>
        <v>0</v>
      </c>
      <c r="CS36">
        <f>SUM(BA$13:BA36)*BW36/1000</f>
        <v>0</v>
      </c>
      <c r="CT36">
        <f>SUM(BB$13:BB36)*BX36/1000</f>
        <v>0</v>
      </c>
      <c r="CU36">
        <f>SUM(BC$13:BC36)*BY36/1000</f>
        <v>0</v>
      </c>
      <c r="CV36">
        <f>SUM(BD$13:BD36)*BZ36/1000</f>
        <v>0</v>
      </c>
      <c r="CW36">
        <f>SUM(BE$13:BE36)*CA36/1000</f>
        <v>0</v>
      </c>
      <c r="CX36">
        <f>SUM(BF$13:BF36)*CB36/1000</f>
        <v>0</v>
      </c>
      <c r="CY36">
        <f t="shared" si="68"/>
        <v>0</v>
      </c>
      <c r="DA36">
        <f t="shared" si="69"/>
        <v>2044</v>
      </c>
      <c r="DB36" s="89">
        <f>IFERROR(VLOOKUP($DA36,'Table 3 TransCost'!$B$10:$E$40,4,FALSE),0)</f>
        <v>75.400000000000006</v>
      </c>
      <c r="DC36" s="174">
        <f t="shared" si="70"/>
        <v>0</v>
      </c>
    </row>
    <row r="37" spans="1:107" hidden="1">
      <c r="B37" s="15">
        <f t="shared" si="38"/>
        <v>2045</v>
      </c>
      <c r="C37" s="9">
        <f t="shared" si="17"/>
        <v>0</v>
      </c>
      <c r="D37" s="45"/>
      <c r="E37" s="9" t="e">
        <f t="shared" ca="1" si="74"/>
        <v>#DIV/0!</v>
      </c>
      <c r="F37" s="37"/>
      <c r="G37" s="14" t="e">
        <f t="shared" ca="1" si="42"/>
        <v>#DIV/0!</v>
      </c>
      <c r="H37" s="36"/>
      <c r="I37" s="174"/>
      <c r="J37" s="174"/>
      <c r="M37" s="112"/>
      <c r="O37">
        <f t="shared" si="75"/>
        <v>2045</v>
      </c>
      <c r="P37" s="368">
        <v>0</v>
      </c>
      <c r="Q37" s="368">
        <v>0</v>
      </c>
      <c r="R37" s="368">
        <v>0</v>
      </c>
      <c r="S37" s="368">
        <v>0</v>
      </c>
      <c r="T37" s="368">
        <v>0</v>
      </c>
      <c r="U37" s="368">
        <v>0</v>
      </c>
      <c r="V37" s="368">
        <v>0</v>
      </c>
      <c r="W37" s="368">
        <v>0</v>
      </c>
      <c r="X37" s="368">
        <v>0</v>
      </c>
      <c r="Y37" s="368">
        <v>0</v>
      </c>
      <c r="Z37" s="368">
        <v>0</v>
      </c>
      <c r="AA37" s="368">
        <v>0</v>
      </c>
      <c r="AB37" s="368">
        <v>0</v>
      </c>
      <c r="AC37" s="368">
        <v>0</v>
      </c>
      <c r="AD37" s="368">
        <v>0</v>
      </c>
      <c r="AE37" s="368">
        <v>0</v>
      </c>
      <c r="AF37" s="368">
        <v>0</v>
      </c>
      <c r="AG37" s="368">
        <v>0</v>
      </c>
      <c r="AL37">
        <f t="shared" si="73"/>
        <v>0</v>
      </c>
      <c r="AM37">
        <f t="shared" si="45"/>
        <v>0</v>
      </c>
      <c r="AN37">
        <f t="shared" si="46"/>
        <v>0</v>
      </c>
      <c r="AO37">
        <f t="shared" si="47"/>
        <v>0</v>
      </c>
      <c r="AP37">
        <f t="shared" si="48"/>
        <v>0</v>
      </c>
      <c r="AQ37">
        <f t="shared" si="49"/>
        <v>0</v>
      </c>
      <c r="AR37">
        <f t="shared" si="50"/>
        <v>0</v>
      </c>
      <c r="AS37">
        <f t="shared" si="51"/>
        <v>0</v>
      </c>
      <c r="AT37">
        <f t="shared" si="52"/>
        <v>0</v>
      </c>
      <c r="AU37">
        <f t="shared" si="53"/>
        <v>0</v>
      </c>
      <c r="AV37">
        <f t="shared" si="54"/>
        <v>0</v>
      </c>
      <c r="AW37">
        <f t="shared" si="55"/>
        <v>0</v>
      </c>
      <c r="AX37">
        <f t="shared" si="56"/>
        <v>0</v>
      </c>
      <c r="AY37">
        <f t="shared" si="57"/>
        <v>0</v>
      </c>
      <c r="AZ37">
        <f t="shared" si="58"/>
        <v>0</v>
      </c>
      <c r="BA37">
        <f t="shared" si="59"/>
        <v>0</v>
      </c>
      <c r="BB37">
        <f t="shared" si="60"/>
        <v>0</v>
      </c>
      <c r="BC37">
        <f t="shared" si="61"/>
        <v>0</v>
      </c>
      <c r="BG37">
        <f t="shared" si="67"/>
        <v>2045</v>
      </c>
      <c r="BH37" s="130">
        <f>IFERROR(VLOOKUP($O37,'Table 3 ID Wind_2030'!$B$10:$K$37,10,FALSE),0)</f>
        <v>0</v>
      </c>
      <c r="BI37" s="130">
        <f>IFERROR(VLOOKUP($O37,'Table 3 UT CP Wind_2023'!$B$10:$K$37,10,FALSE),0)</f>
        <v>0</v>
      </c>
      <c r="BJ37" s="130">
        <f>IFERROR(VLOOKUP($O37,'Table 3 WYAE Wind_2024'!$B$10:$L$37,11,FALSE),0)</f>
        <v>0</v>
      </c>
      <c r="BK37" s="130">
        <f>IFERROR(VLOOKUP($O37,'Table 3 YK Wind wS_2029'!$B$10:$K$37,10,FALSE),0)</f>
        <v>0</v>
      </c>
      <c r="BL37" s="356"/>
      <c r="BM37" s="130">
        <f>IFERROR(VLOOKUP($O37,'Table 3 ID Wind wS_2032'!$B$10:$K$38,10,FALSE),0)</f>
        <v>0</v>
      </c>
      <c r="BN37" s="130">
        <f>IFERROR(VLOOKUP($O37,'Table 3 PV wS YK_2024'!$B$10:$K$40,10,FALSE),0)</f>
        <v>0</v>
      </c>
      <c r="BO37" s="356"/>
      <c r="BP37" s="130">
        <f>IFERROR(VLOOKUP($O37,'Table 3 PV wS SO_2024'!$B$10:$K$40,10,FALSE),0)</f>
        <v>0</v>
      </c>
      <c r="BQ37" s="356"/>
      <c r="BR37" s="130">
        <f>IFERROR(VLOOKUP($O37,'Table 3 PV wS UTN_2024'!$B$10:$K$43,10,FALSE),0)</f>
        <v>142.31</v>
      </c>
      <c r="BS37" s="130">
        <f>IFERROR(VLOOKUP($O37,'Table 3 PV wS JB_2024'!$B$10:$K$40,10,FALSE),0)</f>
        <v>0</v>
      </c>
      <c r="BT37" s="130">
        <f>IFERROR(VLOOKUP($O37,'Table 3 PV wS JB_2029'!$B$10:$K$40,10,FALSE),0)</f>
        <v>0</v>
      </c>
      <c r="BU37" s="356"/>
      <c r="BV37" s="130">
        <f>IFERROR(VLOOKUP($O37,'Table 3 PV wS UTS_2024'!$B$10:$K$38,10,FALSE),0)</f>
        <v>0</v>
      </c>
      <c r="BW37" s="130">
        <f>IFERROR(VLOOKUP($O37,'Table 3 PV wS UTS_2030'!$B$10:$K$38,10,FALSE),0)</f>
        <v>0</v>
      </c>
      <c r="BX37" s="355"/>
      <c r="BY37" s="130">
        <f>IFERROR(VLOOKUP($O37,'Table 3 185 MW (NTN) 2026)'!$B$13:$L$40,11,FALSE),0)</f>
        <v>0</v>
      </c>
      <c r="CD37">
        <f>SUM(AL$13:AL37)*BH37/1000</f>
        <v>0</v>
      </c>
      <c r="CE37">
        <f>SUM(AM$13:AM37)*BI37/1000</f>
        <v>0</v>
      </c>
      <c r="CF37">
        <f>SUM(AN$13:AN37)*BJ37/1000</f>
        <v>0</v>
      </c>
      <c r="CG37">
        <f>SUM(AO$13:AO37)*BK37/1000</f>
        <v>0</v>
      </c>
      <c r="CH37">
        <f>SUM(AP$13:AP37)*BL37/1000</f>
        <v>0</v>
      </c>
      <c r="CI37">
        <f>SUM(AQ$13:AQ37)*BM37/1000</f>
        <v>0</v>
      </c>
      <c r="CJ37">
        <f>SUM(AR$13:AR37)*BN37/1000</f>
        <v>0</v>
      </c>
      <c r="CK37">
        <f>SUM(AS$13:AS37)*BO37/1000</f>
        <v>0</v>
      </c>
      <c r="CL37">
        <f>SUM(AT$13:AT37)*BP37/1000</f>
        <v>0</v>
      </c>
      <c r="CM37">
        <f>SUM(AU$13:AU37)*BQ37/1000</f>
        <v>0</v>
      </c>
      <c r="CN37">
        <f>SUM(AV$13:AV37)*BR37/1000</f>
        <v>0</v>
      </c>
      <c r="CO37">
        <f>SUM(AW$13:AW37)*BS37/1000</f>
        <v>0</v>
      </c>
      <c r="CP37">
        <f>SUM(AX$13:AX37)*BT37/1000</f>
        <v>0</v>
      </c>
      <c r="CQ37">
        <f>SUM(AY$13:AY37)*BU37/1000</f>
        <v>0</v>
      </c>
      <c r="CR37">
        <f>SUM(AZ$13:AZ37)*BV37/1000</f>
        <v>0</v>
      </c>
      <c r="CS37">
        <f>SUM(BA$13:BA37)*BW37/1000</f>
        <v>0</v>
      </c>
      <c r="CT37">
        <f>SUM(BB$13:BB37)*BX37/1000</f>
        <v>0</v>
      </c>
      <c r="CU37">
        <f>SUM(BC$13:BC37)*BY37/1000</f>
        <v>0</v>
      </c>
      <c r="CV37">
        <f>SUM(BD$13:BD37)*BZ37/1000</f>
        <v>0</v>
      </c>
      <c r="CW37">
        <f>SUM(BE$13:BE37)*CA37/1000</f>
        <v>0</v>
      </c>
      <c r="CX37">
        <f>SUM(BF$13:BF37)*CB37/1000</f>
        <v>0</v>
      </c>
      <c r="CY37">
        <f t="shared" si="68"/>
        <v>0</v>
      </c>
      <c r="DA37">
        <f t="shared" si="69"/>
        <v>2045</v>
      </c>
      <c r="DB37" s="89">
        <f>IFERROR(VLOOKUP($DA37,'Table 3 TransCost'!$B$10:$E$40,4,FALSE),0)</f>
        <v>77.209999999999994</v>
      </c>
      <c r="DC37" s="174">
        <f t="shared" si="70"/>
        <v>0</v>
      </c>
    </row>
    <row r="38" spans="1:107" hidden="1">
      <c r="B38" s="15">
        <f t="shared" si="38"/>
        <v>2046</v>
      </c>
      <c r="C38" s="9">
        <f t="shared" si="17"/>
        <v>0</v>
      </c>
      <c r="D38" s="45"/>
      <c r="E38" s="9" t="e">
        <f t="shared" ca="1" si="74"/>
        <v>#DIV/0!</v>
      </c>
      <c r="F38" s="37"/>
      <c r="G38" s="14" t="e">
        <f t="shared" ca="1" si="42"/>
        <v>#DIV/0!</v>
      </c>
      <c r="H38" s="36"/>
      <c r="I38" s="174"/>
      <c r="J38" s="174"/>
      <c r="M38" s="112"/>
      <c r="O38">
        <f t="shared" si="75"/>
        <v>2046</v>
      </c>
      <c r="P38" s="368">
        <v>0</v>
      </c>
      <c r="Q38" s="368">
        <v>0</v>
      </c>
      <c r="R38" s="368">
        <v>0</v>
      </c>
      <c r="S38" s="368">
        <v>0</v>
      </c>
      <c r="T38" s="368">
        <v>0</v>
      </c>
      <c r="U38" s="368">
        <v>0</v>
      </c>
      <c r="V38" s="368">
        <v>0</v>
      </c>
      <c r="W38" s="368">
        <v>0</v>
      </c>
      <c r="X38" s="368">
        <v>0</v>
      </c>
      <c r="Y38" s="368">
        <v>0</v>
      </c>
      <c r="Z38" s="368">
        <v>0</v>
      </c>
      <c r="AA38" s="368">
        <v>0</v>
      </c>
      <c r="AB38" s="368">
        <v>0</v>
      </c>
      <c r="AC38" s="368">
        <v>0</v>
      </c>
      <c r="AD38" s="368">
        <v>0</v>
      </c>
      <c r="AE38" s="368">
        <v>0</v>
      </c>
      <c r="AF38" s="368">
        <v>0</v>
      </c>
      <c r="AG38" s="368">
        <v>0</v>
      </c>
      <c r="AL38">
        <f t="shared" si="73"/>
        <v>0</v>
      </c>
      <c r="AM38">
        <f t="shared" si="45"/>
        <v>0</v>
      </c>
      <c r="AN38">
        <f t="shared" si="46"/>
        <v>0</v>
      </c>
      <c r="AO38">
        <f t="shared" si="47"/>
        <v>0</v>
      </c>
      <c r="AP38">
        <f t="shared" si="48"/>
        <v>0</v>
      </c>
      <c r="AQ38">
        <f t="shared" si="49"/>
        <v>0</v>
      </c>
      <c r="AR38">
        <f t="shared" si="50"/>
        <v>0</v>
      </c>
      <c r="AS38">
        <f t="shared" si="51"/>
        <v>0</v>
      </c>
      <c r="AT38">
        <f t="shared" si="52"/>
        <v>0</v>
      </c>
      <c r="AU38">
        <f t="shared" si="53"/>
        <v>0</v>
      </c>
      <c r="AV38">
        <f t="shared" si="54"/>
        <v>0</v>
      </c>
      <c r="AW38">
        <f t="shared" si="55"/>
        <v>0</v>
      </c>
      <c r="AX38">
        <f t="shared" si="56"/>
        <v>0</v>
      </c>
      <c r="AY38">
        <f t="shared" si="57"/>
        <v>0</v>
      </c>
      <c r="AZ38">
        <f t="shared" si="58"/>
        <v>0</v>
      </c>
      <c r="BA38">
        <f t="shared" si="59"/>
        <v>0</v>
      </c>
      <c r="BB38">
        <f t="shared" si="60"/>
        <v>0</v>
      </c>
      <c r="BC38">
        <f t="shared" si="61"/>
        <v>0</v>
      </c>
      <c r="BG38">
        <f t="shared" si="67"/>
        <v>2046</v>
      </c>
      <c r="BH38" s="130">
        <f>IFERROR(VLOOKUP($O38,'Table 3 ID Wind_2030'!$B$10:$K$37,10,FALSE),0)</f>
        <v>0</v>
      </c>
      <c r="BI38" s="130">
        <f>IFERROR(VLOOKUP($O38,'Table 3 UT CP Wind_2023'!$B$10:$K$37,10,FALSE),0)</f>
        <v>0</v>
      </c>
      <c r="BJ38" s="130">
        <f>IFERROR(VLOOKUP($O38,'Table 3 WYAE Wind_2024'!$B$10:$L$37,11,FALSE),0)</f>
        <v>0</v>
      </c>
      <c r="BK38" s="130">
        <f>IFERROR(VLOOKUP($O38,'Table 3 YK Wind wS_2029'!$B$10:$K$37,10,FALSE),0)</f>
        <v>0</v>
      </c>
      <c r="BL38" s="356"/>
      <c r="BM38" s="130">
        <f>IFERROR(VLOOKUP($O38,'Table 3 ID Wind wS_2032'!$B$10:$K$38,10,FALSE),0)</f>
        <v>0</v>
      </c>
      <c r="BN38" s="130">
        <f>IFERROR(VLOOKUP($O38,'Table 3 PV wS YK_2024'!$B$10:$K$40,10,FALSE),0)</f>
        <v>0</v>
      </c>
      <c r="BO38" s="356"/>
      <c r="BP38" s="130">
        <f>IFERROR(VLOOKUP($O38,'Table 3 PV wS SO_2024'!$B$10:$K$40,10,FALSE),0)</f>
        <v>0</v>
      </c>
      <c r="BQ38" s="356"/>
      <c r="BR38" s="130">
        <f>IFERROR(VLOOKUP($O38,'Table 3 PV wS UTN_2024'!$B$10:$K$43,10,FALSE),0)</f>
        <v>142.31</v>
      </c>
      <c r="BS38" s="130">
        <f>IFERROR(VLOOKUP($O38,'Table 3 PV wS JB_2024'!$B$10:$K$40,10,FALSE),0)</f>
        <v>0</v>
      </c>
      <c r="BT38" s="130">
        <f>IFERROR(VLOOKUP($O38,'Table 3 PV wS JB_2029'!$B$10:$K$40,10,FALSE),0)</f>
        <v>0</v>
      </c>
      <c r="BU38" s="356"/>
      <c r="BV38" s="130">
        <f>IFERROR(VLOOKUP($O38,'Table 3 PV wS UTS_2024'!$B$10:$K$38,10,FALSE),0)</f>
        <v>0</v>
      </c>
      <c r="BW38" s="130">
        <f>IFERROR(VLOOKUP($O38,'Table 3 PV wS UTS_2030'!$B$10:$K$38,10,FALSE),0)</f>
        <v>0</v>
      </c>
      <c r="BX38" s="355"/>
      <c r="BY38" s="130">
        <f>IFERROR(VLOOKUP($O38,'Table 3 185 MW (NTN) 2026)'!$B$13:$L$40,11,FALSE),0)</f>
        <v>0</v>
      </c>
      <c r="CD38">
        <f>SUM(AL$13:AL38)*BH38/1000</f>
        <v>0</v>
      </c>
      <c r="CE38">
        <f>SUM(AM$13:AM38)*BI38/1000</f>
        <v>0</v>
      </c>
      <c r="CF38">
        <f>SUM(AN$13:AN38)*BJ38/1000</f>
        <v>0</v>
      </c>
      <c r="CG38">
        <f>SUM(AO$13:AO38)*BK38/1000</f>
        <v>0</v>
      </c>
      <c r="CH38">
        <f>SUM(AP$13:AP38)*BL38/1000</f>
        <v>0</v>
      </c>
      <c r="CI38">
        <f>SUM(AQ$13:AQ38)*BM38/1000</f>
        <v>0</v>
      </c>
      <c r="CJ38">
        <f>SUM(AR$13:AR38)*BN38/1000</f>
        <v>0</v>
      </c>
      <c r="CK38">
        <f>SUM(AS$13:AS38)*BO38/1000</f>
        <v>0</v>
      </c>
      <c r="CL38">
        <f>SUM(AT$13:AT38)*BP38/1000</f>
        <v>0</v>
      </c>
      <c r="CM38">
        <f>SUM(AU$13:AU38)*BQ38/1000</f>
        <v>0</v>
      </c>
      <c r="CN38">
        <f>SUM(AV$13:AV38)*BR38/1000</f>
        <v>0</v>
      </c>
      <c r="CO38">
        <f>SUM(AW$13:AW38)*BS38/1000</f>
        <v>0</v>
      </c>
      <c r="CP38">
        <f>SUM(AX$13:AX38)*BT38/1000</f>
        <v>0</v>
      </c>
      <c r="CQ38">
        <f>SUM(AY$13:AY38)*BU38/1000</f>
        <v>0</v>
      </c>
      <c r="CR38">
        <f>SUM(AZ$13:AZ38)*BV38/1000</f>
        <v>0</v>
      </c>
      <c r="CS38">
        <f>SUM(BA$13:BA38)*BW38/1000</f>
        <v>0</v>
      </c>
      <c r="CT38">
        <f>SUM(BB$13:BB38)*BX38/1000</f>
        <v>0</v>
      </c>
      <c r="CU38">
        <f>SUM(BC$13:BC38)*BY38/1000</f>
        <v>0</v>
      </c>
      <c r="CV38">
        <f>SUM(BD$13:BD38)*BZ38/1000</f>
        <v>0</v>
      </c>
      <c r="CW38">
        <f>SUM(BE$13:BE38)*CA38/1000</f>
        <v>0</v>
      </c>
      <c r="CX38">
        <f>SUM(BF$13:BF38)*CB38/1000</f>
        <v>0</v>
      </c>
      <c r="CY38">
        <f t="shared" si="68"/>
        <v>0</v>
      </c>
      <c r="DA38">
        <f t="shared" si="69"/>
        <v>2046</v>
      </c>
      <c r="DB38" s="89">
        <f>IFERROR(VLOOKUP($DA38,'Table 3 TransCost'!$B$10:$E$40,4,FALSE),0)</f>
        <v>0</v>
      </c>
      <c r="DC38" s="174">
        <f t="shared" si="70"/>
        <v>0</v>
      </c>
    </row>
    <row r="39" spans="1:107">
      <c r="B39" s="167"/>
      <c r="C39" s="9"/>
      <c r="D39" s="45"/>
      <c r="E39" s="9"/>
      <c r="F39" s="37"/>
      <c r="G39" s="9"/>
      <c r="H39" s="36"/>
      <c r="I39" s="49"/>
      <c r="M39" s="112"/>
      <c r="BL39" t="s">
        <v>225</v>
      </c>
      <c r="BO39" t="s">
        <v>225</v>
      </c>
      <c r="BU39" t="s">
        <v>225</v>
      </c>
      <c r="BX39" t="s">
        <v>225</v>
      </c>
      <c r="DB39" s="89"/>
      <c r="DC39" s="174"/>
    </row>
    <row r="40" spans="1:107" ht="12" customHeight="1">
      <c r="B40" s="167"/>
      <c r="C40" s="9"/>
      <c r="D40" s="45"/>
      <c r="E40" s="9"/>
      <c r="F40" s="37"/>
      <c r="G40" s="9"/>
      <c r="H40" s="36"/>
      <c r="I40" s="49"/>
      <c r="M40" s="112"/>
      <c r="N40" t="s">
        <v>93</v>
      </c>
      <c r="P40">
        <v>2030</v>
      </c>
      <c r="R40">
        <v>2024</v>
      </c>
      <c r="S40">
        <v>2029</v>
      </c>
      <c r="T40">
        <v>2037</v>
      </c>
      <c r="U40">
        <v>2032</v>
      </c>
      <c r="V40">
        <v>2024</v>
      </c>
      <c r="W40">
        <v>2036</v>
      </c>
      <c r="X40">
        <v>2024</v>
      </c>
      <c r="Y40">
        <v>2033</v>
      </c>
      <c r="Z40">
        <v>2024</v>
      </c>
      <c r="AA40">
        <v>2024</v>
      </c>
      <c r="AB40">
        <v>2029</v>
      </c>
      <c r="AC40">
        <v>2038</v>
      </c>
      <c r="AD40">
        <v>2024</v>
      </c>
      <c r="AE40">
        <v>2030</v>
      </c>
      <c r="AF40">
        <v>2037</v>
      </c>
      <c r="AG40">
        <v>2026</v>
      </c>
    </row>
    <row r="41" spans="1:107">
      <c r="A41" s="410"/>
      <c r="B41" s="410"/>
      <c r="D41" s="9"/>
      <c r="F41" s="37"/>
      <c r="H41" s="36"/>
      <c r="I41"/>
      <c r="N41" t="s">
        <v>226</v>
      </c>
      <c r="P41" s="198">
        <v>0</v>
      </c>
      <c r="Q41" s="198"/>
      <c r="R41" s="198">
        <v>0</v>
      </c>
      <c r="S41" s="198">
        <v>0</v>
      </c>
      <c r="T41" s="198">
        <v>0</v>
      </c>
      <c r="U41" s="198">
        <v>0</v>
      </c>
      <c r="V41" s="198">
        <v>0</v>
      </c>
      <c r="W41" s="198">
        <v>0</v>
      </c>
      <c r="X41" s="198">
        <v>0</v>
      </c>
      <c r="Y41" s="198">
        <v>0</v>
      </c>
      <c r="Z41" s="198">
        <v>0</v>
      </c>
      <c r="AA41" s="198">
        <v>0</v>
      </c>
      <c r="AB41" s="198">
        <v>0</v>
      </c>
      <c r="AC41" s="198">
        <v>0</v>
      </c>
      <c r="AD41" s="198">
        <v>1</v>
      </c>
      <c r="AE41" s="198">
        <v>0</v>
      </c>
      <c r="AF41" s="198">
        <v>0</v>
      </c>
      <c r="AG41" s="198">
        <v>0</v>
      </c>
      <c r="AH41" s="198"/>
      <c r="AI41" s="198"/>
      <c r="AJ41" s="198"/>
    </row>
    <row r="42" spans="1:107">
      <c r="A42" s="180"/>
      <c r="B42" s="55"/>
      <c r="E42" s="5"/>
      <c r="I42" s="49" t="s">
        <v>160</v>
      </c>
      <c r="P42" s="169"/>
      <c r="Q42" s="169"/>
      <c r="R42" s="169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</row>
    <row r="43" spans="1:107">
      <c r="B43" s="47"/>
      <c r="C43" s="9"/>
      <c r="D43" s="9"/>
      <c r="H43" s="36"/>
      <c r="I43" s="109">
        <v>6.9199999999999998E-2</v>
      </c>
    </row>
    <row r="44" spans="1:107">
      <c r="B44" s="48"/>
      <c r="E44" s="9"/>
      <c r="G44" s="182"/>
      <c r="H44" s="36"/>
    </row>
    <row r="45" spans="1:107">
      <c r="A45" s="411"/>
      <c r="B45" s="411"/>
      <c r="E45" s="9"/>
      <c r="G45" s="182"/>
      <c r="H45" s="36"/>
      <c r="P45" t="s">
        <v>112</v>
      </c>
    </row>
    <row r="46" spans="1:107" ht="13.5" customHeight="1">
      <c r="A46" s="55"/>
      <c r="B46" s="55"/>
      <c r="E46" s="5"/>
      <c r="H46" s="36"/>
      <c r="P46" t="s">
        <v>111</v>
      </c>
      <c r="R46" s="269">
        <v>2.2799999999999997E-2</v>
      </c>
    </row>
    <row r="47" spans="1:107" ht="21" customHeight="1">
      <c r="A47" s="411" t="str">
        <f>'Table 5'!A9</f>
        <v>15 Year</v>
      </c>
      <c r="B47" s="411"/>
      <c r="E47" s="9"/>
      <c r="G47" s="108"/>
      <c r="H47" s="36"/>
    </row>
    <row r="48" spans="1:107">
      <c r="B48" s="55" t="str">
        <f>" Levelized Prices (Nominal) @ "&amp;TEXT($I$43,"0.00%")&amp;" Discount Rate (1) (3) "</f>
        <v xml:space="preserve"> Levelized Prices (Nominal) @ 6.92% Discount Rate (1) (3) </v>
      </c>
      <c r="E48" s="5"/>
      <c r="H48" s="36"/>
      <c r="I48"/>
      <c r="M48" s="112"/>
    </row>
    <row r="49" spans="1:19">
      <c r="B49" s="47" t="s">
        <v>8</v>
      </c>
      <c r="C49" s="9">
        <f ca="1">'Table 5'!$D$9*(Study_CF*8.76)/'Table 5'!$F$9</f>
        <v>26.775909157295374</v>
      </c>
      <c r="D49" s="9"/>
      <c r="H49" s="36"/>
      <c r="I49"/>
    </row>
    <row r="50" spans="1:19">
      <c r="B50" s="48" t="s">
        <v>31</v>
      </c>
      <c r="E50" s="9">
        <f ca="1">'Table 5'!$C$9/'Table 5'!$F$9</f>
        <v>10.227134601198015</v>
      </c>
      <c r="G50" s="182">
        <f ca="1">'Table 5'!$G$9</f>
        <v>19.723186023862628</v>
      </c>
      <c r="H50" s="36"/>
      <c r="I50" s="204"/>
      <c r="S50" s="174"/>
    </row>
    <row r="51" spans="1:19" ht="8.25" customHeight="1">
      <c r="A51" s="411"/>
      <c r="B51" s="411"/>
      <c r="E51" s="9"/>
      <c r="G51" s="108"/>
      <c r="H51" s="36"/>
    </row>
    <row r="52" spans="1:19">
      <c r="A52" s="411"/>
      <c r="B52" s="411"/>
      <c r="E52" s="9"/>
      <c r="G52" s="108"/>
      <c r="H52" s="36"/>
      <c r="I52"/>
      <c r="M52" s="112"/>
    </row>
    <row r="53" spans="1:19">
      <c r="B53" s="55"/>
      <c r="E53" s="5"/>
      <c r="H53" s="36"/>
      <c r="I53"/>
    </row>
    <row r="54" spans="1:19">
      <c r="B54" s="47"/>
      <c r="C54" s="9"/>
      <c r="D54" s="9"/>
      <c r="H54" s="36"/>
      <c r="I54"/>
      <c r="S54" s="174"/>
    </row>
    <row r="55" spans="1:19">
      <c r="B55" s="48"/>
      <c r="E55" s="9"/>
      <c r="G55" s="182"/>
      <c r="H55" s="36"/>
    </row>
    <row r="56" spans="1:19">
      <c r="B56" s="47"/>
      <c r="C56" s="9"/>
      <c r="D56" s="9"/>
      <c r="H56" s="36"/>
    </row>
    <row r="57" spans="1:19">
      <c r="B57" s="48"/>
      <c r="E57" s="9"/>
      <c r="G57" s="108"/>
      <c r="H57" s="36"/>
    </row>
    <row r="58" spans="1:19">
      <c r="B58" s="47"/>
      <c r="C58" s="9"/>
      <c r="D58" s="9"/>
      <c r="H58" s="36"/>
    </row>
    <row r="59" spans="1:19">
      <c r="B59" s="55"/>
      <c r="E59" s="5"/>
      <c r="H59" s="36"/>
    </row>
    <row r="60" spans="1:19">
      <c r="B60" s="47"/>
      <c r="C60" s="9"/>
      <c r="D60" s="9"/>
      <c r="H60" s="36"/>
    </row>
    <row r="61" spans="1:19">
      <c r="A61" s="411"/>
      <c r="B61" s="411"/>
      <c r="E61" s="9"/>
      <c r="G61" s="108"/>
      <c r="H61" s="36"/>
    </row>
    <row r="62" spans="1:19">
      <c r="B62" s="55"/>
      <c r="E62" s="5"/>
      <c r="H62" s="36"/>
    </row>
    <row r="63" spans="1:19">
      <c r="B63" s="47"/>
      <c r="C63" s="9"/>
      <c r="D63" s="9"/>
      <c r="H63" s="36"/>
    </row>
    <row r="64" spans="1:19">
      <c r="B64" s="48"/>
      <c r="E64" s="9"/>
      <c r="G64" s="182"/>
      <c r="H64" s="36"/>
    </row>
    <row r="65" spans="1:13">
      <c r="E65" s="38"/>
      <c r="G65" s="38"/>
      <c r="H65" s="36"/>
      <c r="I65" s="108"/>
    </row>
    <row r="66" spans="1:13">
      <c r="B66" s="50"/>
      <c r="E66" s="36"/>
      <c r="F66" s="38"/>
      <c r="G66" s="36"/>
      <c r="H66" s="36"/>
      <c r="I66" s="108"/>
    </row>
    <row r="67" spans="1:13">
      <c r="F67" s="38"/>
      <c r="H67" s="36"/>
      <c r="I67" s="108"/>
    </row>
    <row r="68" spans="1:13">
      <c r="G68" s="5"/>
    </row>
    <row r="70" spans="1:13">
      <c r="B70" s="94"/>
    </row>
    <row r="71" spans="1:13" ht="12.75" customHeight="1">
      <c r="B71" s="94"/>
    </row>
    <row r="72" spans="1:13" ht="12.75" customHeight="1">
      <c r="A72" s="3" t="b">
        <f>SUM(P13:AJ28)&gt;0</f>
        <v>1</v>
      </c>
      <c r="B72" s="94"/>
    </row>
    <row r="73" spans="1:13">
      <c r="A73" s="3">
        <f>IF(SUM(P13:P28)&gt;0,1,IF(SUM(R13:R28)&gt;0,2,IF(SUM(S13:S28)&gt;0,3,IF(SUM(T13:T28)&gt;0,4,IF(SUM(U13:U28)&gt;0,5,IF(SUM(V13:V28)&gt;0,6,IF(SUM(W13:W28)&gt;0,7,IF(SUM(X13:X28)&gt;0,8,IF(SUM(Y13:Y28)&gt;0,9,IF(SUM(AA13:AA28)&gt;0,10,IF(SUM(Z13:Z28)&gt;0,11,IF(SUM(AB13:AB28)&gt;0,12,IF(SUM(AC13:AC28)&gt;0,13,IF(SUM(AD13:AD28)&gt;0,14,IF(SUM(AE13:AE28)&gt;0,15,IF(SUM(AF13:AF28)&gt;0,16,IF(SUM(AG13:AG28)&gt;0,17,IF(SUM(AH13:AH28)&gt;0,18))))))))))))))))))</f>
        <v>14</v>
      </c>
      <c r="B73" s="10"/>
      <c r="C73" s="7"/>
      <c r="D73" s="7"/>
      <c r="E73" s="7"/>
      <c r="G73" s="7"/>
    </row>
    <row r="74" spans="1:13">
      <c r="A74">
        <f>INDEX($O$13:$AJ$33,IF(SUM($P$13:$AJ$33)&gt;0,SUM($P$13:$AJ$33),FALSE)-1,1)</f>
        <v>2027</v>
      </c>
      <c r="I74" t="s">
        <v>57</v>
      </c>
    </row>
    <row r="75" spans="1:13" s="53" customFormat="1">
      <c r="A75" s="54"/>
      <c r="B75" s="10"/>
      <c r="C75" s="54"/>
      <c r="D75" s="54"/>
      <c r="E75" s="54"/>
      <c r="F75" s="54"/>
      <c r="G75" s="54"/>
      <c r="I75" t="str">
        <f ca="1">"       Avoided Costs calculated annually are  "&amp;TEXT(PMT(Discount_Rate,COUNT($G$13:$G$27),-NPV(Discount_Rate,$G$13:$G$27)),"$0.00")&amp;"/MWH"</f>
        <v xml:space="preserve">       Avoided Costs calculated annually are  $19.81/MWH</v>
      </c>
      <c r="J75"/>
      <c r="K75"/>
      <c r="L75"/>
      <c r="M75"/>
    </row>
    <row r="76" spans="1:13" s="53" customFormat="1">
      <c r="A76" s="54"/>
      <c r="B76" s="10"/>
      <c r="C76" s="54"/>
      <c r="D76" s="54"/>
      <c r="E76" s="54"/>
      <c r="F76" s="54"/>
      <c r="G76" s="54"/>
      <c r="I76" s="10" t="str">
        <f>"       Avoided Costs calculated monthly are  "&amp;TEXT($G$44,"$0.00")&amp;"/MWH"</f>
        <v xml:space="preserve">       Avoided Costs calculated monthly are  $0.00/MWH</v>
      </c>
      <c r="J76"/>
      <c r="K76"/>
    </row>
    <row r="77" spans="1:13">
      <c r="A77"/>
      <c r="B77" s="51"/>
      <c r="I77" s="53"/>
      <c r="L77" s="53"/>
      <c r="M77" s="53"/>
    </row>
    <row r="78" spans="1:13">
      <c r="A78"/>
      <c r="F78" s="7"/>
    </row>
    <row r="81" spans="1:11">
      <c r="A81"/>
      <c r="J81" s="53"/>
      <c r="K81" s="53"/>
    </row>
    <row r="82" spans="1:11">
      <c r="A82"/>
      <c r="J82" s="53"/>
      <c r="K82" s="53"/>
    </row>
  </sheetData>
  <mergeCells count="6">
    <mergeCell ref="A41:B41"/>
    <mergeCell ref="A51:B51"/>
    <mergeCell ref="A61:B61"/>
    <mergeCell ref="A47:B47"/>
    <mergeCell ref="A45:B45"/>
    <mergeCell ref="A52:B52"/>
  </mergeCells>
  <phoneticPr fontId="8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BH73"/>
  <sheetViews>
    <sheetView workbookViewId="0">
      <selection activeCell="F31" sqref="F31"/>
    </sheetView>
  </sheetViews>
  <sheetFormatPr defaultColWidth="9.33203125" defaultRowHeight="12.75"/>
  <cols>
    <col min="1" max="1" width="1.5" style="117" customWidth="1"/>
    <col min="2" max="2" width="10.83203125" style="117" customWidth="1"/>
    <col min="3" max="3" width="14.1640625" style="117" customWidth="1"/>
    <col min="4" max="4" width="12.33203125" style="117" customWidth="1"/>
    <col min="5" max="5" width="16.83203125" style="117" customWidth="1"/>
    <col min="6" max="6" width="7.83203125" style="117" customWidth="1"/>
    <col min="7" max="7" width="9.83203125" style="117" customWidth="1"/>
    <col min="8" max="8" width="13.83203125" style="117" customWidth="1"/>
    <col min="9" max="10" width="12.5" style="117" customWidth="1"/>
    <col min="11" max="11" width="4.83203125" style="117" customWidth="1"/>
    <col min="12" max="12" width="9.83203125" style="117" customWidth="1"/>
    <col min="13" max="13" width="13.83203125" style="117" customWidth="1"/>
    <col min="14" max="14" width="12.5" style="117" customWidth="1"/>
    <col min="15" max="15" width="18" style="117" customWidth="1"/>
    <col min="16" max="16" width="7" style="117" customWidth="1"/>
    <col min="17" max="17" width="9.83203125" style="117" customWidth="1"/>
    <col min="18" max="18" width="13.83203125" style="117" customWidth="1"/>
    <col min="19" max="20" width="12.5" style="117" customWidth="1"/>
    <col min="21" max="21" width="5.1640625" style="117" customWidth="1"/>
    <col min="22" max="22" width="9.83203125" style="117" customWidth="1"/>
    <col min="23" max="23" width="13.83203125" style="117" customWidth="1"/>
    <col min="24" max="25" width="12.5" style="117" customWidth="1"/>
    <col min="26" max="26" width="5.6640625" style="117" customWidth="1"/>
    <col min="27" max="27" width="9.83203125" style="117" customWidth="1"/>
    <col min="28" max="28" width="13.83203125" style="117" customWidth="1"/>
    <col min="29" max="30" width="12.5" style="117" customWidth="1"/>
    <col min="31" max="31" width="6.33203125" style="117" customWidth="1"/>
    <col min="32" max="32" width="9.83203125" style="117" customWidth="1"/>
    <col min="33" max="33" width="13.83203125" style="117" customWidth="1"/>
    <col min="34" max="35" width="12.5" style="117" customWidth="1"/>
    <col min="36" max="36" width="5.6640625" style="117" customWidth="1"/>
    <col min="37" max="37" width="9.83203125" style="117" customWidth="1"/>
    <col min="38" max="38" width="13.83203125" style="117" customWidth="1"/>
    <col min="39" max="40" width="12.5" style="117" customWidth="1"/>
    <col min="41" max="41" width="5.6640625" style="117" customWidth="1"/>
    <col min="42" max="42" width="9.83203125" style="117" customWidth="1"/>
    <col min="43" max="43" width="13.83203125" style="117" customWidth="1"/>
    <col min="44" max="45" width="12.5" style="117" customWidth="1"/>
    <col min="46" max="46" width="5.6640625" style="117" customWidth="1"/>
    <col min="47" max="47" width="9.83203125" style="117" customWidth="1"/>
    <col min="48" max="48" width="13.83203125" style="117" customWidth="1"/>
    <col min="49" max="50" width="12.5" style="117" customWidth="1"/>
    <col min="51" max="51" width="6.33203125" style="117" customWidth="1"/>
    <col min="52" max="52" width="9.83203125" style="117" customWidth="1"/>
    <col min="53" max="53" width="13.83203125" style="117" customWidth="1"/>
    <col min="54" max="54" width="12.5" style="117" customWidth="1"/>
    <col min="55" max="55" width="15.1640625" style="117" customWidth="1"/>
    <col min="56" max="56" width="11.6640625" style="117" customWidth="1"/>
    <col min="57" max="57" width="9.83203125" style="117" customWidth="1"/>
    <col min="58" max="58" width="13.83203125" style="117" customWidth="1"/>
    <col min="59" max="59" width="12.5" style="161" customWidth="1"/>
    <col min="60" max="60" width="12.5" style="117" customWidth="1"/>
    <col min="61" max="16384" width="9.33203125" style="117"/>
  </cols>
  <sheetData>
    <row r="1" spans="2:60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</row>
    <row r="2" spans="2:60" ht="15.75">
      <c r="B2" s="115" t="s">
        <v>180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</row>
    <row r="3" spans="2:60" ht="15.75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</row>
    <row r="4" spans="2:60" s="334" customFormat="1" ht="18.75" customHeight="1">
      <c r="B4" s="414" t="s">
        <v>179</v>
      </c>
      <c r="C4" s="415"/>
      <c r="D4" s="415"/>
      <c r="E4" s="416"/>
      <c r="F4" s="118"/>
      <c r="G4" s="414" t="s">
        <v>184</v>
      </c>
      <c r="H4" s="415"/>
      <c r="I4" s="415"/>
      <c r="J4" s="416"/>
      <c r="K4" s="118"/>
      <c r="L4" s="417" t="s">
        <v>191</v>
      </c>
      <c r="M4" s="418"/>
      <c r="N4" s="418"/>
      <c r="O4" s="419"/>
      <c r="Q4" s="417" t="s">
        <v>182</v>
      </c>
      <c r="R4" s="418"/>
      <c r="S4" s="418"/>
      <c r="T4" s="419"/>
      <c r="U4" s="118"/>
      <c r="V4" s="414" t="s">
        <v>183</v>
      </c>
      <c r="W4" s="415"/>
      <c r="X4" s="415"/>
      <c r="Y4" s="416"/>
      <c r="Z4" s="118"/>
      <c r="AA4" s="414" t="s">
        <v>221</v>
      </c>
      <c r="AB4" s="415"/>
      <c r="AC4" s="415"/>
      <c r="AD4" s="416"/>
      <c r="AE4" s="118"/>
      <c r="AF4" s="414" t="s">
        <v>222</v>
      </c>
      <c r="AG4" s="415"/>
      <c r="AH4" s="415"/>
      <c r="AI4" s="416"/>
      <c r="AJ4" s="118"/>
      <c r="AK4" s="417" t="s">
        <v>187</v>
      </c>
      <c r="AL4" s="418"/>
      <c r="AM4" s="418"/>
      <c r="AN4" s="419"/>
      <c r="AO4" s="118"/>
      <c r="AP4" s="417" t="s">
        <v>193</v>
      </c>
      <c r="AQ4" s="418"/>
      <c r="AR4" s="418"/>
      <c r="AS4" s="419"/>
      <c r="AT4" s="118"/>
      <c r="AU4" s="417" t="s">
        <v>195</v>
      </c>
      <c r="AV4" s="418"/>
      <c r="AW4" s="418"/>
      <c r="AX4" s="419"/>
      <c r="AY4" s="118"/>
      <c r="AZ4" s="417" t="s">
        <v>219</v>
      </c>
      <c r="BA4" s="418"/>
      <c r="BB4" s="418"/>
      <c r="BC4" s="419"/>
      <c r="BD4" s="353"/>
      <c r="BE4" s="417" t="s">
        <v>220</v>
      </c>
      <c r="BF4" s="418"/>
      <c r="BG4" s="418"/>
      <c r="BH4" s="419"/>
    </row>
    <row r="5" spans="2:60" ht="51.75" customHeight="1">
      <c r="B5" s="120" t="s">
        <v>0</v>
      </c>
      <c r="C5" s="121" t="s">
        <v>87</v>
      </c>
      <c r="D5" s="121" t="s">
        <v>82</v>
      </c>
      <c r="E5" s="17" t="s">
        <v>52</v>
      </c>
      <c r="G5" s="120" t="s">
        <v>0</v>
      </c>
      <c r="H5" s="121" t="s">
        <v>87</v>
      </c>
      <c r="I5" s="121" t="s">
        <v>82</v>
      </c>
      <c r="J5" s="17" t="s">
        <v>52</v>
      </c>
      <c r="L5" s="120" t="s">
        <v>0</v>
      </c>
      <c r="M5" s="121" t="s">
        <v>87</v>
      </c>
      <c r="N5" s="121" t="s">
        <v>82</v>
      </c>
      <c r="O5" s="17" t="s">
        <v>52</v>
      </c>
      <c r="Q5" s="120" t="s">
        <v>0</v>
      </c>
      <c r="R5" s="121" t="s">
        <v>87</v>
      </c>
      <c r="S5" s="121" t="s">
        <v>82</v>
      </c>
      <c r="T5" s="17" t="s">
        <v>52</v>
      </c>
      <c r="V5" s="120" t="s">
        <v>0</v>
      </c>
      <c r="W5" s="121" t="s">
        <v>87</v>
      </c>
      <c r="X5" s="121" t="s">
        <v>82</v>
      </c>
      <c r="Y5" s="17" t="s">
        <v>52</v>
      </c>
      <c r="AA5" s="120" t="s">
        <v>0</v>
      </c>
      <c r="AB5" s="121" t="s">
        <v>87</v>
      </c>
      <c r="AC5" s="121" t="s">
        <v>82</v>
      </c>
      <c r="AD5" s="17" t="s">
        <v>52</v>
      </c>
      <c r="AF5" s="120" t="s">
        <v>0</v>
      </c>
      <c r="AG5" s="121" t="s">
        <v>87</v>
      </c>
      <c r="AH5" s="121" t="s">
        <v>82</v>
      </c>
      <c r="AI5" s="17" t="s">
        <v>52</v>
      </c>
      <c r="AK5" s="120" t="s">
        <v>0</v>
      </c>
      <c r="AL5" s="121" t="s">
        <v>87</v>
      </c>
      <c r="AM5" s="121" t="s">
        <v>82</v>
      </c>
      <c r="AN5" s="17" t="s">
        <v>52</v>
      </c>
      <c r="AP5" s="120" t="s">
        <v>0</v>
      </c>
      <c r="AQ5" s="121" t="s">
        <v>87</v>
      </c>
      <c r="AR5" s="121" t="s">
        <v>82</v>
      </c>
      <c r="AS5" s="17" t="s">
        <v>52</v>
      </c>
      <c r="AU5" s="120" t="s">
        <v>0</v>
      </c>
      <c r="AV5" s="121" t="s">
        <v>87</v>
      </c>
      <c r="AW5" s="121" t="s">
        <v>82</v>
      </c>
      <c r="AX5" s="17" t="s">
        <v>52</v>
      </c>
      <c r="AZ5" s="120" t="s">
        <v>0</v>
      </c>
      <c r="BA5" s="121" t="s">
        <v>87</v>
      </c>
      <c r="BB5" s="121" t="s">
        <v>82</v>
      </c>
      <c r="BC5" s="17" t="s">
        <v>52</v>
      </c>
      <c r="BE5" s="120" t="s">
        <v>0</v>
      </c>
      <c r="BF5" s="121" t="s">
        <v>87</v>
      </c>
      <c r="BG5" s="121" t="s">
        <v>82</v>
      </c>
      <c r="BH5" s="17" t="s">
        <v>52</v>
      </c>
    </row>
    <row r="6" spans="2:60" ht="24" customHeight="1">
      <c r="B6" s="122"/>
      <c r="C6" s="124" t="s">
        <v>9</v>
      </c>
      <c r="D6" s="123" t="s">
        <v>83</v>
      </c>
      <c r="E6" s="19" t="s">
        <v>9</v>
      </c>
      <c r="G6" s="122"/>
      <c r="H6" s="124" t="s">
        <v>9</v>
      </c>
      <c r="I6" s="123" t="s">
        <v>83</v>
      </c>
      <c r="J6" s="19" t="s">
        <v>9</v>
      </c>
      <c r="L6" s="122"/>
      <c r="M6" s="124" t="s">
        <v>9</v>
      </c>
      <c r="N6" s="123" t="s">
        <v>83</v>
      </c>
      <c r="O6" s="19" t="s">
        <v>9</v>
      </c>
      <c r="Q6" s="122"/>
      <c r="R6" s="124" t="s">
        <v>9</v>
      </c>
      <c r="S6" s="123" t="s">
        <v>83</v>
      </c>
      <c r="T6" s="19" t="s">
        <v>9</v>
      </c>
      <c r="V6" s="122"/>
      <c r="W6" s="124" t="s">
        <v>9</v>
      </c>
      <c r="X6" s="123" t="s">
        <v>83</v>
      </c>
      <c r="Y6" s="19" t="s">
        <v>9</v>
      </c>
      <c r="AA6" s="122"/>
      <c r="AB6" s="124" t="s">
        <v>9</v>
      </c>
      <c r="AC6" s="123" t="s">
        <v>83</v>
      </c>
      <c r="AD6" s="19" t="s">
        <v>9</v>
      </c>
      <c r="AF6" s="122"/>
      <c r="AG6" s="124" t="s">
        <v>9</v>
      </c>
      <c r="AH6" s="123" t="s">
        <v>83</v>
      </c>
      <c r="AI6" s="19" t="s">
        <v>9</v>
      </c>
      <c r="AK6" s="122"/>
      <c r="AL6" s="124" t="s">
        <v>9</v>
      </c>
      <c r="AM6" s="123" t="s">
        <v>83</v>
      </c>
      <c r="AN6" s="19" t="s">
        <v>9</v>
      </c>
      <c r="AP6" s="122"/>
      <c r="AQ6" s="124" t="s">
        <v>9</v>
      </c>
      <c r="AR6" s="123" t="s">
        <v>83</v>
      </c>
      <c r="AS6" s="19" t="s">
        <v>9</v>
      </c>
      <c r="AU6" s="122"/>
      <c r="AV6" s="124" t="s">
        <v>9</v>
      </c>
      <c r="AW6" s="123" t="s">
        <v>83</v>
      </c>
      <c r="AX6" s="19" t="s">
        <v>9</v>
      </c>
      <c r="AZ6" s="122"/>
      <c r="BA6" s="124" t="s">
        <v>9</v>
      </c>
      <c r="BB6" s="123" t="s">
        <v>83</v>
      </c>
      <c r="BC6" s="19" t="s">
        <v>9</v>
      </c>
      <c r="BE6" s="122"/>
      <c r="BF6" s="124" t="s">
        <v>9</v>
      </c>
      <c r="BG6" s="123" t="s">
        <v>83</v>
      </c>
      <c r="BH6" s="19" t="s">
        <v>9</v>
      </c>
    </row>
    <row r="7" spans="2:60">
      <c r="C7" s="125" t="s">
        <v>2</v>
      </c>
      <c r="D7" s="125" t="s">
        <v>4</v>
      </c>
      <c r="E7" s="125" t="s">
        <v>23</v>
      </c>
      <c r="H7" s="125" t="s">
        <v>2</v>
      </c>
      <c r="I7" s="125" t="s">
        <v>4</v>
      </c>
      <c r="J7" s="125" t="s">
        <v>23</v>
      </c>
      <c r="M7" s="125" t="s">
        <v>2</v>
      </c>
      <c r="N7" s="125" t="s">
        <v>4</v>
      </c>
      <c r="O7" s="125" t="s">
        <v>23</v>
      </c>
      <c r="R7" s="125" t="s">
        <v>2</v>
      </c>
      <c r="S7" s="125" t="s">
        <v>4</v>
      </c>
      <c r="T7" s="125" t="s">
        <v>23</v>
      </c>
      <c r="W7" s="125" t="s">
        <v>2</v>
      </c>
      <c r="X7" s="125" t="s">
        <v>4</v>
      </c>
      <c r="Y7" s="125" t="s">
        <v>23</v>
      </c>
      <c r="AB7" s="125" t="s">
        <v>2</v>
      </c>
      <c r="AC7" s="125" t="s">
        <v>4</v>
      </c>
      <c r="AD7" s="125" t="s">
        <v>23</v>
      </c>
      <c r="AG7" s="125" t="s">
        <v>2</v>
      </c>
      <c r="AH7" s="125" t="s">
        <v>4</v>
      </c>
      <c r="AI7" s="125" t="s">
        <v>23</v>
      </c>
      <c r="AL7" s="125" t="s">
        <v>2</v>
      </c>
      <c r="AM7" s="125" t="s">
        <v>4</v>
      </c>
      <c r="AN7" s="125" t="s">
        <v>23</v>
      </c>
      <c r="AQ7" s="125" t="s">
        <v>2</v>
      </c>
      <c r="AR7" s="125" t="s">
        <v>4</v>
      </c>
      <c r="AS7" s="125" t="s">
        <v>23</v>
      </c>
      <c r="AV7" s="125" t="s">
        <v>2</v>
      </c>
      <c r="AW7" s="125" t="s">
        <v>4</v>
      </c>
      <c r="AX7" s="125" t="s">
        <v>23</v>
      </c>
      <c r="BA7" s="125" t="s">
        <v>2</v>
      </c>
      <c r="BB7" s="125" t="s">
        <v>4</v>
      </c>
      <c r="BC7" s="125" t="s">
        <v>23</v>
      </c>
      <c r="BF7" s="125" t="s">
        <v>2</v>
      </c>
      <c r="BG7" s="125" t="s">
        <v>4</v>
      </c>
      <c r="BH7" s="125" t="s">
        <v>23</v>
      </c>
    </row>
    <row r="8" spans="2:60" ht="6" customHeight="1">
      <c r="BG8" s="117"/>
    </row>
    <row r="9" spans="2:60">
      <c r="B9" s="350" t="str">
        <f>B4</f>
        <v>Aeolus_Wyoming - to - Utah S, Expansion</v>
      </c>
      <c r="D9" s="119"/>
      <c r="E9" s="119"/>
      <c r="G9" s="350" t="str">
        <f>G4</f>
        <v>Goshen - to - Utah N, Expansion</v>
      </c>
      <c r="I9" s="119"/>
      <c r="J9" s="119"/>
      <c r="L9" s="350" t="str">
        <f>L4</f>
        <v>Yakima- to - Southern Oregon/California, Expansion</v>
      </c>
      <c r="N9" s="119"/>
      <c r="O9" s="119"/>
      <c r="Q9" s="350" t="str">
        <f>Q4</f>
        <v>Utah N, Transmission Integration</v>
      </c>
      <c r="S9" s="119"/>
      <c r="T9" s="119"/>
      <c r="V9" s="350" t="str">
        <f>V4</f>
        <v>Yakima, Transmission Integration</v>
      </c>
      <c r="X9" s="119"/>
      <c r="Y9" s="119"/>
      <c r="AA9" s="350" t="s">
        <v>185</v>
      </c>
      <c r="AC9" s="119"/>
      <c r="AD9" s="119"/>
      <c r="AF9" s="350" t="s">
        <v>186</v>
      </c>
      <c r="AH9" s="119"/>
      <c r="AI9" s="119"/>
      <c r="AK9" s="350" t="str">
        <f>AK4</f>
        <v>Southern Oregon/California, Transmission Integration</v>
      </c>
      <c r="AM9" s="119"/>
      <c r="AN9" s="119"/>
      <c r="AP9" s="350" t="str">
        <f>AP4</f>
        <v>Willamette Valley, Transmission Integration</v>
      </c>
      <c r="AR9" s="119"/>
      <c r="AS9" s="119"/>
      <c r="AU9" s="350" t="str">
        <f>AU4</f>
        <v>Wyoming SW, Transmission Integration</v>
      </c>
      <c r="AW9" s="119"/>
      <c r="AX9" s="119"/>
      <c r="AZ9" s="350" t="str">
        <f>AZ4</f>
        <v>Bridger - to - Bridger West, Recovered Transmission 2029</v>
      </c>
      <c r="BB9" s="119"/>
      <c r="BC9" s="119"/>
      <c r="BE9" s="350" t="str">
        <f>BE4</f>
        <v>Bridger - to - Bridger West, Recovered Transmission 2024</v>
      </c>
      <c r="BG9" s="119"/>
      <c r="BH9" s="119"/>
    </row>
    <row r="10" spans="2:60">
      <c r="B10" s="135">
        <v>2023</v>
      </c>
      <c r="C10" s="128">
        <f>IF($B10&lt;D$35,0,IF($B10=D$35,D$39,ROUND(C9*(1+(IFERROR(INDEX($D$44:$D$52,MATCH($B10,$C$44:$C$52,0),1),0)+IFERROR(INDEX($G$44:$G$52,MATCH($B10,$F$44:$F$52,0),1),0)+IFERROR(INDEX($J$44:$J$52,MATCH($B10,$I$44:$I$52,0),1),0))),2)))</f>
        <v>0</v>
      </c>
      <c r="D10" s="135">
        <v>12</v>
      </c>
      <c r="E10" s="130">
        <f t="shared" ref="E10:E32" si="0">SUM(C10:C10)*D10/12</f>
        <v>0</v>
      </c>
      <c r="F10" s="119"/>
      <c r="G10" s="135">
        <v>2023</v>
      </c>
      <c r="H10" s="128">
        <f>IF($B10&lt;I$35,0,IF($B10=I$35,I$39,ROUND(H9*(1+(IFERROR(INDEX($D$44:$D$52,MATCH($B10,$C$44:$C$52,0),1),0)+IFERROR(INDEX($G$44:$G$52,MATCH($B10,$F$44:$F$52,0),1),0)+IFERROR(INDEX($J$44:$J$52,MATCH($B10,$I$44:$I$52,0),1),0))),2)))</f>
        <v>0</v>
      </c>
      <c r="I10" s="135">
        <v>12</v>
      </c>
      <c r="J10" s="130">
        <f t="shared" ref="J10:J32" si="1">SUM(H10:H10)*I10/12</f>
        <v>0</v>
      </c>
      <c r="K10" s="119"/>
      <c r="L10" s="135">
        <v>2023</v>
      </c>
      <c r="M10" s="128">
        <f>IF($B10&lt;N$35,0,IF($B10=N$35,N$39,ROUND(M9*(1+(IFERROR(INDEX($D$44:$D$52,MATCH($B10,$C$44:$C$52,0),1),0)+IFERROR(INDEX($G$44:$G$52,MATCH($B10,$F$44:$F$52,0),1),0)+IFERROR(INDEX($J$44:$J$52,MATCH($B10,$I$44:$I$52,0),1),0))),2)))</f>
        <v>0</v>
      </c>
      <c r="N10" s="135">
        <v>12</v>
      </c>
      <c r="O10" s="130">
        <f t="shared" ref="O10:O32" si="2">SUM(M10:M10)*N10/12</f>
        <v>0</v>
      </c>
      <c r="P10" s="134"/>
      <c r="Q10" s="135">
        <f>$B10</f>
        <v>2023</v>
      </c>
      <c r="R10" s="128">
        <f>IF($B10&lt;S$35,0,IF($B10=S$35,S$39,ROUND(R9*(1+(IFERROR(INDEX($D$44:$D$52,MATCH($B10,$C$44:$C$52,0),1),0)+IFERROR(INDEX($G$44:$G$52,MATCH($B10,$F$44:$F$52,0),1),0)+IFERROR(INDEX($J$44:$J$52,MATCH($B10,$I$44:$I$52,0),1),0))),2)))</f>
        <v>0</v>
      </c>
      <c r="S10" s="135">
        <v>12</v>
      </c>
      <c r="T10" s="130">
        <f t="shared" ref="T10:T32" si="3">SUM(R10:R10)*S10/12</f>
        <v>0</v>
      </c>
      <c r="U10" s="119"/>
      <c r="V10" s="135">
        <f>$B10</f>
        <v>2023</v>
      </c>
      <c r="W10" s="128">
        <f>IF($B10&lt;X$35,0,IF($B10=X$35,X$39,ROUND(W9*(1+(IFERROR(INDEX($D$44:$D$52,MATCH($B10,$C$44:$C$52,0),1),0)+IFERROR(INDEX($G$44:$G$52,MATCH($B10,$F$44:$F$52,0),1),0)+IFERROR(INDEX($J$44:$J$52,MATCH($B10,$I$44:$I$52,0),1),0))),2)))</f>
        <v>0</v>
      </c>
      <c r="X10" s="135">
        <v>12</v>
      </c>
      <c r="Y10" s="130">
        <f t="shared" ref="Y10:Y32" si="4">SUM(W10:W10)*X10/12</f>
        <v>0</v>
      </c>
      <c r="Z10" s="119"/>
      <c r="AA10" s="341">
        <f>$B10</f>
        <v>2023</v>
      </c>
      <c r="AB10" s="128">
        <f>IF($B10&lt;AC$35,0,IF($B10=AC$35,AC$39,ROUND(AB9*(1+(IFERROR(INDEX($D$44:$D$52,MATCH($B10,$C$44:$C$52,0),1),0)+IFERROR(INDEX($G$44:$G$52,MATCH($B10,$F$44:$F$52,0),1),0)+IFERROR(INDEX($J$44:$J$52,MATCH($B10,$I$44:$I$52,0),1),0))),2)))</f>
        <v>1.4680258019147514</v>
      </c>
      <c r="AC10" s="135">
        <v>12</v>
      </c>
      <c r="AD10" s="130">
        <f t="shared" ref="AD10:AD32" si="5">SUM(AB10:AB10)*AC10/12</f>
        <v>1.4680258019147514</v>
      </c>
      <c r="AE10" s="119"/>
      <c r="AF10" s="135">
        <f>$B10</f>
        <v>2023</v>
      </c>
      <c r="AG10" s="128">
        <f>IF($B10&lt;AH$35,0,IF($B10=AH$35,AH$39,ROUND(AG9*(1+(IFERROR(INDEX($D$44:$D$52,MATCH($B10,$C$44:$C$52,0),1),0)+IFERROR(INDEX($G$44:$G$52,MATCH($B10,$F$44:$F$52,0),1),0)+IFERROR(INDEX($J$44:$J$52,MATCH($B10,$I$44:$I$52,0),1),0))),2)))</f>
        <v>0</v>
      </c>
      <c r="AH10" s="135">
        <v>12</v>
      </c>
      <c r="AI10" s="130">
        <f t="shared" ref="AI10:AI32" si="6">SUM(AG10:AG10)*AH10/12</f>
        <v>0</v>
      </c>
      <c r="AJ10" s="119"/>
      <c r="AK10" s="135">
        <f>$B10</f>
        <v>2023</v>
      </c>
      <c r="AL10" s="128">
        <f>IF($B10&lt;AM$35,0,IF($B10=AM$35,AM$39,ROUND(AL9*(1+(IFERROR(INDEX($D$44:$D$52,MATCH($B10,$C$44:$C$52,0),1),0)+IFERROR(INDEX($G$44:$G$52,MATCH($B10,$F$44:$F$52,0),1),0)+IFERROR(INDEX($J$44:$J$52,MATCH($B10,$I$44:$I$52,0),1),0))),2)))</f>
        <v>0</v>
      </c>
      <c r="AM10" s="135">
        <v>12</v>
      </c>
      <c r="AN10" s="130">
        <f t="shared" ref="AN10:AN32" si="7">SUM(AL10:AL10)*AM10/12</f>
        <v>0</v>
      </c>
      <c r="AO10" s="119"/>
      <c r="AP10" s="135">
        <f>$B10</f>
        <v>2023</v>
      </c>
      <c r="AQ10" s="128">
        <f>IF($B10&lt;AR$35,0,IF($B10=AR$35,AR$39,ROUND(AQ9*(1+(IFERROR(INDEX($D$44:$D$52,MATCH($B10,$C$44:$C$52,0),1),0)+IFERROR(INDEX($G$44:$G$52,MATCH($B10,$F$44:$F$52,0),1),0)+IFERROR(INDEX($J$44:$J$52,MATCH($B10,$I$44:$I$52,0),1),0))),2)))</f>
        <v>0</v>
      </c>
      <c r="AR10" s="135">
        <v>12</v>
      </c>
      <c r="AS10" s="130">
        <f t="shared" ref="AS10:AS32" si="8">SUM(AQ10:AQ10)*AR10/12</f>
        <v>0</v>
      </c>
      <c r="AT10" s="119"/>
      <c r="AU10" s="135">
        <f>$B10</f>
        <v>2023</v>
      </c>
      <c r="AV10" s="128">
        <f>IF($B10&lt;AW$35,0,IF($B10=AW$35,AW$39,ROUND(AV9*(1+(IFERROR(INDEX($D$44:$D$52,MATCH($B10,$C$44:$C$52,0),1),0)+IFERROR(INDEX($G$44:$G$52,MATCH($B10,$F$44:$F$52,0),1),0)+IFERROR(INDEX($J$44:$J$52,MATCH($B10,$I$44:$I$52,0),1),0))),2)))</f>
        <v>0</v>
      </c>
      <c r="AW10" s="135">
        <v>12</v>
      </c>
      <c r="AX10" s="130">
        <f t="shared" ref="AX10:AX32" si="9">SUM(AV10:AV10)*AW10/12</f>
        <v>0</v>
      </c>
      <c r="AY10" s="119"/>
      <c r="AZ10" s="135">
        <f>V10</f>
        <v>2023</v>
      </c>
      <c r="BA10" s="128">
        <f>IF($B10&lt;BB$35,0,IF($B10=BB$35,BB$39,ROUND(BA9*(1+(IFERROR(INDEX($D$44:$D$52,MATCH($B10,$C$44:$C$52,0),1),0)+IFERROR(INDEX($G$44:$G$52,MATCH($B10,$F$44:$F$52,0),1),0)+IFERROR(INDEX($J$44:$J$52,MATCH($B10,$I$44:$I$52,0),1),0))),2)))</f>
        <v>0</v>
      </c>
      <c r="BB10" s="135">
        <v>12</v>
      </c>
      <c r="BC10" s="130">
        <f t="shared" ref="BC10:BC32" si="10">SUM(BA10:BA10)*BB10/12</f>
        <v>0</v>
      </c>
      <c r="BE10" s="135">
        <f>AA10</f>
        <v>2023</v>
      </c>
      <c r="BF10" s="128">
        <f>IF($B10&lt;BG$35,0,IF($B10=BG$35,BG$39,ROUND(BF9*(1+(IFERROR(INDEX($D$44:$D$52,MATCH($B10,$C$44:$C$52,0),1),0)+IFERROR(INDEX($G$44:$G$52,MATCH($B10,$F$44:$F$52,0),1),0)+IFERROR(INDEX($J$44:$J$52,MATCH($B10,$I$44:$I$52,0),1),0))),2)))</f>
        <v>0</v>
      </c>
      <c r="BG10" s="135">
        <v>12</v>
      </c>
      <c r="BH10" s="130">
        <f t="shared" ref="BH10:BH32" si="11">SUM(BF10:BF10)*BG10/12</f>
        <v>0</v>
      </c>
    </row>
    <row r="11" spans="2:60">
      <c r="B11" s="341">
        <f t="shared" ref="B11:B32" si="12">B10+1</f>
        <v>2024</v>
      </c>
      <c r="C11" s="128">
        <f>IF($B11&lt;D$35,0,IF($B11=D$35,D$39,ROUND(C10*(1+(IFERROR(INDEX($D$44:$D$52,MATCH($B11,$C$44:$C$52,0),1),0)+IFERROR(INDEX($G$44:$G$52,MATCH($B11,$F$44:$F$52,0),1),0)+IFERROR(INDEX($J$44:$J$52,MATCH($B11,$I$44:$I$52,0),1),0))),2)))</f>
        <v>47.870308055404152</v>
      </c>
      <c r="D11" s="135">
        <v>12</v>
      </c>
      <c r="E11" s="130">
        <f t="shared" si="0"/>
        <v>47.870308055404145</v>
      </c>
      <c r="F11" s="119"/>
      <c r="G11" s="135">
        <f t="shared" ref="G11:G32" si="13">G10+1</f>
        <v>2024</v>
      </c>
      <c r="H11" s="128">
        <f>IF($B11&lt;I$35,0,IF($B11=I$35,I$39,ROUND(H10*(1+(IFERROR(INDEX($D$44:$D$52,MATCH($B11,$C$44:$C$52,0),1),0)+IFERROR(INDEX($G$44:$G$52,MATCH($B11,$F$44:$F$52,0),1),0)+IFERROR(INDEX($J$44:$J$52,MATCH($B11,$I$44:$I$52,0),1),0))),2)))</f>
        <v>0</v>
      </c>
      <c r="I11" s="135">
        <v>12</v>
      </c>
      <c r="J11" s="130">
        <f t="shared" si="1"/>
        <v>0</v>
      </c>
      <c r="K11" s="119"/>
      <c r="L11" s="135">
        <f t="shared" ref="L11:L32" si="14">L10+1</f>
        <v>2024</v>
      </c>
      <c r="M11" s="128">
        <f>IF($B11&lt;N$35,0,IF($B11=N$35,N$39,ROUND(M10*(1+(IFERROR(INDEX($D$44:$D$52,MATCH($B11,$C$44:$C$52,0),1),0)+IFERROR(INDEX($G$44:$G$52,MATCH($B11,$F$44:$F$52,0),1),0)+IFERROR(INDEX($J$44:$J$52,MATCH($B11,$I$44:$I$52,0),1),0))),2)))</f>
        <v>0</v>
      </c>
      <c r="N11" s="135">
        <v>12</v>
      </c>
      <c r="O11" s="130">
        <f t="shared" si="2"/>
        <v>0</v>
      </c>
      <c r="P11" s="134"/>
      <c r="Q11" s="341">
        <f t="shared" ref="Q11:Q32" si="15">Q10+1</f>
        <v>2024</v>
      </c>
      <c r="R11" s="128">
        <f>IF($B11&lt;S$35,0,IF($B11=S$35,S$39,ROUND(R10*(1+(IFERROR(INDEX($D$44:$D$52,MATCH($B11,$C$44:$C$52,0),1),0)+IFERROR(INDEX($G$44:$G$52,MATCH($B11,$F$44:$F$52,0),1),0)+IFERROR(INDEX($J$44:$J$52,MATCH($B11,$I$44:$I$52,0),1),0))),2)))</f>
        <v>2.5818101631996475</v>
      </c>
      <c r="S11" s="135">
        <v>12</v>
      </c>
      <c r="T11" s="130">
        <f t="shared" si="3"/>
        <v>2.5818101631996475</v>
      </c>
      <c r="U11" s="119"/>
      <c r="V11" s="341">
        <f t="shared" ref="V11:V32" si="16">V10+1</f>
        <v>2024</v>
      </c>
      <c r="W11" s="128">
        <f>IF($B11&lt;X$35,0,IF($B11=X$35,X$39,ROUND(W10*(1+(IFERROR(INDEX($D$44:$D$52,MATCH($B11,$C$44:$C$52,0),1),0)+IFERROR(INDEX($G$44:$G$52,MATCH($B11,$F$44:$F$52,0),1),0)+IFERROR(INDEX($J$44:$J$52,MATCH($B11,$I$44:$I$52,0),1),0))),2)))</f>
        <v>0.39132049215213044</v>
      </c>
      <c r="X11" s="135">
        <v>12</v>
      </c>
      <c r="Y11" s="130">
        <f t="shared" si="4"/>
        <v>0.39132049215213044</v>
      </c>
      <c r="Z11" s="119"/>
      <c r="AA11" s="135">
        <f t="shared" ref="AA11:AA32" si="17">AA10+1</f>
        <v>2024</v>
      </c>
      <c r="AB11" s="128">
        <f>IF($B11&lt;AC$35,0,IF($B11=AC$35,AC$39,ROUND(AB10*(1+(IFERROR(INDEX($D$44:$D$52,MATCH($B11,$C$44:$C$52,0),1),0)+IFERROR(INDEX($G$44:$G$52,MATCH($B11,$F$44:$F$52,0),1),0)+IFERROR(INDEX($J$44:$J$52,MATCH($B11,$I$44:$I$52,0),1),0))),2)))</f>
        <v>1.5</v>
      </c>
      <c r="AC11" s="135">
        <v>12</v>
      </c>
      <c r="AD11" s="130">
        <f t="shared" si="5"/>
        <v>1.5</v>
      </c>
      <c r="AE11" s="119"/>
      <c r="AF11" s="135">
        <f t="shared" ref="AF11:AF32" si="18">AF10+1</f>
        <v>2024</v>
      </c>
      <c r="AG11" s="128">
        <f>IF($B11&lt;AH$35,0,IF($B11=AH$35,AH$39,ROUND(AG10*(1+(IFERROR(INDEX($D$44:$D$52,MATCH($B11,$C$44:$C$52,0),1),0)+IFERROR(INDEX($G$44:$G$52,MATCH($B11,$F$44:$F$52,0),1),0)+IFERROR(INDEX($J$44:$J$52,MATCH($B11,$I$44:$I$52,0),1),0))),2)))</f>
        <v>0</v>
      </c>
      <c r="AH11" s="135">
        <v>12</v>
      </c>
      <c r="AI11" s="130">
        <f t="shared" si="6"/>
        <v>0</v>
      </c>
      <c r="AJ11" s="119"/>
      <c r="AK11" s="135">
        <f t="shared" ref="AK11:AK32" si="19">AK10+1</f>
        <v>2024</v>
      </c>
      <c r="AL11" s="128">
        <f>IF($B11&lt;AM$35,0,IF($B11=AM$35,AM$39,ROUND(AL10*(1+(IFERROR(INDEX($D$44:$D$52,MATCH($B11,$C$44:$C$52,0),1),0)+IFERROR(INDEX($G$44:$G$52,MATCH($B11,$F$44:$F$52,0),1),0)+IFERROR(INDEX($J$44:$J$52,MATCH($B11,$I$44:$I$52,0),1),0))),2)))</f>
        <v>0</v>
      </c>
      <c r="AM11" s="135">
        <v>12</v>
      </c>
      <c r="AN11" s="130">
        <f t="shared" si="7"/>
        <v>0</v>
      </c>
      <c r="AO11" s="119"/>
      <c r="AP11" s="135">
        <f t="shared" ref="AP11:AP32" si="20">AP10+1</f>
        <v>2024</v>
      </c>
      <c r="AQ11" s="128">
        <f>IF($B11&lt;AR$35,0,IF($B11=AR$35,AR$39,ROUND(AQ10*(1+(IFERROR(INDEX($D$44:$D$52,MATCH($B11,$C$44:$C$52,0),1),0)+IFERROR(INDEX($G$44:$G$52,MATCH($B11,$F$44:$F$52,0),1),0)+IFERROR(INDEX($J$44:$J$52,MATCH($B11,$I$44:$I$52,0),1),0))),2)))</f>
        <v>0</v>
      </c>
      <c r="AR11" s="135">
        <v>12</v>
      </c>
      <c r="AS11" s="130">
        <f t="shared" si="8"/>
        <v>0</v>
      </c>
      <c r="AT11" s="119"/>
      <c r="AU11" s="135">
        <f t="shared" ref="AU11:AU32" si="21">AU10+1</f>
        <v>2024</v>
      </c>
      <c r="AV11" s="128">
        <f>IF($B11&lt;AW$35,0,IF($B11=AW$35,AW$39,ROUND(AV10*(1+(IFERROR(INDEX($D$44:$D$52,MATCH($B11,$C$44:$C$52,0),1),0)+IFERROR(INDEX($G$44:$G$52,MATCH($B11,$F$44:$F$52,0),1),0)+IFERROR(INDEX($J$44:$J$52,MATCH($B11,$I$44:$I$52,0),1),0))),2)))</f>
        <v>0</v>
      </c>
      <c r="AW11" s="135">
        <v>12</v>
      </c>
      <c r="AX11" s="130">
        <f t="shared" si="9"/>
        <v>0</v>
      </c>
      <c r="AY11" s="119"/>
      <c r="AZ11" s="135">
        <f t="shared" ref="AZ11:AZ32" si="22">AZ10+1</f>
        <v>2024</v>
      </c>
      <c r="BA11" s="128">
        <f>IF($B11&lt;BB$35,0,IF($B11=BB$35,BB$39,ROUND(BA10*(1+(IFERROR(INDEX($D$44:$D$52,MATCH($B11,$C$44:$C$52,0),1),0)+IFERROR(INDEX($G$44:$G$52,MATCH($B11,$F$44:$F$52,0),1),0)+IFERROR(INDEX($J$44:$J$52,MATCH($B11,$I$44:$I$52,0),1),0))),2)))</f>
        <v>0</v>
      </c>
      <c r="BB11" s="135">
        <v>12</v>
      </c>
      <c r="BC11" s="130">
        <f t="shared" si="10"/>
        <v>0</v>
      </c>
      <c r="BE11" s="341">
        <f t="shared" ref="BE11:BE32" si="23">BE10+1</f>
        <v>2024</v>
      </c>
      <c r="BF11" s="128">
        <f>IF($B11&lt;BG$35,0,IF($B11=BG$35,BG$39,ROUND(BF10*(1+(IFERROR(INDEX($D$44:$D$52,MATCH($B11,$C$44:$C$52,0),1),0)+IFERROR(INDEX($G$44:$G$52,MATCH($B11,$F$44:$F$52,0),1),0)+IFERROR(INDEX($J$44:$J$52,MATCH($B11,$I$44:$I$52,0),1),0))),2)))</f>
        <v>0</v>
      </c>
      <c r="BG11" s="135">
        <v>12</v>
      </c>
      <c r="BH11" s="130">
        <f t="shared" si="11"/>
        <v>0</v>
      </c>
    </row>
    <row r="12" spans="2:60">
      <c r="B12" s="135">
        <f t="shared" si="12"/>
        <v>2025</v>
      </c>
      <c r="C12" s="128">
        <f t="shared" ref="C12:C32" si="24">IF($B12&lt;D$35,0,IF($B12=D$35,D$39,ROUND(C11*(1+(IFERROR(INDEX($D$44:$D$52,MATCH($B12,$C$44:$C$52,0),1),0)+IFERROR(INDEX($G$44:$G$52,MATCH($B12,$F$44:$F$52,0),1),0)+IFERROR(INDEX($J$44:$J$52,MATCH($B12,$I$44:$I$52,0),1),0))),2)))</f>
        <v>48.88</v>
      </c>
      <c r="D12" s="135">
        <v>12</v>
      </c>
      <c r="E12" s="130">
        <f t="shared" si="0"/>
        <v>48.88</v>
      </c>
      <c r="F12" s="119"/>
      <c r="G12" s="135">
        <f t="shared" si="13"/>
        <v>2025</v>
      </c>
      <c r="H12" s="128">
        <f t="shared" ref="H12:H32" si="25">IF($B12&lt;I$35,0,IF($B12=I$35,I$39,ROUND(H11*(1+(IFERROR(INDEX($D$44:$D$52,MATCH($B12,$C$44:$C$52,0),1),0)+IFERROR(INDEX($G$44:$G$52,MATCH($B12,$F$44:$F$52,0),1),0)+IFERROR(INDEX($J$44:$J$52,MATCH($B12,$I$44:$I$52,0),1),0))),2)))</f>
        <v>0</v>
      </c>
      <c r="I12" s="135">
        <v>12</v>
      </c>
      <c r="J12" s="130">
        <f t="shared" si="1"/>
        <v>0</v>
      </c>
      <c r="K12" s="119"/>
      <c r="L12" s="135">
        <f t="shared" si="14"/>
        <v>2025</v>
      </c>
      <c r="M12" s="128">
        <f t="shared" ref="M12:M32" si="26">IF($B12&lt;N$35,0,IF($B12=N$35,N$39,ROUND(M11*(1+(IFERROR(INDEX($D$44:$D$52,MATCH($B12,$C$44:$C$52,0),1),0)+IFERROR(INDEX($G$44:$G$52,MATCH($B12,$F$44:$F$52,0),1),0)+IFERROR(INDEX($J$44:$J$52,MATCH($B12,$I$44:$I$52,0),1),0))),2)))</f>
        <v>0</v>
      </c>
      <c r="N12" s="135">
        <v>12</v>
      </c>
      <c r="O12" s="130">
        <f t="shared" si="2"/>
        <v>0</v>
      </c>
      <c r="Q12" s="135">
        <f t="shared" si="15"/>
        <v>2025</v>
      </c>
      <c r="R12" s="128">
        <f t="shared" ref="R12:R32" si="27">IF($B12&lt;S$35,0,IF($B12=S$35,S$39,ROUND(R11*(1+(IFERROR(INDEX($D$44:$D$52,MATCH($B12,$C$44:$C$52,0),1),0)+IFERROR(INDEX($G$44:$G$52,MATCH($B12,$F$44:$F$52,0),1),0)+IFERROR(INDEX($J$44:$J$52,MATCH($B12,$I$44:$I$52,0),1),0))),2)))</f>
        <v>2.64</v>
      </c>
      <c r="S12" s="135">
        <v>12</v>
      </c>
      <c r="T12" s="130">
        <f t="shared" si="3"/>
        <v>2.64</v>
      </c>
      <c r="U12" s="119"/>
      <c r="V12" s="135">
        <f t="shared" si="16"/>
        <v>2025</v>
      </c>
      <c r="W12" s="128">
        <f t="shared" ref="W12:W32" si="28">IF($B12&lt;X$35,0,IF($B12=X$35,X$39,ROUND(W11*(1+(IFERROR(INDEX($D$44:$D$52,MATCH($B12,$C$44:$C$52,0),1),0)+IFERROR(INDEX($G$44:$G$52,MATCH($B12,$F$44:$F$52,0),1),0)+IFERROR(INDEX($J$44:$J$52,MATCH($B12,$I$44:$I$52,0),1),0))),2)))</f>
        <v>0.4</v>
      </c>
      <c r="X12" s="135">
        <v>12</v>
      </c>
      <c r="Y12" s="130">
        <f t="shared" si="4"/>
        <v>0.40000000000000008</v>
      </c>
      <c r="Z12" s="119"/>
      <c r="AA12" s="135">
        <f t="shared" si="17"/>
        <v>2025</v>
      </c>
      <c r="AB12" s="128">
        <f t="shared" ref="AB12:AB32" si="29">IF($B12&lt;AC$35,0,IF($B12=AC$35,AC$39,ROUND(AB11*(1+(IFERROR(INDEX($D$44:$D$52,MATCH($B12,$C$44:$C$52,0),1),0)+IFERROR(INDEX($G$44:$G$52,MATCH($B12,$F$44:$F$52,0),1),0)+IFERROR(INDEX($J$44:$J$52,MATCH($B12,$I$44:$I$52,0),1),0))),2)))</f>
        <v>1.53</v>
      </c>
      <c r="AC12" s="135">
        <v>12</v>
      </c>
      <c r="AD12" s="130">
        <f t="shared" si="5"/>
        <v>1.53</v>
      </c>
      <c r="AE12" s="119"/>
      <c r="AF12" s="135">
        <f t="shared" si="18"/>
        <v>2025</v>
      </c>
      <c r="AG12" s="128">
        <f t="shared" ref="AG12:AG32" si="30">IF($B12&lt;AH$35,0,IF($B12=AH$35,AH$39,ROUND(AG11*(1+(IFERROR(INDEX($D$44:$D$52,MATCH($B12,$C$44:$C$52,0),1),0)+IFERROR(INDEX($G$44:$G$52,MATCH($B12,$F$44:$F$52,0),1),0)+IFERROR(INDEX($J$44:$J$52,MATCH($B12,$I$44:$I$52,0),1),0))),2)))</f>
        <v>0</v>
      </c>
      <c r="AH12" s="135">
        <v>12</v>
      </c>
      <c r="AI12" s="130">
        <f t="shared" si="6"/>
        <v>0</v>
      </c>
      <c r="AJ12" s="119"/>
      <c r="AK12" s="135">
        <f t="shared" si="19"/>
        <v>2025</v>
      </c>
      <c r="AL12" s="128">
        <f t="shared" ref="AL12:AL32" si="31">IF($B12&lt;AM$35,0,IF($B12=AM$35,AM$39,ROUND(AL11*(1+(IFERROR(INDEX($D$44:$D$52,MATCH($B12,$C$44:$C$52,0),1),0)+IFERROR(INDEX($G$44:$G$52,MATCH($B12,$F$44:$F$52,0),1),0)+IFERROR(INDEX($J$44:$J$52,MATCH($B12,$I$44:$I$52,0),1),0))),2)))</f>
        <v>0</v>
      </c>
      <c r="AM12" s="135">
        <v>12</v>
      </c>
      <c r="AN12" s="130">
        <f t="shared" si="7"/>
        <v>0</v>
      </c>
      <c r="AO12" s="119"/>
      <c r="AP12" s="135">
        <f t="shared" si="20"/>
        <v>2025</v>
      </c>
      <c r="AQ12" s="128">
        <f t="shared" ref="AQ12:AQ32" si="32">IF($B12&lt;AR$35,0,IF($B12=AR$35,AR$39,ROUND(AQ11*(1+(IFERROR(INDEX($D$44:$D$52,MATCH($B12,$C$44:$C$52,0),1),0)+IFERROR(INDEX($G$44:$G$52,MATCH($B12,$F$44:$F$52,0),1),0)+IFERROR(INDEX($J$44:$J$52,MATCH($B12,$I$44:$I$52,0),1),0))),2)))</f>
        <v>0</v>
      </c>
      <c r="AR12" s="135">
        <v>12</v>
      </c>
      <c r="AS12" s="130">
        <f t="shared" si="8"/>
        <v>0</v>
      </c>
      <c r="AT12" s="119"/>
      <c r="AU12" s="135">
        <f t="shared" si="21"/>
        <v>2025</v>
      </c>
      <c r="AV12" s="128">
        <f t="shared" ref="AV12:AV32" si="33">IF($B12&lt;AW$35,0,IF($B12=AW$35,AW$39,ROUND(AV11*(1+(IFERROR(INDEX($D$44:$D$52,MATCH($B12,$C$44:$C$52,0),1),0)+IFERROR(INDEX($G$44:$G$52,MATCH($B12,$F$44:$F$52,0),1),0)+IFERROR(INDEX($J$44:$J$52,MATCH($B12,$I$44:$I$52,0),1),0))),2)))</f>
        <v>0</v>
      </c>
      <c r="AW12" s="135">
        <v>12</v>
      </c>
      <c r="AX12" s="130">
        <f t="shared" si="9"/>
        <v>0</v>
      </c>
      <c r="AY12" s="119"/>
      <c r="AZ12" s="135">
        <f t="shared" si="22"/>
        <v>2025</v>
      </c>
      <c r="BA12" s="128">
        <f t="shared" ref="BA12:BA32" si="34">IF($B12&lt;BB$35,0,IF($B12=BB$35,BB$39,ROUND(BA11*(1+(IFERROR(INDEX($D$44:$D$52,MATCH($B12,$C$44:$C$52,0),1),0)+IFERROR(INDEX($G$44:$G$52,MATCH($B12,$F$44:$F$52,0),1),0)+IFERROR(INDEX($J$44:$J$52,MATCH($B12,$I$44:$I$52,0),1),0))),2)))</f>
        <v>0</v>
      </c>
      <c r="BB12" s="135">
        <v>12</v>
      </c>
      <c r="BC12" s="130">
        <f t="shared" si="10"/>
        <v>0</v>
      </c>
      <c r="BE12" s="135">
        <f t="shared" si="23"/>
        <v>2025</v>
      </c>
      <c r="BF12" s="128">
        <f t="shared" ref="BF12:BF32" si="35">IF($B12&lt;BG$35,0,IF($B12=BG$35,BG$39,ROUND(BF11*(1+(IFERROR(INDEX($D$44:$D$52,MATCH($B12,$C$44:$C$52,0),1),0)+IFERROR(INDEX($G$44:$G$52,MATCH($B12,$F$44:$F$52,0),1),0)+IFERROR(INDEX($J$44:$J$52,MATCH($B12,$I$44:$I$52,0),1),0))),2)))</f>
        <v>0</v>
      </c>
      <c r="BG12" s="135">
        <v>12</v>
      </c>
      <c r="BH12" s="130">
        <f t="shared" si="11"/>
        <v>0</v>
      </c>
    </row>
    <row r="13" spans="2:60">
      <c r="B13" s="135">
        <f t="shared" si="12"/>
        <v>2026</v>
      </c>
      <c r="C13" s="128">
        <f t="shared" si="24"/>
        <v>49.96</v>
      </c>
      <c r="D13" s="135">
        <v>12</v>
      </c>
      <c r="E13" s="130">
        <f t="shared" si="0"/>
        <v>49.96</v>
      </c>
      <c r="F13" s="119"/>
      <c r="G13" s="135">
        <f t="shared" si="13"/>
        <v>2026</v>
      </c>
      <c r="H13" s="128">
        <f t="shared" si="25"/>
        <v>0</v>
      </c>
      <c r="I13" s="135">
        <v>12</v>
      </c>
      <c r="J13" s="130">
        <f t="shared" si="1"/>
        <v>0</v>
      </c>
      <c r="K13" s="119"/>
      <c r="L13" s="135">
        <f t="shared" si="14"/>
        <v>2026</v>
      </c>
      <c r="M13" s="128">
        <f t="shared" si="26"/>
        <v>0</v>
      </c>
      <c r="N13" s="135">
        <v>12</v>
      </c>
      <c r="O13" s="130">
        <f t="shared" si="2"/>
        <v>0</v>
      </c>
      <c r="Q13" s="135">
        <f t="shared" si="15"/>
        <v>2026</v>
      </c>
      <c r="R13" s="128">
        <f t="shared" si="27"/>
        <v>2.7</v>
      </c>
      <c r="S13" s="135">
        <v>12</v>
      </c>
      <c r="T13" s="130">
        <f t="shared" si="3"/>
        <v>2.7000000000000006</v>
      </c>
      <c r="U13" s="119"/>
      <c r="V13" s="135">
        <f t="shared" si="16"/>
        <v>2026</v>
      </c>
      <c r="W13" s="128">
        <f t="shared" si="28"/>
        <v>0.41</v>
      </c>
      <c r="X13" s="135">
        <v>12</v>
      </c>
      <c r="Y13" s="130">
        <f t="shared" si="4"/>
        <v>0.41</v>
      </c>
      <c r="Z13" s="119"/>
      <c r="AA13" s="135">
        <f t="shared" si="17"/>
        <v>2026</v>
      </c>
      <c r="AB13" s="128">
        <f t="shared" si="29"/>
        <v>1.56</v>
      </c>
      <c r="AC13" s="135">
        <v>12</v>
      </c>
      <c r="AD13" s="130">
        <f t="shared" si="5"/>
        <v>1.5599999999999998</v>
      </c>
      <c r="AE13" s="119"/>
      <c r="AF13" s="135">
        <f t="shared" si="18"/>
        <v>2026</v>
      </c>
      <c r="AG13" s="128">
        <f t="shared" si="30"/>
        <v>0</v>
      </c>
      <c r="AH13" s="135">
        <v>12</v>
      </c>
      <c r="AI13" s="130">
        <f t="shared" si="6"/>
        <v>0</v>
      </c>
      <c r="AJ13" s="119"/>
      <c r="AK13" s="135">
        <f t="shared" si="19"/>
        <v>2026</v>
      </c>
      <c r="AL13" s="128">
        <f t="shared" si="31"/>
        <v>0</v>
      </c>
      <c r="AM13" s="135">
        <v>12</v>
      </c>
      <c r="AN13" s="130">
        <f t="shared" si="7"/>
        <v>0</v>
      </c>
      <c r="AO13" s="119"/>
      <c r="AP13" s="135">
        <f t="shared" si="20"/>
        <v>2026</v>
      </c>
      <c r="AQ13" s="128">
        <f t="shared" si="32"/>
        <v>0</v>
      </c>
      <c r="AR13" s="135">
        <v>12</v>
      </c>
      <c r="AS13" s="130">
        <f t="shared" si="8"/>
        <v>0</v>
      </c>
      <c r="AT13" s="119"/>
      <c r="AU13" s="135">
        <f t="shared" si="21"/>
        <v>2026</v>
      </c>
      <c r="AV13" s="128">
        <f t="shared" si="33"/>
        <v>0</v>
      </c>
      <c r="AW13" s="135">
        <v>12</v>
      </c>
      <c r="AX13" s="130">
        <f t="shared" si="9"/>
        <v>0</v>
      </c>
      <c r="AY13" s="119"/>
      <c r="AZ13" s="135">
        <f t="shared" si="22"/>
        <v>2026</v>
      </c>
      <c r="BA13" s="128">
        <f t="shared" si="34"/>
        <v>0</v>
      </c>
      <c r="BB13" s="135">
        <v>12</v>
      </c>
      <c r="BC13" s="130">
        <f t="shared" si="10"/>
        <v>0</v>
      </c>
      <c r="BE13" s="135">
        <f t="shared" si="23"/>
        <v>2026</v>
      </c>
      <c r="BF13" s="128">
        <f t="shared" si="35"/>
        <v>0</v>
      </c>
      <c r="BG13" s="135">
        <v>12</v>
      </c>
      <c r="BH13" s="130">
        <f t="shared" si="11"/>
        <v>0</v>
      </c>
    </row>
    <row r="14" spans="2:60">
      <c r="B14" s="135">
        <f t="shared" si="12"/>
        <v>2027</v>
      </c>
      <c r="C14" s="128">
        <f t="shared" si="24"/>
        <v>51.11</v>
      </c>
      <c r="D14" s="135">
        <v>12</v>
      </c>
      <c r="E14" s="130">
        <f t="shared" si="0"/>
        <v>51.109999999999992</v>
      </c>
      <c r="F14" s="119"/>
      <c r="G14" s="135">
        <f t="shared" si="13"/>
        <v>2027</v>
      </c>
      <c r="H14" s="128">
        <f t="shared" si="25"/>
        <v>0</v>
      </c>
      <c r="I14" s="135">
        <v>12</v>
      </c>
      <c r="J14" s="130">
        <f t="shared" si="1"/>
        <v>0</v>
      </c>
      <c r="K14" s="119"/>
      <c r="L14" s="135">
        <f t="shared" si="14"/>
        <v>2027</v>
      </c>
      <c r="M14" s="128">
        <f t="shared" si="26"/>
        <v>0</v>
      </c>
      <c r="N14" s="135">
        <v>12</v>
      </c>
      <c r="O14" s="130">
        <f t="shared" si="2"/>
        <v>0</v>
      </c>
      <c r="Q14" s="135">
        <f t="shared" si="15"/>
        <v>2027</v>
      </c>
      <c r="R14" s="128">
        <f t="shared" si="27"/>
        <v>2.76</v>
      </c>
      <c r="S14" s="135">
        <v>12</v>
      </c>
      <c r="T14" s="130">
        <f t="shared" si="3"/>
        <v>2.76</v>
      </c>
      <c r="U14" s="119"/>
      <c r="V14" s="135">
        <f t="shared" si="16"/>
        <v>2027</v>
      </c>
      <c r="W14" s="128">
        <f t="shared" si="28"/>
        <v>0.42</v>
      </c>
      <c r="X14" s="135">
        <v>12</v>
      </c>
      <c r="Y14" s="130">
        <f t="shared" si="4"/>
        <v>0.42</v>
      </c>
      <c r="Z14" s="119"/>
      <c r="AA14" s="135">
        <f t="shared" si="17"/>
        <v>2027</v>
      </c>
      <c r="AB14" s="128">
        <f t="shared" si="29"/>
        <v>1.6</v>
      </c>
      <c r="AC14" s="135">
        <v>12</v>
      </c>
      <c r="AD14" s="130">
        <f t="shared" si="5"/>
        <v>1.6000000000000003</v>
      </c>
      <c r="AE14" s="119"/>
      <c r="AF14" s="135">
        <f t="shared" si="18"/>
        <v>2027</v>
      </c>
      <c r="AG14" s="128">
        <f t="shared" si="30"/>
        <v>0</v>
      </c>
      <c r="AH14" s="135">
        <v>12</v>
      </c>
      <c r="AI14" s="130">
        <f t="shared" si="6"/>
        <v>0</v>
      </c>
      <c r="AJ14" s="119"/>
      <c r="AK14" s="135">
        <f t="shared" si="19"/>
        <v>2027</v>
      </c>
      <c r="AL14" s="128">
        <f t="shared" si="31"/>
        <v>0</v>
      </c>
      <c r="AM14" s="135">
        <v>12</v>
      </c>
      <c r="AN14" s="130">
        <f t="shared" si="7"/>
        <v>0</v>
      </c>
      <c r="AO14" s="119"/>
      <c r="AP14" s="135">
        <f t="shared" si="20"/>
        <v>2027</v>
      </c>
      <c r="AQ14" s="128">
        <f t="shared" si="32"/>
        <v>0</v>
      </c>
      <c r="AR14" s="135">
        <v>12</v>
      </c>
      <c r="AS14" s="130">
        <f t="shared" si="8"/>
        <v>0</v>
      </c>
      <c r="AT14" s="119"/>
      <c r="AU14" s="135">
        <f t="shared" si="21"/>
        <v>2027</v>
      </c>
      <c r="AV14" s="128">
        <f t="shared" si="33"/>
        <v>0</v>
      </c>
      <c r="AW14" s="135">
        <v>12</v>
      </c>
      <c r="AX14" s="130">
        <f t="shared" si="9"/>
        <v>0</v>
      </c>
      <c r="AY14" s="119"/>
      <c r="AZ14" s="135">
        <f t="shared" si="22"/>
        <v>2027</v>
      </c>
      <c r="BA14" s="128">
        <f t="shared" si="34"/>
        <v>0</v>
      </c>
      <c r="BB14" s="135">
        <v>12</v>
      </c>
      <c r="BC14" s="130">
        <f t="shared" si="10"/>
        <v>0</v>
      </c>
      <c r="BD14" s="175"/>
      <c r="BE14" s="135">
        <f t="shared" si="23"/>
        <v>2027</v>
      </c>
      <c r="BF14" s="128">
        <f t="shared" si="35"/>
        <v>0</v>
      </c>
      <c r="BG14" s="135">
        <v>12</v>
      </c>
      <c r="BH14" s="130">
        <f t="shared" si="11"/>
        <v>0</v>
      </c>
    </row>
    <row r="15" spans="2:60">
      <c r="B15" s="135">
        <f t="shared" si="12"/>
        <v>2028</v>
      </c>
      <c r="C15" s="128">
        <f t="shared" si="24"/>
        <v>52.29</v>
      </c>
      <c r="D15" s="135">
        <v>12</v>
      </c>
      <c r="E15" s="130">
        <f t="shared" si="0"/>
        <v>52.29</v>
      </c>
      <c r="F15" s="119"/>
      <c r="G15" s="135">
        <f t="shared" si="13"/>
        <v>2028</v>
      </c>
      <c r="H15" s="128">
        <f t="shared" si="25"/>
        <v>0</v>
      </c>
      <c r="I15" s="135">
        <v>12</v>
      </c>
      <c r="J15" s="130">
        <f t="shared" si="1"/>
        <v>0</v>
      </c>
      <c r="K15" s="119"/>
      <c r="L15" s="135">
        <f t="shared" si="14"/>
        <v>2028</v>
      </c>
      <c r="M15" s="128">
        <f t="shared" si="26"/>
        <v>0</v>
      </c>
      <c r="N15" s="135">
        <v>12</v>
      </c>
      <c r="O15" s="130">
        <f t="shared" si="2"/>
        <v>0</v>
      </c>
      <c r="Q15" s="135">
        <f t="shared" si="15"/>
        <v>2028</v>
      </c>
      <c r="R15" s="128">
        <f t="shared" si="27"/>
        <v>2.82</v>
      </c>
      <c r="S15" s="135">
        <v>12</v>
      </c>
      <c r="T15" s="130">
        <f t="shared" si="3"/>
        <v>2.82</v>
      </c>
      <c r="U15" s="119"/>
      <c r="V15" s="135">
        <f t="shared" si="16"/>
        <v>2028</v>
      </c>
      <c r="W15" s="128">
        <f t="shared" si="28"/>
        <v>0.43</v>
      </c>
      <c r="X15" s="135">
        <v>12</v>
      </c>
      <c r="Y15" s="130">
        <f t="shared" si="4"/>
        <v>0.43</v>
      </c>
      <c r="Z15" s="119"/>
      <c r="AA15" s="135">
        <f t="shared" si="17"/>
        <v>2028</v>
      </c>
      <c r="AB15" s="128">
        <f t="shared" si="29"/>
        <v>1.64</v>
      </c>
      <c r="AC15" s="135">
        <v>12</v>
      </c>
      <c r="AD15" s="130">
        <f t="shared" si="5"/>
        <v>1.64</v>
      </c>
      <c r="AE15" s="119"/>
      <c r="AF15" s="135">
        <f t="shared" si="18"/>
        <v>2028</v>
      </c>
      <c r="AG15" s="128">
        <f t="shared" si="30"/>
        <v>0</v>
      </c>
      <c r="AH15" s="135">
        <v>12</v>
      </c>
      <c r="AI15" s="130">
        <f t="shared" si="6"/>
        <v>0</v>
      </c>
      <c r="AJ15" s="119"/>
      <c r="AK15" s="135">
        <f t="shared" si="19"/>
        <v>2028</v>
      </c>
      <c r="AL15" s="128">
        <f t="shared" si="31"/>
        <v>0</v>
      </c>
      <c r="AM15" s="135">
        <v>12</v>
      </c>
      <c r="AN15" s="130">
        <f t="shared" si="7"/>
        <v>0</v>
      </c>
      <c r="AO15" s="119"/>
      <c r="AP15" s="135">
        <f t="shared" si="20"/>
        <v>2028</v>
      </c>
      <c r="AQ15" s="128">
        <f t="shared" si="32"/>
        <v>0</v>
      </c>
      <c r="AR15" s="135">
        <v>12</v>
      </c>
      <c r="AS15" s="130">
        <f t="shared" si="8"/>
        <v>0</v>
      </c>
      <c r="AT15" s="119"/>
      <c r="AU15" s="135">
        <f t="shared" si="21"/>
        <v>2028</v>
      </c>
      <c r="AV15" s="128">
        <f t="shared" si="33"/>
        <v>0</v>
      </c>
      <c r="AW15" s="135">
        <v>12</v>
      </c>
      <c r="AX15" s="130">
        <f t="shared" si="9"/>
        <v>0</v>
      </c>
      <c r="AY15" s="119"/>
      <c r="AZ15" s="135">
        <f t="shared" si="22"/>
        <v>2028</v>
      </c>
      <c r="BA15" s="128">
        <f t="shared" si="34"/>
        <v>0</v>
      </c>
      <c r="BB15" s="135">
        <v>12</v>
      </c>
      <c r="BC15" s="130">
        <f t="shared" si="10"/>
        <v>0</v>
      </c>
      <c r="BE15" s="135">
        <f t="shared" si="23"/>
        <v>2028</v>
      </c>
      <c r="BF15" s="128">
        <f t="shared" si="35"/>
        <v>0</v>
      </c>
      <c r="BG15" s="135">
        <v>12</v>
      </c>
      <c r="BH15" s="130">
        <f t="shared" si="11"/>
        <v>0</v>
      </c>
    </row>
    <row r="16" spans="2:60">
      <c r="B16" s="135">
        <f t="shared" si="12"/>
        <v>2029</v>
      </c>
      <c r="C16" s="128">
        <f t="shared" si="24"/>
        <v>53.49</v>
      </c>
      <c r="D16" s="135">
        <v>12</v>
      </c>
      <c r="E16" s="130">
        <f t="shared" si="0"/>
        <v>53.49</v>
      </c>
      <c r="F16" s="119"/>
      <c r="G16" s="135">
        <f t="shared" si="13"/>
        <v>2029</v>
      </c>
      <c r="H16" s="128">
        <f t="shared" si="25"/>
        <v>0</v>
      </c>
      <c r="I16" s="135">
        <v>12</v>
      </c>
      <c r="J16" s="130">
        <f t="shared" si="1"/>
        <v>0</v>
      </c>
      <c r="K16" s="119"/>
      <c r="L16" s="135">
        <f t="shared" si="14"/>
        <v>2029</v>
      </c>
      <c r="M16" s="128">
        <f t="shared" si="26"/>
        <v>0</v>
      </c>
      <c r="N16" s="135">
        <v>12</v>
      </c>
      <c r="O16" s="130">
        <f t="shared" si="2"/>
        <v>0</v>
      </c>
      <c r="Q16" s="135">
        <f t="shared" si="15"/>
        <v>2029</v>
      </c>
      <c r="R16" s="128">
        <f t="shared" si="27"/>
        <v>2.88</v>
      </c>
      <c r="S16" s="135">
        <v>12</v>
      </c>
      <c r="T16" s="130">
        <f t="shared" si="3"/>
        <v>2.8800000000000003</v>
      </c>
      <c r="U16" s="119"/>
      <c r="V16" s="135">
        <f t="shared" si="16"/>
        <v>2029</v>
      </c>
      <c r="W16" s="128">
        <f t="shared" si="28"/>
        <v>0.44</v>
      </c>
      <c r="X16" s="135">
        <v>12</v>
      </c>
      <c r="Y16" s="130">
        <f t="shared" si="4"/>
        <v>0.44</v>
      </c>
      <c r="Z16" s="119"/>
      <c r="AA16" s="135">
        <f t="shared" si="17"/>
        <v>2029</v>
      </c>
      <c r="AB16" s="128">
        <f t="shared" si="29"/>
        <v>1.68</v>
      </c>
      <c r="AC16" s="135">
        <v>12</v>
      </c>
      <c r="AD16" s="130">
        <f t="shared" si="5"/>
        <v>1.68</v>
      </c>
      <c r="AE16" s="119"/>
      <c r="AF16" s="135">
        <f t="shared" si="18"/>
        <v>2029</v>
      </c>
      <c r="AG16" s="128">
        <f t="shared" si="30"/>
        <v>0</v>
      </c>
      <c r="AH16" s="135">
        <v>12</v>
      </c>
      <c r="AI16" s="130">
        <f t="shared" si="6"/>
        <v>0</v>
      </c>
      <c r="AJ16" s="119"/>
      <c r="AK16" s="135">
        <f t="shared" si="19"/>
        <v>2029</v>
      </c>
      <c r="AL16" s="128">
        <f t="shared" si="31"/>
        <v>0</v>
      </c>
      <c r="AM16" s="135">
        <v>12</v>
      </c>
      <c r="AN16" s="130">
        <f t="shared" si="7"/>
        <v>0</v>
      </c>
      <c r="AO16" s="119"/>
      <c r="AP16" s="135">
        <f t="shared" si="20"/>
        <v>2029</v>
      </c>
      <c r="AQ16" s="128">
        <f t="shared" si="32"/>
        <v>0</v>
      </c>
      <c r="AR16" s="135">
        <v>12</v>
      </c>
      <c r="AS16" s="130">
        <f t="shared" si="8"/>
        <v>0</v>
      </c>
      <c r="AT16" s="119"/>
      <c r="AU16" s="135">
        <f t="shared" si="21"/>
        <v>2029</v>
      </c>
      <c r="AV16" s="128">
        <f t="shared" si="33"/>
        <v>0</v>
      </c>
      <c r="AW16" s="135">
        <v>12</v>
      </c>
      <c r="AX16" s="130">
        <f t="shared" si="9"/>
        <v>0</v>
      </c>
      <c r="AY16" s="119"/>
      <c r="AZ16" s="341">
        <f t="shared" si="22"/>
        <v>2029</v>
      </c>
      <c r="BA16" s="128">
        <f t="shared" si="34"/>
        <v>0</v>
      </c>
      <c r="BB16" s="135">
        <v>12</v>
      </c>
      <c r="BC16" s="130">
        <f t="shared" si="10"/>
        <v>0</v>
      </c>
      <c r="BE16" s="135">
        <f t="shared" si="23"/>
        <v>2029</v>
      </c>
      <c r="BF16" s="128">
        <f t="shared" si="35"/>
        <v>0</v>
      </c>
      <c r="BG16" s="135">
        <v>12</v>
      </c>
      <c r="BH16" s="130">
        <f t="shared" si="11"/>
        <v>0</v>
      </c>
    </row>
    <row r="17" spans="2:60">
      <c r="B17" s="135">
        <f t="shared" si="12"/>
        <v>2030</v>
      </c>
      <c r="C17" s="128">
        <f t="shared" si="24"/>
        <v>54.72</v>
      </c>
      <c r="D17" s="135">
        <v>12</v>
      </c>
      <c r="E17" s="130">
        <f t="shared" si="0"/>
        <v>54.72</v>
      </c>
      <c r="F17" s="119"/>
      <c r="G17" s="341">
        <f t="shared" si="13"/>
        <v>2030</v>
      </c>
      <c r="H17" s="128">
        <f t="shared" si="25"/>
        <v>12.097273854334603</v>
      </c>
      <c r="I17" s="135">
        <v>12</v>
      </c>
      <c r="J17" s="130">
        <f t="shared" si="1"/>
        <v>12.097273854334603</v>
      </c>
      <c r="K17" s="119"/>
      <c r="L17" s="135">
        <f t="shared" si="14"/>
        <v>2030</v>
      </c>
      <c r="M17" s="128">
        <f t="shared" si="26"/>
        <v>0</v>
      </c>
      <c r="N17" s="135">
        <v>12</v>
      </c>
      <c r="O17" s="130">
        <f t="shared" si="2"/>
        <v>0</v>
      </c>
      <c r="Q17" s="135">
        <f t="shared" si="15"/>
        <v>2030</v>
      </c>
      <c r="R17" s="128">
        <f t="shared" si="27"/>
        <v>2.95</v>
      </c>
      <c r="S17" s="135">
        <v>12</v>
      </c>
      <c r="T17" s="130">
        <f t="shared" si="3"/>
        <v>2.9500000000000006</v>
      </c>
      <c r="U17" s="119"/>
      <c r="V17" s="135">
        <f t="shared" si="16"/>
        <v>2030</v>
      </c>
      <c r="W17" s="128">
        <f t="shared" si="28"/>
        <v>0.45</v>
      </c>
      <c r="X17" s="135">
        <v>12</v>
      </c>
      <c r="Y17" s="130">
        <f t="shared" si="4"/>
        <v>0.45</v>
      </c>
      <c r="Z17" s="119"/>
      <c r="AA17" s="135">
        <f t="shared" si="17"/>
        <v>2030</v>
      </c>
      <c r="AB17" s="128">
        <f t="shared" si="29"/>
        <v>1.72</v>
      </c>
      <c r="AC17" s="135">
        <v>12</v>
      </c>
      <c r="AD17" s="130">
        <f t="shared" si="5"/>
        <v>1.72</v>
      </c>
      <c r="AE17" s="119"/>
      <c r="AF17" s="341">
        <f t="shared" si="18"/>
        <v>2030</v>
      </c>
      <c r="AG17" s="128">
        <f t="shared" si="30"/>
        <v>21.577297145999619</v>
      </c>
      <c r="AH17" s="135">
        <v>12</v>
      </c>
      <c r="AI17" s="130">
        <f t="shared" si="6"/>
        <v>21.577297145999619</v>
      </c>
      <c r="AJ17" s="119"/>
      <c r="AK17" s="135">
        <f t="shared" si="19"/>
        <v>2030</v>
      </c>
      <c r="AL17" s="128">
        <f t="shared" si="31"/>
        <v>0</v>
      </c>
      <c r="AM17" s="135">
        <v>12</v>
      </c>
      <c r="AN17" s="130">
        <f t="shared" si="7"/>
        <v>0</v>
      </c>
      <c r="AO17" s="119"/>
      <c r="AP17" s="135">
        <f t="shared" si="20"/>
        <v>2030</v>
      </c>
      <c r="AQ17" s="128">
        <f t="shared" si="32"/>
        <v>0</v>
      </c>
      <c r="AR17" s="135">
        <v>12</v>
      </c>
      <c r="AS17" s="130">
        <f t="shared" si="8"/>
        <v>0</v>
      </c>
      <c r="AT17" s="119"/>
      <c r="AU17" s="135">
        <f t="shared" si="21"/>
        <v>2030</v>
      </c>
      <c r="AV17" s="128">
        <f t="shared" si="33"/>
        <v>0</v>
      </c>
      <c r="AW17" s="135">
        <v>12</v>
      </c>
      <c r="AX17" s="130">
        <f t="shared" si="9"/>
        <v>0</v>
      </c>
      <c r="AY17" s="119"/>
      <c r="AZ17" s="135">
        <f t="shared" si="22"/>
        <v>2030</v>
      </c>
      <c r="BA17" s="128">
        <f t="shared" si="34"/>
        <v>0</v>
      </c>
      <c r="BB17" s="135">
        <v>12</v>
      </c>
      <c r="BC17" s="130">
        <f t="shared" si="10"/>
        <v>0</v>
      </c>
      <c r="BE17" s="135">
        <f t="shared" si="23"/>
        <v>2030</v>
      </c>
      <c r="BF17" s="128">
        <f t="shared" si="35"/>
        <v>0</v>
      </c>
      <c r="BG17" s="135">
        <v>12</v>
      </c>
      <c r="BH17" s="130">
        <f t="shared" si="11"/>
        <v>0</v>
      </c>
    </row>
    <row r="18" spans="2:60">
      <c r="B18" s="135">
        <f t="shared" si="12"/>
        <v>2031</v>
      </c>
      <c r="C18" s="128">
        <f t="shared" si="24"/>
        <v>55.98</v>
      </c>
      <c r="D18" s="135">
        <v>12</v>
      </c>
      <c r="E18" s="130">
        <f t="shared" si="0"/>
        <v>55.98</v>
      </c>
      <c r="F18" s="119"/>
      <c r="G18" s="135">
        <f t="shared" si="13"/>
        <v>2031</v>
      </c>
      <c r="H18" s="128">
        <f t="shared" si="25"/>
        <v>12.38</v>
      </c>
      <c r="I18" s="135">
        <v>12</v>
      </c>
      <c r="J18" s="130">
        <f t="shared" si="1"/>
        <v>12.38</v>
      </c>
      <c r="K18" s="119"/>
      <c r="L18" s="135">
        <f t="shared" si="14"/>
        <v>2031</v>
      </c>
      <c r="M18" s="128">
        <f t="shared" si="26"/>
        <v>0</v>
      </c>
      <c r="N18" s="135">
        <v>12</v>
      </c>
      <c r="O18" s="130">
        <f t="shared" si="2"/>
        <v>0</v>
      </c>
      <c r="Q18" s="135">
        <f t="shared" si="15"/>
        <v>2031</v>
      </c>
      <c r="R18" s="128">
        <f t="shared" si="27"/>
        <v>3.02</v>
      </c>
      <c r="S18" s="135">
        <v>12</v>
      </c>
      <c r="T18" s="130">
        <f t="shared" si="3"/>
        <v>3.02</v>
      </c>
      <c r="U18" s="119"/>
      <c r="V18" s="135">
        <f t="shared" si="16"/>
        <v>2031</v>
      </c>
      <c r="W18" s="128">
        <f t="shared" si="28"/>
        <v>0.46</v>
      </c>
      <c r="X18" s="135">
        <v>12</v>
      </c>
      <c r="Y18" s="130">
        <f t="shared" si="4"/>
        <v>0.46</v>
      </c>
      <c r="Z18" s="119"/>
      <c r="AA18" s="135">
        <f t="shared" si="17"/>
        <v>2031</v>
      </c>
      <c r="AB18" s="128">
        <f t="shared" si="29"/>
        <v>1.76</v>
      </c>
      <c r="AC18" s="135">
        <v>12</v>
      </c>
      <c r="AD18" s="130">
        <f t="shared" si="5"/>
        <v>1.76</v>
      </c>
      <c r="AE18" s="119"/>
      <c r="AF18" s="135">
        <f t="shared" si="18"/>
        <v>2031</v>
      </c>
      <c r="AG18" s="128">
        <f t="shared" si="30"/>
        <v>22.07</v>
      </c>
      <c r="AH18" s="135">
        <v>12</v>
      </c>
      <c r="AI18" s="130">
        <f t="shared" si="6"/>
        <v>22.070000000000004</v>
      </c>
      <c r="AJ18" s="119"/>
      <c r="AK18" s="135">
        <f t="shared" si="19"/>
        <v>2031</v>
      </c>
      <c r="AL18" s="128">
        <f t="shared" si="31"/>
        <v>0</v>
      </c>
      <c r="AM18" s="135">
        <v>12</v>
      </c>
      <c r="AN18" s="130">
        <f t="shared" si="7"/>
        <v>0</v>
      </c>
      <c r="AO18" s="119"/>
      <c r="AP18" s="135">
        <f t="shared" si="20"/>
        <v>2031</v>
      </c>
      <c r="AQ18" s="128">
        <f t="shared" si="32"/>
        <v>0</v>
      </c>
      <c r="AR18" s="135">
        <v>12</v>
      </c>
      <c r="AS18" s="130">
        <f t="shared" si="8"/>
        <v>0</v>
      </c>
      <c r="AT18" s="119"/>
      <c r="AU18" s="135">
        <f t="shared" si="21"/>
        <v>2031</v>
      </c>
      <c r="AV18" s="128">
        <f t="shared" si="33"/>
        <v>0</v>
      </c>
      <c r="AW18" s="135">
        <v>12</v>
      </c>
      <c r="AX18" s="130">
        <f t="shared" si="9"/>
        <v>0</v>
      </c>
      <c r="AY18" s="119"/>
      <c r="AZ18" s="135">
        <f t="shared" si="22"/>
        <v>2031</v>
      </c>
      <c r="BA18" s="128">
        <f t="shared" si="34"/>
        <v>0</v>
      </c>
      <c r="BB18" s="135">
        <v>12</v>
      </c>
      <c r="BC18" s="130">
        <f t="shared" si="10"/>
        <v>0</v>
      </c>
      <c r="BE18" s="135">
        <f t="shared" si="23"/>
        <v>2031</v>
      </c>
      <c r="BF18" s="128">
        <f t="shared" si="35"/>
        <v>0</v>
      </c>
      <c r="BG18" s="135">
        <v>12</v>
      </c>
      <c r="BH18" s="130">
        <f t="shared" si="11"/>
        <v>0</v>
      </c>
    </row>
    <row r="19" spans="2:60">
      <c r="B19" s="135">
        <f t="shared" si="12"/>
        <v>2032</v>
      </c>
      <c r="C19" s="128">
        <f t="shared" si="24"/>
        <v>57.27</v>
      </c>
      <c r="D19" s="135">
        <v>12</v>
      </c>
      <c r="E19" s="130">
        <f t="shared" si="0"/>
        <v>57.27</v>
      </c>
      <c r="F19" s="119"/>
      <c r="G19" s="135">
        <f t="shared" si="13"/>
        <v>2032</v>
      </c>
      <c r="H19" s="128">
        <f t="shared" si="25"/>
        <v>12.66</v>
      </c>
      <c r="I19" s="135">
        <v>12</v>
      </c>
      <c r="J19" s="130">
        <f t="shared" si="1"/>
        <v>12.660000000000002</v>
      </c>
      <c r="K19" s="119"/>
      <c r="L19" s="135">
        <f t="shared" si="14"/>
        <v>2032</v>
      </c>
      <c r="M19" s="128">
        <f t="shared" si="26"/>
        <v>0</v>
      </c>
      <c r="N19" s="135">
        <v>12</v>
      </c>
      <c r="O19" s="130">
        <f t="shared" si="2"/>
        <v>0</v>
      </c>
      <c r="Q19" s="135">
        <f t="shared" si="15"/>
        <v>2032</v>
      </c>
      <c r="R19" s="128">
        <f t="shared" si="27"/>
        <v>3.09</v>
      </c>
      <c r="S19" s="135">
        <v>12</v>
      </c>
      <c r="T19" s="130">
        <f t="shared" si="3"/>
        <v>3.09</v>
      </c>
      <c r="U19" s="119"/>
      <c r="V19" s="135">
        <f t="shared" si="16"/>
        <v>2032</v>
      </c>
      <c r="W19" s="128">
        <f t="shared" si="28"/>
        <v>0.47</v>
      </c>
      <c r="X19" s="135">
        <v>12</v>
      </c>
      <c r="Y19" s="130">
        <f t="shared" si="4"/>
        <v>0.47</v>
      </c>
      <c r="Z19" s="119"/>
      <c r="AA19" s="135">
        <f t="shared" si="17"/>
        <v>2032</v>
      </c>
      <c r="AB19" s="128">
        <f t="shared" si="29"/>
        <v>1.8</v>
      </c>
      <c r="AC19" s="135">
        <v>12</v>
      </c>
      <c r="AD19" s="130">
        <f t="shared" si="5"/>
        <v>1.8</v>
      </c>
      <c r="AE19" s="119"/>
      <c r="AF19" s="135">
        <f t="shared" si="18"/>
        <v>2032</v>
      </c>
      <c r="AG19" s="128">
        <f t="shared" si="30"/>
        <v>22.58</v>
      </c>
      <c r="AH19" s="135">
        <v>12</v>
      </c>
      <c r="AI19" s="130">
        <f t="shared" si="6"/>
        <v>22.58</v>
      </c>
      <c r="AJ19" s="119"/>
      <c r="AK19" s="135">
        <f t="shared" si="19"/>
        <v>2032</v>
      </c>
      <c r="AL19" s="128">
        <f t="shared" si="31"/>
        <v>0</v>
      </c>
      <c r="AM19" s="135">
        <v>12</v>
      </c>
      <c r="AN19" s="130">
        <f t="shared" si="7"/>
        <v>0</v>
      </c>
      <c r="AO19" s="119"/>
      <c r="AP19" s="135">
        <f t="shared" si="20"/>
        <v>2032</v>
      </c>
      <c r="AQ19" s="128">
        <f t="shared" si="32"/>
        <v>0</v>
      </c>
      <c r="AR19" s="135">
        <v>12</v>
      </c>
      <c r="AS19" s="130">
        <f t="shared" si="8"/>
        <v>0</v>
      </c>
      <c r="AT19" s="119"/>
      <c r="AU19" s="135">
        <f t="shared" si="21"/>
        <v>2032</v>
      </c>
      <c r="AV19" s="128">
        <f t="shared" si="33"/>
        <v>0</v>
      </c>
      <c r="AW19" s="135">
        <v>12</v>
      </c>
      <c r="AX19" s="130">
        <f t="shared" si="9"/>
        <v>0</v>
      </c>
      <c r="AY19" s="119"/>
      <c r="AZ19" s="135">
        <f t="shared" si="22"/>
        <v>2032</v>
      </c>
      <c r="BA19" s="128">
        <f t="shared" si="34"/>
        <v>0</v>
      </c>
      <c r="BB19" s="135">
        <v>12</v>
      </c>
      <c r="BC19" s="130">
        <f t="shared" si="10"/>
        <v>0</v>
      </c>
      <c r="BE19" s="135">
        <f t="shared" si="23"/>
        <v>2032</v>
      </c>
      <c r="BF19" s="128">
        <f t="shared" si="35"/>
        <v>0</v>
      </c>
      <c r="BG19" s="135">
        <v>12</v>
      </c>
      <c r="BH19" s="130">
        <f t="shared" si="11"/>
        <v>0</v>
      </c>
    </row>
    <row r="20" spans="2:60">
      <c r="B20" s="135">
        <f t="shared" si="12"/>
        <v>2033</v>
      </c>
      <c r="C20" s="128">
        <f t="shared" si="24"/>
        <v>58.59</v>
      </c>
      <c r="D20" s="135">
        <v>12</v>
      </c>
      <c r="E20" s="130">
        <f t="shared" si="0"/>
        <v>58.59</v>
      </c>
      <c r="F20" s="119"/>
      <c r="G20" s="135">
        <f t="shared" si="13"/>
        <v>2033</v>
      </c>
      <c r="H20" s="128">
        <f t="shared" si="25"/>
        <v>12.95</v>
      </c>
      <c r="I20" s="135">
        <v>12</v>
      </c>
      <c r="J20" s="130">
        <f t="shared" si="1"/>
        <v>12.949999999999998</v>
      </c>
      <c r="K20" s="119"/>
      <c r="L20" s="135">
        <f t="shared" si="14"/>
        <v>2033</v>
      </c>
      <c r="M20" s="128">
        <f t="shared" si="26"/>
        <v>0</v>
      </c>
      <c r="N20" s="135">
        <v>12</v>
      </c>
      <c r="O20" s="130">
        <f t="shared" si="2"/>
        <v>0</v>
      </c>
      <c r="Q20" s="135">
        <f t="shared" si="15"/>
        <v>2033</v>
      </c>
      <c r="R20" s="128">
        <f t="shared" si="27"/>
        <v>3.16</v>
      </c>
      <c r="S20" s="135">
        <v>12</v>
      </c>
      <c r="T20" s="130">
        <f t="shared" si="3"/>
        <v>3.16</v>
      </c>
      <c r="U20" s="119"/>
      <c r="V20" s="135">
        <f t="shared" si="16"/>
        <v>2033</v>
      </c>
      <c r="W20" s="128">
        <f t="shared" si="28"/>
        <v>0.48</v>
      </c>
      <c r="X20" s="135">
        <v>12</v>
      </c>
      <c r="Y20" s="130">
        <f t="shared" si="4"/>
        <v>0.48</v>
      </c>
      <c r="Z20" s="119"/>
      <c r="AA20" s="135">
        <f t="shared" si="17"/>
        <v>2033</v>
      </c>
      <c r="AB20" s="128">
        <f t="shared" si="29"/>
        <v>1.84</v>
      </c>
      <c r="AC20" s="135">
        <v>12</v>
      </c>
      <c r="AD20" s="130">
        <f t="shared" si="5"/>
        <v>1.84</v>
      </c>
      <c r="AE20" s="119"/>
      <c r="AF20" s="135">
        <f t="shared" si="18"/>
        <v>2033</v>
      </c>
      <c r="AG20" s="128">
        <f t="shared" si="30"/>
        <v>23.1</v>
      </c>
      <c r="AH20" s="135">
        <v>12</v>
      </c>
      <c r="AI20" s="130">
        <f t="shared" si="6"/>
        <v>23.100000000000005</v>
      </c>
      <c r="AJ20" s="119"/>
      <c r="AK20" s="341">
        <f t="shared" si="19"/>
        <v>2033</v>
      </c>
      <c r="AL20" s="128">
        <f t="shared" si="31"/>
        <v>11.261107127981489</v>
      </c>
      <c r="AM20" s="135">
        <v>12</v>
      </c>
      <c r="AN20" s="130">
        <f t="shared" si="7"/>
        <v>11.261107127981489</v>
      </c>
      <c r="AO20" s="119"/>
      <c r="AP20" s="135">
        <f t="shared" si="20"/>
        <v>2033</v>
      </c>
      <c r="AQ20" s="128">
        <f t="shared" si="32"/>
        <v>0</v>
      </c>
      <c r="AR20" s="135">
        <v>12</v>
      </c>
      <c r="AS20" s="130">
        <f t="shared" si="8"/>
        <v>0</v>
      </c>
      <c r="AT20" s="119"/>
      <c r="AU20" s="135">
        <f t="shared" si="21"/>
        <v>2033</v>
      </c>
      <c r="AV20" s="128">
        <f t="shared" si="33"/>
        <v>0</v>
      </c>
      <c r="AW20" s="135">
        <v>12</v>
      </c>
      <c r="AX20" s="130">
        <f t="shared" si="9"/>
        <v>0</v>
      </c>
      <c r="AY20" s="119"/>
      <c r="AZ20" s="135">
        <f t="shared" si="22"/>
        <v>2033</v>
      </c>
      <c r="BA20" s="128">
        <f t="shared" si="34"/>
        <v>0</v>
      </c>
      <c r="BB20" s="135">
        <v>12</v>
      </c>
      <c r="BC20" s="130">
        <f t="shared" si="10"/>
        <v>0</v>
      </c>
      <c r="BE20" s="135">
        <f t="shared" si="23"/>
        <v>2033</v>
      </c>
      <c r="BF20" s="128">
        <f t="shared" si="35"/>
        <v>0</v>
      </c>
      <c r="BG20" s="135">
        <v>12</v>
      </c>
      <c r="BH20" s="130">
        <f t="shared" si="11"/>
        <v>0</v>
      </c>
    </row>
    <row r="21" spans="2:60">
      <c r="B21" s="135">
        <f t="shared" si="12"/>
        <v>2034</v>
      </c>
      <c r="C21" s="128">
        <f t="shared" si="24"/>
        <v>59.94</v>
      </c>
      <c r="D21" s="135">
        <v>12</v>
      </c>
      <c r="E21" s="130">
        <f t="shared" si="0"/>
        <v>59.94</v>
      </c>
      <c r="F21" s="119"/>
      <c r="G21" s="135">
        <f t="shared" si="13"/>
        <v>2034</v>
      </c>
      <c r="H21" s="128">
        <f t="shared" si="25"/>
        <v>13.25</v>
      </c>
      <c r="I21" s="135">
        <v>12</v>
      </c>
      <c r="J21" s="130">
        <f t="shared" si="1"/>
        <v>13.25</v>
      </c>
      <c r="K21" s="119"/>
      <c r="L21" s="135">
        <f t="shared" si="14"/>
        <v>2034</v>
      </c>
      <c r="M21" s="128">
        <f t="shared" si="26"/>
        <v>0</v>
      </c>
      <c r="N21" s="135">
        <v>12</v>
      </c>
      <c r="O21" s="130">
        <f t="shared" si="2"/>
        <v>0</v>
      </c>
      <c r="Q21" s="135">
        <f t="shared" si="15"/>
        <v>2034</v>
      </c>
      <c r="R21" s="128">
        <f t="shared" si="27"/>
        <v>3.23</v>
      </c>
      <c r="S21" s="135">
        <v>12</v>
      </c>
      <c r="T21" s="130">
        <f t="shared" si="3"/>
        <v>3.23</v>
      </c>
      <c r="U21" s="119"/>
      <c r="V21" s="135">
        <f t="shared" si="16"/>
        <v>2034</v>
      </c>
      <c r="W21" s="128">
        <f t="shared" si="28"/>
        <v>0.49</v>
      </c>
      <c r="X21" s="135">
        <v>12</v>
      </c>
      <c r="Y21" s="130">
        <f t="shared" si="4"/>
        <v>0.49</v>
      </c>
      <c r="Z21" s="119"/>
      <c r="AA21" s="135">
        <f t="shared" si="17"/>
        <v>2034</v>
      </c>
      <c r="AB21" s="128">
        <f t="shared" si="29"/>
        <v>1.88</v>
      </c>
      <c r="AC21" s="135">
        <v>12</v>
      </c>
      <c r="AD21" s="130">
        <f t="shared" si="5"/>
        <v>1.88</v>
      </c>
      <c r="AE21" s="119"/>
      <c r="AF21" s="135">
        <f t="shared" si="18"/>
        <v>2034</v>
      </c>
      <c r="AG21" s="128">
        <f t="shared" si="30"/>
        <v>23.63</v>
      </c>
      <c r="AH21" s="135">
        <v>12</v>
      </c>
      <c r="AI21" s="130">
        <f t="shared" si="6"/>
        <v>23.63</v>
      </c>
      <c r="AJ21" s="119"/>
      <c r="AK21" s="135">
        <f t="shared" si="19"/>
        <v>2034</v>
      </c>
      <c r="AL21" s="128">
        <f t="shared" si="31"/>
        <v>11.52</v>
      </c>
      <c r="AM21" s="135">
        <v>12</v>
      </c>
      <c r="AN21" s="130">
        <f t="shared" si="7"/>
        <v>11.520000000000001</v>
      </c>
      <c r="AO21" s="119"/>
      <c r="AP21" s="135">
        <f t="shared" si="20"/>
        <v>2034</v>
      </c>
      <c r="AQ21" s="128">
        <f t="shared" si="32"/>
        <v>0</v>
      </c>
      <c r="AR21" s="135">
        <v>12</v>
      </c>
      <c r="AS21" s="130">
        <f t="shared" si="8"/>
        <v>0</v>
      </c>
      <c r="AT21" s="119"/>
      <c r="AU21" s="135">
        <f t="shared" si="21"/>
        <v>2034</v>
      </c>
      <c r="AV21" s="128">
        <f t="shared" si="33"/>
        <v>0</v>
      </c>
      <c r="AW21" s="135">
        <v>12</v>
      </c>
      <c r="AX21" s="130">
        <f t="shared" si="9"/>
        <v>0</v>
      </c>
      <c r="AY21" s="119"/>
      <c r="AZ21" s="135">
        <f t="shared" si="22"/>
        <v>2034</v>
      </c>
      <c r="BA21" s="128">
        <f t="shared" si="34"/>
        <v>0</v>
      </c>
      <c r="BB21" s="135">
        <v>12</v>
      </c>
      <c r="BC21" s="130">
        <f t="shared" si="10"/>
        <v>0</v>
      </c>
      <c r="BE21" s="135">
        <f t="shared" si="23"/>
        <v>2034</v>
      </c>
      <c r="BF21" s="128">
        <f t="shared" si="35"/>
        <v>0</v>
      </c>
      <c r="BG21" s="135">
        <v>12</v>
      </c>
      <c r="BH21" s="130">
        <f t="shared" si="11"/>
        <v>0</v>
      </c>
    </row>
    <row r="22" spans="2:60">
      <c r="B22" s="135">
        <f t="shared" si="12"/>
        <v>2035</v>
      </c>
      <c r="C22" s="128">
        <f t="shared" si="24"/>
        <v>61.32</v>
      </c>
      <c r="D22" s="135">
        <v>12</v>
      </c>
      <c r="E22" s="130">
        <f t="shared" si="0"/>
        <v>61.32</v>
      </c>
      <c r="F22" s="119"/>
      <c r="G22" s="135">
        <f t="shared" si="13"/>
        <v>2035</v>
      </c>
      <c r="H22" s="128">
        <f t="shared" si="25"/>
        <v>13.55</v>
      </c>
      <c r="I22" s="135">
        <v>12</v>
      </c>
      <c r="J22" s="130">
        <f t="shared" si="1"/>
        <v>13.550000000000002</v>
      </c>
      <c r="K22" s="119"/>
      <c r="L22" s="135">
        <f t="shared" si="14"/>
        <v>2035</v>
      </c>
      <c r="M22" s="128">
        <f t="shared" si="26"/>
        <v>0</v>
      </c>
      <c r="N22" s="135">
        <v>12</v>
      </c>
      <c r="O22" s="130">
        <f t="shared" si="2"/>
        <v>0</v>
      </c>
      <c r="Q22" s="135">
        <f t="shared" si="15"/>
        <v>2035</v>
      </c>
      <c r="R22" s="128">
        <f t="shared" si="27"/>
        <v>3.3</v>
      </c>
      <c r="S22" s="135">
        <v>12</v>
      </c>
      <c r="T22" s="130">
        <f t="shared" si="3"/>
        <v>3.2999999999999994</v>
      </c>
      <c r="U22" s="119"/>
      <c r="V22" s="135">
        <f t="shared" si="16"/>
        <v>2035</v>
      </c>
      <c r="W22" s="128">
        <f t="shared" si="28"/>
        <v>0.5</v>
      </c>
      <c r="X22" s="135">
        <v>12</v>
      </c>
      <c r="Y22" s="130">
        <f t="shared" si="4"/>
        <v>0.5</v>
      </c>
      <c r="Z22" s="119"/>
      <c r="AA22" s="135">
        <f t="shared" si="17"/>
        <v>2035</v>
      </c>
      <c r="AB22" s="128">
        <f t="shared" si="29"/>
        <v>1.92</v>
      </c>
      <c r="AC22" s="135">
        <v>12</v>
      </c>
      <c r="AD22" s="130">
        <f t="shared" si="5"/>
        <v>1.92</v>
      </c>
      <c r="AE22" s="119"/>
      <c r="AF22" s="135">
        <f t="shared" si="18"/>
        <v>2035</v>
      </c>
      <c r="AG22" s="128">
        <f t="shared" si="30"/>
        <v>24.17</v>
      </c>
      <c r="AH22" s="135">
        <v>12</v>
      </c>
      <c r="AI22" s="130">
        <f t="shared" si="6"/>
        <v>24.17</v>
      </c>
      <c r="AJ22" s="119"/>
      <c r="AK22" s="135">
        <f t="shared" si="19"/>
        <v>2035</v>
      </c>
      <c r="AL22" s="128">
        <f t="shared" si="31"/>
        <v>11.78</v>
      </c>
      <c r="AM22" s="135">
        <v>12</v>
      </c>
      <c r="AN22" s="130">
        <f t="shared" si="7"/>
        <v>11.78</v>
      </c>
      <c r="AO22" s="119"/>
      <c r="AP22" s="135">
        <f t="shared" si="20"/>
        <v>2035</v>
      </c>
      <c r="AQ22" s="128">
        <f t="shared" si="32"/>
        <v>0</v>
      </c>
      <c r="AR22" s="135">
        <v>12</v>
      </c>
      <c r="AS22" s="130">
        <f t="shared" si="8"/>
        <v>0</v>
      </c>
      <c r="AT22" s="119"/>
      <c r="AU22" s="135">
        <f t="shared" si="21"/>
        <v>2035</v>
      </c>
      <c r="AV22" s="128">
        <f t="shared" si="33"/>
        <v>0</v>
      </c>
      <c r="AW22" s="135">
        <v>12</v>
      </c>
      <c r="AX22" s="130">
        <f t="shared" si="9"/>
        <v>0</v>
      </c>
      <c r="AY22" s="119"/>
      <c r="AZ22" s="135">
        <f t="shared" si="22"/>
        <v>2035</v>
      </c>
      <c r="BA22" s="128">
        <f t="shared" si="34"/>
        <v>0</v>
      </c>
      <c r="BB22" s="135">
        <v>12</v>
      </c>
      <c r="BC22" s="130">
        <f t="shared" si="10"/>
        <v>0</v>
      </c>
      <c r="BE22" s="135">
        <f t="shared" si="23"/>
        <v>2035</v>
      </c>
      <c r="BF22" s="128">
        <f t="shared" si="35"/>
        <v>0</v>
      </c>
      <c r="BG22" s="135">
        <v>12</v>
      </c>
      <c r="BH22" s="130">
        <f t="shared" si="11"/>
        <v>0</v>
      </c>
    </row>
    <row r="23" spans="2:60">
      <c r="B23" s="135">
        <f t="shared" si="12"/>
        <v>2036</v>
      </c>
      <c r="C23" s="128">
        <f t="shared" si="24"/>
        <v>62.73</v>
      </c>
      <c r="D23" s="135">
        <v>12</v>
      </c>
      <c r="E23" s="130">
        <f t="shared" si="0"/>
        <v>62.73</v>
      </c>
      <c r="F23" s="119"/>
      <c r="G23" s="135">
        <f t="shared" si="13"/>
        <v>2036</v>
      </c>
      <c r="H23" s="128">
        <f t="shared" si="25"/>
        <v>13.86</v>
      </c>
      <c r="I23" s="135">
        <v>12</v>
      </c>
      <c r="J23" s="130">
        <f t="shared" si="1"/>
        <v>13.86</v>
      </c>
      <c r="K23" s="119"/>
      <c r="L23" s="341">
        <f t="shared" si="14"/>
        <v>2036</v>
      </c>
      <c r="M23" s="128">
        <f t="shared" si="26"/>
        <v>31.092888780208423</v>
      </c>
      <c r="N23" s="135">
        <v>12</v>
      </c>
      <c r="O23" s="130">
        <f t="shared" si="2"/>
        <v>31.092888780208423</v>
      </c>
      <c r="Q23" s="135">
        <f t="shared" si="15"/>
        <v>2036</v>
      </c>
      <c r="R23" s="128">
        <f t="shared" si="27"/>
        <v>3.38</v>
      </c>
      <c r="S23" s="135">
        <v>12</v>
      </c>
      <c r="T23" s="130">
        <f t="shared" si="3"/>
        <v>3.3800000000000003</v>
      </c>
      <c r="U23" s="119"/>
      <c r="V23" s="135">
        <f t="shared" si="16"/>
        <v>2036</v>
      </c>
      <c r="W23" s="128">
        <f t="shared" si="28"/>
        <v>0.51</v>
      </c>
      <c r="X23" s="135">
        <v>12</v>
      </c>
      <c r="Y23" s="130">
        <f t="shared" si="4"/>
        <v>0.51</v>
      </c>
      <c r="Z23" s="119"/>
      <c r="AA23" s="135">
        <f t="shared" si="17"/>
        <v>2036</v>
      </c>
      <c r="AB23" s="128">
        <f t="shared" si="29"/>
        <v>1.96</v>
      </c>
      <c r="AC23" s="135">
        <v>12</v>
      </c>
      <c r="AD23" s="130">
        <f t="shared" si="5"/>
        <v>1.96</v>
      </c>
      <c r="AE23" s="119"/>
      <c r="AF23" s="135">
        <f t="shared" si="18"/>
        <v>2036</v>
      </c>
      <c r="AG23" s="128">
        <f t="shared" si="30"/>
        <v>24.73</v>
      </c>
      <c r="AH23" s="135">
        <v>12</v>
      </c>
      <c r="AI23" s="130">
        <f t="shared" si="6"/>
        <v>24.73</v>
      </c>
      <c r="AJ23" s="119"/>
      <c r="AK23" s="135">
        <f t="shared" si="19"/>
        <v>2036</v>
      </c>
      <c r="AL23" s="128">
        <f t="shared" si="31"/>
        <v>12.05</v>
      </c>
      <c r="AM23" s="135">
        <v>12</v>
      </c>
      <c r="AN23" s="130">
        <f t="shared" si="7"/>
        <v>12.050000000000002</v>
      </c>
      <c r="AO23" s="119"/>
      <c r="AP23" s="135">
        <f t="shared" si="20"/>
        <v>2036</v>
      </c>
      <c r="AQ23" s="128">
        <f t="shared" si="32"/>
        <v>0</v>
      </c>
      <c r="AR23" s="135">
        <v>12</v>
      </c>
      <c r="AS23" s="130">
        <f t="shared" si="8"/>
        <v>0</v>
      </c>
      <c r="AT23" s="119"/>
      <c r="AU23" s="135">
        <f t="shared" si="21"/>
        <v>2036</v>
      </c>
      <c r="AV23" s="128">
        <f t="shared" si="33"/>
        <v>0</v>
      </c>
      <c r="AW23" s="135">
        <v>12</v>
      </c>
      <c r="AX23" s="130">
        <f t="shared" si="9"/>
        <v>0</v>
      </c>
      <c r="AY23" s="119"/>
      <c r="AZ23" s="135">
        <f t="shared" si="22"/>
        <v>2036</v>
      </c>
      <c r="BA23" s="128">
        <f t="shared" si="34"/>
        <v>0</v>
      </c>
      <c r="BB23" s="135">
        <v>12</v>
      </c>
      <c r="BC23" s="130">
        <f t="shared" si="10"/>
        <v>0</v>
      </c>
      <c r="BE23" s="135">
        <f t="shared" si="23"/>
        <v>2036</v>
      </c>
      <c r="BF23" s="128">
        <f t="shared" si="35"/>
        <v>0</v>
      </c>
      <c r="BG23" s="135">
        <v>12</v>
      </c>
      <c r="BH23" s="130">
        <f t="shared" si="11"/>
        <v>0</v>
      </c>
    </row>
    <row r="24" spans="2:60">
      <c r="B24" s="135">
        <f t="shared" si="12"/>
        <v>2037</v>
      </c>
      <c r="C24" s="128">
        <f t="shared" si="24"/>
        <v>64.17</v>
      </c>
      <c r="D24" s="135">
        <v>12</v>
      </c>
      <c r="E24" s="130">
        <f t="shared" si="0"/>
        <v>64.17</v>
      </c>
      <c r="F24" s="119"/>
      <c r="G24" s="135">
        <f t="shared" si="13"/>
        <v>2037</v>
      </c>
      <c r="H24" s="128">
        <f t="shared" si="25"/>
        <v>14.18</v>
      </c>
      <c r="I24" s="135">
        <v>12</v>
      </c>
      <c r="J24" s="130">
        <f t="shared" si="1"/>
        <v>14.18</v>
      </c>
      <c r="K24" s="119"/>
      <c r="L24" s="135">
        <f t="shared" si="14"/>
        <v>2037</v>
      </c>
      <c r="M24" s="128">
        <f t="shared" si="26"/>
        <v>31.81</v>
      </c>
      <c r="N24" s="135">
        <v>12</v>
      </c>
      <c r="O24" s="130">
        <f t="shared" si="2"/>
        <v>31.81</v>
      </c>
      <c r="Q24" s="135">
        <f t="shared" si="15"/>
        <v>2037</v>
      </c>
      <c r="R24" s="128">
        <f t="shared" si="27"/>
        <v>3.46</v>
      </c>
      <c r="S24" s="135">
        <v>12</v>
      </c>
      <c r="T24" s="130">
        <f t="shared" si="3"/>
        <v>3.4599999999999995</v>
      </c>
      <c r="U24" s="119"/>
      <c r="V24" s="135">
        <f t="shared" si="16"/>
        <v>2037</v>
      </c>
      <c r="W24" s="128">
        <f t="shared" si="28"/>
        <v>0.52</v>
      </c>
      <c r="X24" s="135">
        <v>12</v>
      </c>
      <c r="Y24" s="130">
        <f t="shared" si="4"/>
        <v>0.52</v>
      </c>
      <c r="Z24" s="119"/>
      <c r="AA24" s="135">
        <f t="shared" si="17"/>
        <v>2037</v>
      </c>
      <c r="AB24" s="128">
        <f t="shared" si="29"/>
        <v>2.0099999999999998</v>
      </c>
      <c r="AC24" s="135">
        <v>12</v>
      </c>
      <c r="AD24" s="130">
        <f t="shared" si="5"/>
        <v>2.0099999999999998</v>
      </c>
      <c r="AE24" s="119"/>
      <c r="AF24" s="135">
        <f t="shared" si="18"/>
        <v>2037</v>
      </c>
      <c r="AG24" s="128">
        <f t="shared" si="30"/>
        <v>25.3</v>
      </c>
      <c r="AH24" s="135">
        <v>12</v>
      </c>
      <c r="AI24" s="130">
        <f t="shared" si="6"/>
        <v>25.3</v>
      </c>
      <c r="AJ24" s="119"/>
      <c r="AK24" s="135">
        <f t="shared" si="19"/>
        <v>2037</v>
      </c>
      <c r="AL24" s="128">
        <f t="shared" si="31"/>
        <v>12.33</v>
      </c>
      <c r="AM24" s="135">
        <v>12</v>
      </c>
      <c r="AN24" s="130">
        <f t="shared" si="7"/>
        <v>12.33</v>
      </c>
      <c r="AO24" s="119"/>
      <c r="AP24" s="341">
        <f t="shared" si="20"/>
        <v>2037</v>
      </c>
      <c r="AQ24" s="128">
        <f t="shared" si="32"/>
        <v>4.7728292811563495</v>
      </c>
      <c r="AR24" s="135">
        <v>12</v>
      </c>
      <c r="AS24" s="130">
        <f t="shared" si="8"/>
        <v>4.7728292811563495</v>
      </c>
      <c r="AT24" s="119"/>
      <c r="AU24" s="341">
        <f t="shared" si="21"/>
        <v>2037</v>
      </c>
      <c r="AV24" s="128">
        <f t="shared" si="33"/>
        <v>5.4972551057881001</v>
      </c>
      <c r="AW24" s="135">
        <v>12</v>
      </c>
      <c r="AX24" s="130">
        <f t="shared" si="9"/>
        <v>5.4972551057881001</v>
      </c>
      <c r="AY24" s="119"/>
      <c r="AZ24" s="135">
        <f t="shared" si="22"/>
        <v>2037</v>
      </c>
      <c r="BA24" s="128">
        <f t="shared" si="34"/>
        <v>0</v>
      </c>
      <c r="BB24" s="135">
        <v>12</v>
      </c>
      <c r="BC24" s="130">
        <f t="shared" si="10"/>
        <v>0</v>
      </c>
      <c r="BE24" s="135">
        <f t="shared" si="23"/>
        <v>2037</v>
      </c>
      <c r="BF24" s="128">
        <f t="shared" si="35"/>
        <v>0</v>
      </c>
      <c r="BG24" s="135">
        <v>12</v>
      </c>
      <c r="BH24" s="130">
        <f t="shared" si="11"/>
        <v>0</v>
      </c>
    </row>
    <row r="25" spans="2:60">
      <c r="B25" s="135">
        <f t="shared" si="12"/>
        <v>2038</v>
      </c>
      <c r="C25" s="128">
        <f t="shared" si="24"/>
        <v>65.650000000000006</v>
      </c>
      <c r="D25" s="135">
        <v>12</v>
      </c>
      <c r="E25" s="130">
        <f t="shared" si="0"/>
        <v>65.650000000000006</v>
      </c>
      <c r="F25" s="119"/>
      <c r="G25" s="135">
        <f t="shared" si="13"/>
        <v>2038</v>
      </c>
      <c r="H25" s="128">
        <f t="shared" si="25"/>
        <v>14.51</v>
      </c>
      <c r="I25" s="135">
        <v>12</v>
      </c>
      <c r="J25" s="130">
        <f t="shared" si="1"/>
        <v>14.51</v>
      </c>
      <c r="K25" s="119"/>
      <c r="L25" s="135">
        <f t="shared" si="14"/>
        <v>2038</v>
      </c>
      <c r="M25" s="128">
        <f t="shared" si="26"/>
        <v>32.54</v>
      </c>
      <c r="N25" s="135">
        <v>12</v>
      </c>
      <c r="O25" s="130">
        <f t="shared" si="2"/>
        <v>32.54</v>
      </c>
      <c r="Q25" s="135">
        <f t="shared" si="15"/>
        <v>2038</v>
      </c>
      <c r="R25" s="128">
        <f t="shared" si="27"/>
        <v>3.54</v>
      </c>
      <c r="S25" s="135">
        <v>12</v>
      </c>
      <c r="T25" s="130">
        <f t="shared" si="3"/>
        <v>3.5400000000000005</v>
      </c>
      <c r="U25" s="119"/>
      <c r="V25" s="135">
        <f t="shared" si="16"/>
        <v>2038</v>
      </c>
      <c r="W25" s="128">
        <f t="shared" si="28"/>
        <v>0.53</v>
      </c>
      <c r="X25" s="135">
        <v>12</v>
      </c>
      <c r="Y25" s="130">
        <f t="shared" si="4"/>
        <v>0.53</v>
      </c>
      <c r="Z25" s="119"/>
      <c r="AA25" s="135">
        <f t="shared" si="17"/>
        <v>2038</v>
      </c>
      <c r="AB25" s="128">
        <f t="shared" si="29"/>
        <v>2.06</v>
      </c>
      <c r="AC25" s="135">
        <v>12</v>
      </c>
      <c r="AD25" s="130">
        <f t="shared" si="5"/>
        <v>2.06</v>
      </c>
      <c r="AE25" s="119"/>
      <c r="AF25" s="135">
        <f t="shared" si="18"/>
        <v>2038</v>
      </c>
      <c r="AG25" s="128">
        <f t="shared" si="30"/>
        <v>25.88</v>
      </c>
      <c r="AH25" s="135">
        <v>12</v>
      </c>
      <c r="AI25" s="130">
        <f t="shared" si="6"/>
        <v>25.88</v>
      </c>
      <c r="AJ25" s="119"/>
      <c r="AK25" s="135">
        <f t="shared" si="19"/>
        <v>2038</v>
      </c>
      <c r="AL25" s="128">
        <f t="shared" si="31"/>
        <v>12.61</v>
      </c>
      <c r="AM25" s="135">
        <v>12</v>
      </c>
      <c r="AN25" s="130">
        <f t="shared" si="7"/>
        <v>12.61</v>
      </c>
      <c r="AO25" s="119"/>
      <c r="AP25" s="135">
        <f t="shared" si="20"/>
        <v>2038</v>
      </c>
      <c r="AQ25" s="128">
        <f t="shared" si="32"/>
        <v>4.88</v>
      </c>
      <c r="AR25" s="135">
        <v>12</v>
      </c>
      <c r="AS25" s="130">
        <f t="shared" si="8"/>
        <v>4.88</v>
      </c>
      <c r="AT25" s="119"/>
      <c r="AU25" s="135">
        <f t="shared" si="21"/>
        <v>2038</v>
      </c>
      <c r="AV25" s="128">
        <f t="shared" si="33"/>
        <v>5.62</v>
      </c>
      <c r="AW25" s="135">
        <v>12</v>
      </c>
      <c r="AX25" s="130">
        <f t="shared" si="9"/>
        <v>5.62</v>
      </c>
      <c r="AY25" s="119"/>
      <c r="AZ25" s="135">
        <f t="shared" si="22"/>
        <v>2038</v>
      </c>
      <c r="BA25" s="128">
        <f t="shared" si="34"/>
        <v>0</v>
      </c>
      <c r="BB25" s="135">
        <v>12</v>
      </c>
      <c r="BC25" s="130">
        <f t="shared" si="10"/>
        <v>0</v>
      </c>
      <c r="BE25" s="135">
        <f t="shared" si="23"/>
        <v>2038</v>
      </c>
      <c r="BF25" s="128">
        <f t="shared" si="35"/>
        <v>0</v>
      </c>
      <c r="BG25" s="135">
        <v>12</v>
      </c>
      <c r="BH25" s="130">
        <f t="shared" si="11"/>
        <v>0</v>
      </c>
    </row>
    <row r="26" spans="2:60">
      <c r="B26" s="135">
        <f t="shared" si="12"/>
        <v>2039</v>
      </c>
      <c r="C26" s="128">
        <f t="shared" si="24"/>
        <v>67.16</v>
      </c>
      <c r="D26" s="135">
        <v>12</v>
      </c>
      <c r="E26" s="130">
        <f t="shared" si="0"/>
        <v>67.16</v>
      </c>
      <c r="F26" s="119"/>
      <c r="G26" s="135">
        <f t="shared" si="13"/>
        <v>2039</v>
      </c>
      <c r="H26" s="128">
        <f t="shared" si="25"/>
        <v>14.84</v>
      </c>
      <c r="I26" s="135">
        <v>12</v>
      </c>
      <c r="J26" s="130">
        <f t="shared" si="1"/>
        <v>14.839999999999998</v>
      </c>
      <c r="K26" s="119"/>
      <c r="L26" s="135">
        <f t="shared" si="14"/>
        <v>2039</v>
      </c>
      <c r="M26" s="128">
        <f t="shared" si="26"/>
        <v>33.29</v>
      </c>
      <c r="N26" s="135">
        <v>12</v>
      </c>
      <c r="O26" s="130">
        <f t="shared" si="2"/>
        <v>33.29</v>
      </c>
      <c r="Q26" s="135">
        <f t="shared" si="15"/>
        <v>2039</v>
      </c>
      <c r="R26" s="128">
        <f t="shared" si="27"/>
        <v>3.62</v>
      </c>
      <c r="S26" s="135">
        <v>12</v>
      </c>
      <c r="T26" s="130">
        <f t="shared" si="3"/>
        <v>3.6199999999999997</v>
      </c>
      <c r="U26" s="119"/>
      <c r="V26" s="135">
        <f t="shared" si="16"/>
        <v>2039</v>
      </c>
      <c r="W26" s="128">
        <f t="shared" si="28"/>
        <v>0.54</v>
      </c>
      <c r="X26" s="135">
        <v>12</v>
      </c>
      <c r="Y26" s="130">
        <f t="shared" si="4"/>
        <v>0.54</v>
      </c>
      <c r="Z26" s="119"/>
      <c r="AA26" s="135">
        <f t="shared" si="17"/>
        <v>2039</v>
      </c>
      <c r="AB26" s="128">
        <f t="shared" si="29"/>
        <v>2.11</v>
      </c>
      <c r="AC26" s="135">
        <v>12</v>
      </c>
      <c r="AD26" s="130">
        <f t="shared" si="5"/>
        <v>2.11</v>
      </c>
      <c r="AE26" s="119"/>
      <c r="AF26" s="135">
        <f t="shared" si="18"/>
        <v>2039</v>
      </c>
      <c r="AG26" s="128">
        <f t="shared" si="30"/>
        <v>26.48</v>
      </c>
      <c r="AH26" s="135">
        <v>12</v>
      </c>
      <c r="AI26" s="130">
        <f t="shared" si="6"/>
        <v>26.48</v>
      </c>
      <c r="AJ26" s="119"/>
      <c r="AK26" s="135">
        <f t="shared" si="19"/>
        <v>2039</v>
      </c>
      <c r="AL26" s="128">
        <f t="shared" si="31"/>
        <v>12.9</v>
      </c>
      <c r="AM26" s="135">
        <v>12</v>
      </c>
      <c r="AN26" s="130">
        <f t="shared" si="7"/>
        <v>12.9</v>
      </c>
      <c r="AO26" s="119"/>
      <c r="AP26" s="135">
        <f t="shared" si="20"/>
        <v>2039</v>
      </c>
      <c r="AQ26" s="128">
        <f t="shared" si="32"/>
        <v>4.99</v>
      </c>
      <c r="AR26" s="135">
        <v>12</v>
      </c>
      <c r="AS26" s="130">
        <f t="shared" si="8"/>
        <v>4.99</v>
      </c>
      <c r="AT26" s="119"/>
      <c r="AU26" s="135">
        <f t="shared" si="21"/>
        <v>2039</v>
      </c>
      <c r="AV26" s="128">
        <f t="shared" si="33"/>
        <v>5.75</v>
      </c>
      <c r="AW26" s="135">
        <v>12</v>
      </c>
      <c r="AX26" s="130">
        <f t="shared" si="9"/>
        <v>5.75</v>
      </c>
      <c r="AY26" s="119"/>
      <c r="AZ26" s="135">
        <f t="shared" si="22"/>
        <v>2039</v>
      </c>
      <c r="BA26" s="128">
        <f t="shared" si="34"/>
        <v>0</v>
      </c>
      <c r="BB26" s="135">
        <v>12</v>
      </c>
      <c r="BC26" s="130">
        <f t="shared" si="10"/>
        <v>0</v>
      </c>
      <c r="BE26" s="135">
        <f t="shared" si="23"/>
        <v>2039</v>
      </c>
      <c r="BF26" s="128">
        <f t="shared" si="35"/>
        <v>0</v>
      </c>
      <c r="BG26" s="135">
        <v>12</v>
      </c>
      <c r="BH26" s="130">
        <f t="shared" si="11"/>
        <v>0</v>
      </c>
    </row>
    <row r="27" spans="2:60">
      <c r="B27" s="135">
        <f t="shared" si="12"/>
        <v>2040</v>
      </c>
      <c r="C27" s="128">
        <f t="shared" si="24"/>
        <v>68.7</v>
      </c>
      <c r="D27" s="135">
        <v>12</v>
      </c>
      <c r="E27" s="130">
        <f t="shared" si="0"/>
        <v>68.7</v>
      </c>
      <c r="F27" s="119"/>
      <c r="G27" s="135">
        <f t="shared" si="13"/>
        <v>2040</v>
      </c>
      <c r="H27" s="128">
        <f t="shared" si="25"/>
        <v>15.18</v>
      </c>
      <c r="I27" s="135">
        <v>12</v>
      </c>
      <c r="J27" s="130">
        <f t="shared" si="1"/>
        <v>15.18</v>
      </c>
      <c r="K27" s="119"/>
      <c r="L27" s="135">
        <f t="shared" si="14"/>
        <v>2040</v>
      </c>
      <c r="M27" s="128">
        <f t="shared" si="26"/>
        <v>34.06</v>
      </c>
      <c r="N27" s="135">
        <v>12</v>
      </c>
      <c r="O27" s="130">
        <f t="shared" si="2"/>
        <v>34.06</v>
      </c>
      <c r="Q27" s="135">
        <f t="shared" si="15"/>
        <v>2040</v>
      </c>
      <c r="R27" s="128">
        <f t="shared" si="27"/>
        <v>3.7</v>
      </c>
      <c r="S27" s="135">
        <v>12</v>
      </c>
      <c r="T27" s="130">
        <f t="shared" si="3"/>
        <v>3.7000000000000006</v>
      </c>
      <c r="U27" s="119"/>
      <c r="V27" s="135">
        <f t="shared" si="16"/>
        <v>2040</v>
      </c>
      <c r="W27" s="128">
        <f t="shared" si="28"/>
        <v>0.55000000000000004</v>
      </c>
      <c r="X27" s="135">
        <v>12</v>
      </c>
      <c r="Y27" s="130">
        <f t="shared" si="4"/>
        <v>0.55000000000000004</v>
      </c>
      <c r="Z27" s="119"/>
      <c r="AA27" s="135">
        <f t="shared" si="17"/>
        <v>2040</v>
      </c>
      <c r="AB27" s="128">
        <f t="shared" si="29"/>
        <v>2.16</v>
      </c>
      <c r="AC27" s="135">
        <v>12</v>
      </c>
      <c r="AD27" s="130">
        <f t="shared" si="5"/>
        <v>2.16</v>
      </c>
      <c r="AE27" s="119"/>
      <c r="AF27" s="135">
        <f t="shared" si="18"/>
        <v>2040</v>
      </c>
      <c r="AG27" s="128">
        <f t="shared" si="30"/>
        <v>27.09</v>
      </c>
      <c r="AH27" s="135">
        <v>12</v>
      </c>
      <c r="AI27" s="130">
        <f t="shared" si="6"/>
        <v>27.09</v>
      </c>
      <c r="AJ27" s="119"/>
      <c r="AK27" s="135">
        <f t="shared" si="19"/>
        <v>2040</v>
      </c>
      <c r="AL27" s="128">
        <f t="shared" si="31"/>
        <v>13.2</v>
      </c>
      <c r="AM27" s="135">
        <v>12</v>
      </c>
      <c r="AN27" s="130">
        <f t="shared" si="7"/>
        <v>13.199999999999998</v>
      </c>
      <c r="AO27" s="119"/>
      <c r="AP27" s="135">
        <f t="shared" si="20"/>
        <v>2040</v>
      </c>
      <c r="AQ27" s="128">
        <f t="shared" si="32"/>
        <v>5.0999999999999996</v>
      </c>
      <c r="AR27" s="135">
        <v>12</v>
      </c>
      <c r="AS27" s="130">
        <f t="shared" si="8"/>
        <v>5.0999999999999996</v>
      </c>
      <c r="AT27" s="119"/>
      <c r="AU27" s="135">
        <f t="shared" si="21"/>
        <v>2040</v>
      </c>
      <c r="AV27" s="128">
        <f t="shared" si="33"/>
        <v>5.88</v>
      </c>
      <c r="AW27" s="135">
        <v>12</v>
      </c>
      <c r="AX27" s="130">
        <f t="shared" si="9"/>
        <v>5.88</v>
      </c>
      <c r="AY27" s="119"/>
      <c r="AZ27" s="135">
        <f t="shared" si="22"/>
        <v>2040</v>
      </c>
      <c r="BA27" s="128">
        <f t="shared" si="34"/>
        <v>0</v>
      </c>
      <c r="BB27" s="135">
        <v>12</v>
      </c>
      <c r="BC27" s="130">
        <f t="shared" si="10"/>
        <v>0</v>
      </c>
      <c r="BE27" s="135">
        <f t="shared" si="23"/>
        <v>2040</v>
      </c>
      <c r="BF27" s="128">
        <f t="shared" si="35"/>
        <v>0</v>
      </c>
      <c r="BG27" s="135">
        <v>12</v>
      </c>
      <c r="BH27" s="130">
        <f t="shared" si="11"/>
        <v>0</v>
      </c>
    </row>
    <row r="28" spans="2:60">
      <c r="B28" s="135">
        <f t="shared" si="12"/>
        <v>2041</v>
      </c>
      <c r="C28" s="128">
        <f t="shared" si="24"/>
        <v>70.28</v>
      </c>
      <c r="D28" s="135">
        <v>12</v>
      </c>
      <c r="E28" s="130">
        <f t="shared" si="0"/>
        <v>70.28</v>
      </c>
      <c r="F28" s="119"/>
      <c r="G28" s="135">
        <f t="shared" si="13"/>
        <v>2041</v>
      </c>
      <c r="H28" s="128">
        <f t="shared" si="25"/>
        <v>15.53</v>
      </c>
      <c r="I28" s="135">
        <v>12</v>
      </c>
      <c r="J28" s="130">
        <f t="shared" si="1"/>
        <v>15.53</v>
      </c>
      <c r="K28" s="119"/>
      <c r="L28" s="135">
        <f t="shared" si="14"/>
        <v>2041</v>
      </c>
      <c r="M28" s="128">
        <f t="shared" si="26"/>
        <v>34.840000000000003</v>
      </c>
      <c r="N28" s="135">
        <v>12</v>
      </c>
      <c r="O28" s="130">
        <f t="shared" si="2"/>
        <v>34.840000000000003</v>
      </c>
      <c r="Q28" s="135">
        <f t="shared" si="15"/>
        <v>2041</v>
      </c>
      <c r="R28" s="128">
        <f t="shared" si="27"/>
        <v>3.79</v>
      </c>
      <c r="S28" s="135">
        <v>12</v>
      </c>
      <c r="T28" s="130">
        <f t="shared" si="3"/>
        <v>3.7900000000000005</v>
      </c>
      <c r="U28" s="119"/>
      <c r="V28" s="135">
        <f t="shared" si="16"/>
        <v>2041</v>
      </c>
      <c r="W28" s="128">
        <f t="shared" si="28"/>
        <v>0.56000000000000005</v>
      </c>
      <c r="X28" s="135">
        <v>12</v>
      </c>
      <c r="Y28" s="130">
        <f t="shared" si="4"/>
        <v>0.56000000000000005</v>
      </c>
      <c r="Z28" s="119"/>
      <c r="AA28" s="135">
        <f t="shared" si="17"/>
        <v>2041</v>
      </c>
      <c r="AB28" s="128">
        <f t="shared" si="29"/>
        <v>2.21</v>
      </c>
      <c r="AC28" s="135">
        <v>12</v>
      </c>
      <c r="AD28" s="130">
        <f t="shared" si="5"/>
        <v>2.21</v>
      </c>
      <c r="AE28" s="119"/>
      <c r="AF28" s="135">
        <f t="shared" si="18"/>
        <v>2041</v>
      </c>
      <c r="AG28" s="128">
        <f t="shared" si="30"/>
        <v>27.71</v>
      </c>
      <c r="AH28" s="135">
        <v>12</v>
      </c>
      <c r="AI28" s="130">
        <f t="shared" si="6"/>
        <v>27.709999999999997</v>
      </c>
      <c r="AJ28" s="119"/>
      <c r="AK28" s="135">
        <f t="shared" si="19"/>
        <v>2041</v>
      </c>
      <c r="AL28" s="128">
        <f t="shared" si="31"/>
        <v>13.5</v>
      </c>
      <c r="AM28" s="135">
        <v>12</v>
      </c>
      <c r="AN28" s="130">
        <f t="shared" si="7"/>
        <v>13.5</v>
      </c>
      <c r="AO28" s="119"/>
      <c r="AP28" s="135">
        <f t="shared" si="20"/>
        <v>2041</v>
      </c>
      <c r="AQ28" s="128">
        <f t="shared" si="32"/>
        <v>5.22</v>
      </c>
      <c r="AR28" s="135">
        <v>12</v>
      </c>
      <c r="AS28" s="130">
        <f t="shared" si="8"/>
        <v>5.22</v>
      </c>
      <c r="AT28" s="119"/>
      <c r="AU28" s="135">
        <f t="shared" si="21"/>
        <v>2041</v>
      </c>
      <c r="AV28" s="128">
        <f t="shared" si="33"/>
        <v>6.02</v>
      </c>
      <c r="AW28" s="135">
        <v>12</v>
      </c>
      <c r="AX28" s="130">
        <f t="shared" si="9"/>
        <v>6.02</v>
      </c>
      <c r="AY28" s="119"/>
      <c r="AZ28" s="135">
        <f t="shared" si="22"/>
        <v>2041</v>
      </c>
      <c r="BA28" s="128">
        <f t="shared" si="34"/>
        <v>0</v>
      </c>
      <c r="BB28" s="135">
        <v>12</v>
      </c>
      <c r="BC28" s="130">
        <f t="shared" si="10"/>
        <v>0</v>
      </c>
      <c r="BE28" s="135">
        <f t="shared" si="23"/>
        <v>2041</v>
      </c>
      <c r="BF28" s="128">
        <f t="shared" si="35"/>
        <v>0</v>
      </c>
      <c r="BG28" s="135">
        <v>12</v>
      </c>
      <c r="BH28" s="130">
        <f t="shared" si="11"/>
        <v>0</v>
      </c>
    </row>
    <row r="29" spans="2:60">
      <c r="B29" s="135">
        <f t="shared" si="12"/>
        <v>2042</v>
      </c>
      <c r="C29" s="128">
        <f t="shared" si="24"/>
        <v>71.900000000000006</v>
      </c>
      <c r="D29" s="135">
        <v>12</v>
      </c>
      <c r="E29" s="130">
        <f t="shared" si="0"/>
        <v>71.900000000000006</v>
      </c>
      <c r="F29" s="119"/>
      <c r="G29" s="135">
        <f t="shared" si="13"/>
        <v>2042</v>
      </c>
      <c r="H29" s="128">
        <f t="shared" si="25"/>
        <v>15.89</v>
      </c>
      <c r="I29" s="135">
        <v>12</v>
      </c>
      <c r="J29" s="130">
        <f t="shared" si="1"/>
        <v>15.89</v>
      </c>
      <c r="K29" s="119"/>
      <c r="L29" s="135">
        <f t="shared" si="14"/>
        <v>2042</v>
      </c>
      <c r="M29" s="128">
        <f t="shared" si="26"/>
        <v>35.64</v>
      </c>
      <c r="N29" s="135">
        <v>12</v>
      </c>
      <c r="O29" s="130">
        <f t="shared" si="2"/>
        <v>35.64</v>
      </c>
      <c r="Q29" s="135">
        <f t="shared" si="15"/>
        <v>2042</v>
      </c>
      <c r="R29" s="128">
        <f t="shared" si="27"/>
        <v>3.88</v>
      </c>
      <c r="S29" s="135">
        <v>12</v>
      </c>
      <c r="T29" s="130">
        <f t="shared" si="3"/>
        <v>3.8800000000000003</v>
      </c>
      <c r="U29" s="119"/>
      <c r="V29" s="135">
        <f t="shared" si="16"/>
        <v>2042</v>
      </c>
      <c r="W29" s="128">
        <f t="shared" si="28"/>
        <v>0.56999999999999995</v>
      </c>
      <c r="X29" s="135">
        <v>12</v>
      </c>
      <c r="Y29" s="130">
        <f t="shared" si="4"/>
        <v>0.56999999999999995</v>
      </c>
      <c r="Z29" s="119"/>
      <c r="AA29" s="135">
        <f t="shared" si="17"/>
        <v>2042</v>
      </c>
      <c r="AB29" s="128">
        <f t="shared" si="29"/>
        <v>2.2599999999999998</v>
      </c>
      <c r="AC29" s="135">
        <v>12</v>
      </c>
      <c r="AD29" s="130">
        <f t="shared" si="5"/>
        <v>2.2599999999999998</v>
      </c>
      <c r="AE29" s="119"/>
      <c r="AF29" s="135">
        <f t="shared" si="18"/>
        <v>2042</v>
      </c>
      <c r="AG29" s="128">
        <f t="shared" si="30"/>
        <v>28.35</v>
      </c>
      <c r="AH29" s="135">
        <v>12</v>
      </c>
      <c r="AI29" s="130">
        <f t="shared" si="6"/>
        <v>28.350000000000005</v>
      </c>
      <c r="AJ29" s="119"/>
      <c r="AK29" s="135">
        <f t="shared" si="19"/>
        <v>2042</v>
      </c>
      <c r="AL29" s="128">
        <f t="shared" si="31"/>
        <v>13.81</v>
      </c>
      <c r="AM29" s="135">
        <v>12</v>
      </c>
      <c r="AN29" s="130">
        <f t="shared" si="7"/>
        <v>13.81</v>
      </c>
      <c r="AO29" s="119"/>
      <c r="AP29" s="135">
        <f t="shared" si="20"/>
        <v>2042</v>
      </c>
      <c r="AQ29" s="128">
        <f t="shared" si="32"/>
        <v>5.34</v>
      </c>
      <c r="AR29" s="135">
        <v>12</v>
      </c>
      <c r="AS29" s="130">
        <f t="shared" si="8"/>
        <v>5.34</v>
      </c>
      <c r="AT29" s="119"/>
      <c r="AU29" s="135">
        <f t="shared" si="21"/>
        <v>2042</v>
      </c>
      <c r="AV29" s="128">
        <f t="shared" si="33"/>
        <v>6.16</v>
      </c>
      <c r="AW29" s="135">
        <v>12</v>
      </c>
      <c r="AX29" s="130">
        <f t="shared" si="9"/>
        <v>6.16</v>
      </c>
      <c r="AY29" s="119"/>
      <c r="AZ29" s="135">
        <f t="shared" si="22"/>
        <v>2042</v>
      </c>
      <c r="BA29" s="128">
        <f t="shared" si="34"/>
        <v>0</v>
      </c>
      <c r="BB29" s="135">
        <v>12</v>
      </c>
      <c r="BC29" s="130">
        <f t="shared" si="10"/>
        <v>0</v>
      </c>
      <c r="BE29" s="135">
        <f t="shared" si="23"/>
        <v>2042</v>
      </c>
      <c r="BF29" s="128">
        <f t="shared" si="35"/>
        <v>0</v>
      </c>
      <c r="BG29" s="135">
        <v>12</v>
      </c>
      <c r="BH29" s="130">
        <f t="shared" si="11"/>
        <v>0</v>
      </c>
    </row>
    <row r="30" spans="2:60">
      <c r="B30" s="135">
        <f t="shared" si="12"/>
        <v>2043</v>
      </c>
      <c r="C30" s="128">
        <f t="shared" si="24"/>
        <v>73.63</v>
      </c>
      <c r="D30" s="135">
        <v>12</v>
      </c>
      <c r="E30" s="130">
        <f t="shared" si="0"/>
        <v>73.63</v>
      </c>
      <c r="F30" s="119"/>
      <c r="G30" s="135">
        <f t="shared" si="13"/>
        <v>2043</v>
      </c>
      <c r="H30" s="128">
        <f t="shared" si="25"/>
        <v>16.27</v>
      </c>
      <c r="I30" s="135">
        <v>12</v>
      </c>
      <c r="J30" s="130">
        <f t="shared" si="1"/>
        <v>16.27</v>
      </c>
      <c r="K30" s="119"/>
      <c r="L30" s="135">
        <f t="shared" si="14"/>
        <v>2043</v>
      </c>
      <c r="M30" s="128">
        <f t="shared" si="26"/>
        <v>36.5</v>
      </c>
      <c r="N30" s="135">
        <v>12</v>
      </c>
      <c r="O30" s="130">
        <f t="shared" si="2"/>
        <v>36.5</v>
      </c>
      <c r="Q30" s="135">
        <f t="shared" si="15"/>
        <v>2043</v>
      </c>
      <c r="R30" s="128">
        <f t="shared" si="27"/>
        <v>3.97</v>
      </c>
      <c r="S30" s="135">
        <v>12</v>
      </c>
      <c r="T30" s="130">
        <f t="shared" si="3"/>
        <v>3.97</v>
      </c>
      <c r="U30" s="119"/>
      <c r="V30" s="135">
        <f t="shared" si="16"/>
        <v>2043</v>
      </c>
      <c r="W30" s="128">
        <f t="shared" si="28"/>
        <v>0.57999999999999996</v>
      </c>
      <c r="X30" s="135">
        <v>12</v>
      </c>
      <c r="Y30" s="130">
        <f t="shared" si="4"/>
        <v>0.57999999999999996</v>
      </c>
      <c r="Z30" s="119"/>
      <c r="AA30" s="135">
        <f t="shared" si="17"/>
        <v>2043</v>
      </c>
      <c r="AB30" s="128">
        <f t="shared" si="29"/>
        <v>2.31</v>
      </c>
      <c r="AC30" s="135">
        <v>12</v>
      </c>
      <c r="AD30" s="130">
        <f t="shared" si="5"/>
        <v>2.31</v>
      </c>
      <c r="AE30" s="119"/>
      <c r="AF30" s="135">
        <f t="shared" si="18"/>
        <v>2043</v>
      </c>
      <c r="AG30" s="128">
        <f t="shared" si="30"/>
        <v>29.03</v>
      </c>
      <c r="AH30" s="135">
        <v>12</v>
      </c>
      <c r="AI30" s="130">
        <f t="shared" si="6"/>
        <v>29.03</v>
      </c>
      <c r="AJ30" s="119"/>
      <c r="AK30" s="135">
        <f t="shared" si="19"/>
        <v>2043</v>
      </c>
      <c r="AL30" s="128">
        <f t="shared" si="31"/>
        <v>14.14</v>
      </c>
      <c r="AM30" s="135">
        <v>12</v>
      </c>
      <c r="AN30" s="130">
        <f t="shared" si="7"/>
        <v>14.14</v>
      </c>
      <c r="AO30" s="119"/>
      <c r="AP30" s="135">
        <f t="shared" si="20"/>
        <v>2043</v>
      </c>
      <c r="AQ30" s="128">
        <f t="shared" si="32"/>
        <v>5.47</v>
      </c>
      <c r="AR30" s="135">
        <v>12</v>
      </c>
      <c r="AS30" s="130">
        <f t="shared" si="8"/>
        <v>5.47</v>
      </c>
      <c r="AT30" s="119"/>
      <c r="AU30" s="135">
        <f t="shared" si="21"/>
        <v>2043</v>
      </c>
      <c r="AV30" s="128">
        <f t="shared" si="33"/>
        <v>6.31</v>
      </c>
      <c r="AW30" s="135">
        <v>12</v>
      </c>
      <c r="AX30" s="130">
        <f t="shared" si="9"/>
        <v>6.31</v>
      </c>
      <c r="AY30" s="119"/>
      <c r="AZ30" s="135">
        <f t="shared" si="22"/>
        <v>2043</v>
      </c>
      <c r="BA30" s="128">
        <f t="shared" si="34"/>
        <v>0</v>
      </c>
      <c r="BB30" s="135">
        <v>12</v>
      </c>
      <c r="BC30" s="130">
        <f t="shared" si="10"/>
        <v>0</v>
      </c>
      <c r="BE30" s="135">
        <f t="shared" si="23"/>
        <v>2043</v>
      </c>
      <c r="BF30" s="128">
        <f t="shared" si="35"/>
        <v>0</v>
      </c>
      <c r="BG30" s="135">
        <v>12</v>
      </c>
      <c r="BH30" s="130">
        <f t="shared" si="11"/>
        <v>0</v>
      </c>
    </row>
    <row r="31" spans="2:60">
      <c r="B31" s="135">
        <f t="shared" si="12"/>
        <v>2044</v>
      </c>
      <c r="C31" s="128">
        <f t="shared" si="24"/>
        <v>75.400000000000006</v>
      </c>
      <c r="D31" s="135">
        <v>12</v>
      </c>
      <c r="E31" s="130">
        <f t="shared" si="0"/>
        <v>75.400000000000006</v>
      </c>
      <c r="F31" s="119"/>
      <c r="G31" s="135">
        <f t="shared" si="13"/>
        <v>2044</v>
      </c>
      <c r="H31" s="128">
        <f t="shared" si="25"/>
        <v>16.66</v>
      </c>
      <c r="I31" s="135">
        <v>12</v>
      </c>
      <c r="J31" s="130">
        <f t="shared" si="1"/>
        <v>16.66</v>
      </c>
      <c r="K31" s="119"/>
      <c r="L31" s="135">
        <f t="shared" si="14"/>
        <v>2044</v>
      </c>
      <c r="M31" s="128">
        <f t="shared" si="26"/>
        <v>37.380000000000003</v>
      </c>
      <c r="N31" s="135">
        <v>12</v>
      </c>
      <c r="O31" s="130">
        <f t="shared" si="2"/>
        <v>37.380000000000003</v>
      </c>
      <c r="Q31" s="135">
        <f t="shared" si="15"/>
        <v>2044</v>
      </c>
      <c r="R31" s="128">
        <f t="shared" si="27"/>
        <v>4.07</v>
      </c>
      <c r="S31" s="135">
        <v>12</v>
      </c>
      <c r="T31" s="130">
        <f t="shared" si="3"/>
        <v>4.07</v>
      </c>
      <c r="U31" s="119"/>
      <c r="V31" s="135">
        <f t="shared" si="16"/>
        <v>2044</v>
      </c>
      <c r="W31" s="128">
        <f t="shared" si="28"/>
        <v>0.59</v>
      </c>
      <c r="X31" s="135">
        <v>12</v>
      </c>
      <c r="Y31" s="130">
        <f t="shared" si="4"/>
        <v>0.59</v>
      </c>
      <c r="Z31" s="119"/>
      <c r="AA31" s="135">
        <f t="shared" si="17"/>
        <v>2044</v>
      </c>
      <c r="AB31" s="128">
        <f t="shared" si="29"/>
        <v>2.37</v>
      </c>
      <c r="AC31" s="135">
        <v>12</v>
      </c>
      <c r="AD31" s="130">
        <f t="shared" si="5"/>
        <v>2.37</v>
      </c>
      <c r="AE31" s="119"/>
      <c r="AF31" s="135">
        <f t="shared" si="18"/>
        <v>2044</v>
      </c>
      <c r="AG31" s="128">
        <f t="shared" si="30"/>
        <v>29.73</v>
      </c>
      <c r="AH31" s="135">
        <v>12</v>
      </c>
      <c r="AI31" s="130">
        <f t="shared" si="6"/>
        <v>29.73</v>
      </c>
      <c r="AJ31" s="119"/>
      <c r="AK31" s="135">
        <f t="shared" si="19"/>
        <v>2044</v>
      </c>
      <c r="AL31" s="128">
        <f t="shared" si="31"/>
        <v>14.48</v>
      </c>
      <c r="AM31" s="135">
        <v>12</v>
      </c>
      <c r="AN31" s="130">
        <f t="shared" si="7"/>
        <v>14.479999999999999</v>
      </c>
      <c r="AO31" s="119"/>
      <c r="AP31" s="135">
        <f t="shared" si="20"/>
        <v>2044</v>
      </c>
      <c r="AQ31" s="128">
        <f t="shared" si="32"/>
        <v>5.6</v>
      </c>
      <c r="AR31" s="135">
        <v>12</v>
      </c>
      <c r="AS31" s="130">
        <f t="shared" si="8"/>
        <v>5.5999999999999988</v>
      </c>
      <c r="AT31" s="119"/>
      <c r="AU31" s="135">
        <f t="shared" si="21"/>
        <v>2044</v>
      </c>
      <c r="AV31" s="128">
        <f t="shared" si="33"/>
        <v>6.46</v>
      </c>
      <c r="AW31" s="135">
        <v>12</v>
      </c>
      <c r="AX31" s="130">
        <f t="shared" si="9"/>
        <v>6.46</v>
      </c>
      <c r="AY31" s="119"/>
      <c r="AZ31" s="135">
        <f t="shared" si="22"/>
        <v>2044</v>
      </c>
      <c r="BA31" s="128">
        <f t="shared" si="34"/>
        <v>0</v>
      </c>
      <c r="BB31" s="135">
        <v>12</v>
      </c>
      <c r="BC31" s="130">
        <f t="shared" si="10"/>
        <v>0</v>
      </c>
      <c r="BE31" s="135">
        <f t="shared" si="23"/>
        <v>2044</v>
      </c>
      <c r="BF31" s="128">
        <f t="shared" si="35"/>
        <v>0</v>
      </c>
      <c r="BG31" s="135">
        <v>12</v>
      </c>
      <c r="BH31" s="130">
        <f t="shared" si="11"/>
        <v>0</v>
      </c>
    </row>
    <row r="32" spans="2:60">
      <c r="B32" s="135">
        <f t="shared" si="12"/>
        <v>2045</v>
      </c>
      <c r="C32" s="128">
        <f t="shared" si="24"/>
        <v>77.209999999999994</v>
      </c>
      <c r="D32" s="135">
        <v>12</v>
      </c>
      <c r="E32" s="130">
        <f t="shared" si="0"/>
        <v>77.209999999999994</v>
      </c>
      <c r="F32" s="119"/>
      <c r="G32" s="135">
        <f t="shared" si="13"/>
        <v>2045</v>
      </c>
      <c r="H32" s="128">
        <f t="shared" si="25"/>
        <v>17.059999999999999</v>
      </c>
      <c r="I32" s="135">
        <v>12</v>
      </c>
      <c r="J32" s="130">
        <f t="shared" si="1"/>
        <v>17.059999999999999</v>
      </c>
      <c r="K32" s="119"/>
      <c r="L32" s="135">
        <f t="shared" si="14"/>
        <v>2045</v>
      </c>
      <c r="M32" s="128">
        <f t="shared" si="26"/>
        <v>38.28</v>
      </c>
      <c r="N32" s="135">
        <v>12</v>
      </c>
      <c r="O32" s="130">
        <f t="shared" si="2"/>
        <v>38.28</v>
      </c>
      <c r="Q32" s="135">
        <f t="shared" si="15"/>
        <v>2045</v>
      </c>
      <c r="R32" s="128">
        <f t="shared" si="27"/>
        <v>4.17</v>
      </c>
      <c r="S32" s="135">
        <v>12</v>
      </c>
      <c r="T32" s="130">
        <f t="shared" si="3"/>
        <v>4.17</v>
      </c>
      <c r="U32" s="119"/>
      <c r="V32" s="135">
        <f t="shared" si="16"/>
        <v>2045</v>
      </c>
      <c r="W32" s="128">
        <f t="shared" si="28"/>
        <v>0.6</v>
      </c>
      <c r="X32" s="135">
        <v>12</v>
      </c>
      <c r="Y32" s="130">
        <f t="shared" si="4"/>
        <v>0.6</v>
      </c>
      <c r="Z32" s="119"/>
      <c r="AA32" s="135">
        <f t="shared" si="17"/>
        <v>2045</v>
      </c>
      <c r="AB32" s="128">
        <f t="shared" si="29"/>
        <v>2.4300000000000002</v>
      </c>
      <c r="AC32" s="135">
        <v>12</v>
      </c>
      <c r="AD32" s="130">
        <f t="shared" si="5"/>
        <v>2.4300000000000002</v>
      </c>
      <c r="AE32" s="119"/>
      <c r="AF32" s="135">
        <f t="shared" si="18"/>
        <v>2045</v>
      </c>
      <c r="AG32" s="128">
        <f t="shared" si="30"/>
        <v>30.44</v>
      </c>
      <c r="AH32" s="135">
        <v>12</v>
      </c>
      <c r="AI32" s="130">
        <f t="shared" si="6"/>
        <v>30.44</v>
      </c>
      <c r="AJ32" s="119"/>
      <c r="AK32" s="135">
        <f t="shared" si="19"/>
        <v>2045</v>
      </c>
      <c r="AL32" s="128">
        <f t="shared" si="31"/>
        <v>14.83</v>
      </c>
      <c r="AM32" s="135">
        <v>12</v>
      </c>
      <c r="AN32" s="130">
        <f t="shared" si="7"/>
        <v>14.83</v>
      </c>
      <c r="AO32" s="119"/>
      <c r="AP32" s="135">
        <f t="shared" si="20"/>
        <v>2045</v>
      </c>
      <c r="AQ32" s="128">
        <f t="shared" si="32"/>
        <v>5.73</v>
      </c>
      <c r="AR32" s="135">
        <v>12</v>
      </c>
      <c r="AS32" s="130">
        <f t="shared" si="8"/>
        <v>5.73</v>
      </c>
      <c r="AT32" s="119"/>
      <c r="AU32" s="135">
        <f t="shared" si="21"/>
        <v>2045</v>
      </c>
      <c r="AV32" s="128">
        <f t="shared" si="33"/>
        <v>6.62</v>
      </c>
      <c r="AW32" s="135">
        <v>12</v>
      </c>
      <c r="AX32" s="130">
        <f t="shared" si="9"/>
        <v>6.62</v>
      </c>
      <c r="AY32" s="119"/>
      <c r="AZ32" s="135">
        <f t="shared" si="22"/>
        <v>2045</v>
      </c>
      <c r="BA32" s="128">
        <f t="shared" si="34"/>
        <v>0</v>
      </c>
      <c r="BB32" s="135">
        <v>12</v>
      </c>
      <c r="BC32" s="130">
        <f t="shared" si="10"/>
        <v>0</v>
      </c>
      <c r="BE32" s="135">
        <f t="shared" si="23"/>
        <v>2045</v>
      </c>
      <c r="BF32" s="128">
        <f t="shared" si="35"/>
        <v>0</v>
      </c>
      <c r="BG32" s="135">
        <v>12</v>
      </c>
      <c r="BH32" s="130">
        <f t="shared" si="11"/>
        <v>0</v>
      </c>
    </row>
    <row r="33" spans="2:60">
      <c r="B33" s="135"/>
      <c r="C33" s="128"/>
      <c r="D33" s="135"/>
      <c r="E33" s="130"/>
      <c r="F33" s="119"/>
      <c r="G33" s="135"/>
      <c r="H33" s="128"/>
      <c r="I33" s="135"/>
      <c r="J33" s="130"/>
      <c r="K33" s="119"/>
      <c r="L33" s="135"/>
      <c r="M33" s="128"/>
      <c r="N33" s="135"/>
      <c r="O33" s="130"/>
      <c r="Q33" s="135"/>
      <c r="R33" s="128"/>
      <c r="S33" s="135"/>
      <c r="T33" s="130"/>
      <c r="U33" s="119"/>
      <c r="V33" s="135"/>
      <c r="W33" s="128"/>
      <c r="X33" s="135"/>
      <c r="Y33" s="130"/>
      <c r="Z33" s="119"/>
      <c r="AA33" s="135"/>
      <c r="AB33" s="128"/>
      <c r="AC33" s="135"/>
      <c r="AD33" s="130"/>
      <c r="AE33" s="119"/>
      <c r="AF33" s="135"/>
      <c r="AG33" s="128"/>
      <c r="AH33" s="135"/>
      <c r="AI33" s="130"/>
      <c r="AJ33" s="119"/>
      <c r="AK33" s="135"/>
      <c r="AL33" s="128"/>
      <c r="AM33" s="135"/>
      <c r="AN33" s="130"/>
      <c r="AO33" s="119"/>
      <c r="AP33" s="135"/>
      <c r="AQ33" s="128"/>
      <c r="AR33" s="135"/>
      <c r="AS33" s="130"/>
      <c r="AT33" s="119"/>
      <c r="AU33" s="135"/>
      <c r="AV33" s="128"/>
      <c r="AW33" s="135"/>
      <c r="AX33" s="130"/>
      <c r="AY33" s="119"/>
      <c r="AZ33" s="135"/>
      <c r="BA33" s="128"/>
      <c r="BB33" s="135"/>
      <c r="BC33" s="130"/>
      <c r="BE33" s="135"/>
      <c r="BF33" s="128"/>
      <c r="BG33" s="135"/>
      <c r="BH33" s="130"/>
    </row>
    <row r="34" spans="2:60">
      <c r="B34" s="135"/>
      <c r="C34" s="131"/>
      <c r="D34" s="128"/>
      <c r="E34" s="128"/>
      <c r="F34" s="129"/>
      <c r="G34" s="135"/>
      <c r="H34" s="131"/>
      <c r="I34" s="128"/>
      <c r="J34" s="128"/>
      <c r="K34" s="129"/>
      <c r="L34" s="135"/>
      <c r="M34" s="131"/>
      <c r="N34" s="128"/>
      <c r="O34" s="128"/>
      <c r="Q34" s="135"/>
      <c r="R34" s="131"/>
      <c r="S34" s="128"/>
      <c r="T34" s="128"/>
      <c r="U34" s="129"/>
      <c r="V34" s="135"/>
      <c r="W34" s="131"/>
      <c r="X34" s="128"/>
      <c r="Y34" s="128"/>
      <c r="Z34" s="129"/>
      <c r="AA34" s="135"/>
      <c r="AB34" s="131"/>
      <c r="AC34" s="128"/>
      <c r="AD34" s="128"/>
      <c r="AE34" s="129"/>
      <c r="AF34" s="135"/>
      <c r="AG34" s="131"/>
      <c r="AH34" s="128"/>
      <c r="AI34" s="128"/>
      <c r="AJ34" s="129"/>
      <c r="AK34" s="135"/>
      <c r="AL34" s="131"/>
      <c r="AM34" s="128"/>
      <c r="AN34" s="128"/>
      <c r="AO34" s="129"/>
      <c r="AP34" s="135"/>
      <c r="AQ34" s="131"/>
      <c r="AR34" s="128"/>
      <c r="AS34" s="128"/>
      <c r="AT34" s="129"/>
      <c r="AU34" s="135"/>
      <c r="AV34" s="131"/>
      <c r="AW34" s="128"/>
      <c r="AX34" s="128"/>
      <c r="AY34" s="129"/>
      <c r="AZ34" s="135"/>
      <c r="BA34" s="131"/>
      <c r="BB34" s="128"/>
      <c r="BC34" s="128"/>
      <c r="BD34" s="137"/>
      <c r="BE34" s="135"/>
      <c r="BF34" s="131"/>
      <c r="BG34" s="128"/>
      <c r="BH34" s="128"/>
    </row>
    <row r="35" spans="2:60" s="119" customFormat="1" ht="12" customHeight="1">
      <c r="C35" s="128" t="s">
        <v>103</v>
      </c>
      <c r="D35" s="349">
        <v>2024</v>
      </c>
      <c r="H35" s="128" t="s">
        <v>103</v>
      </c>
      <c r="I35" s="349">
        <v>2030</v>
      </c>
      <c r="M35" s="128" t="s">
        <v>103</v>
      </c>
      <c r="N35" s="349">
        <v>2036</v>
      </c>
      <c r="R35" s="128" t="s">
        <v>103</v>
      </c>
      <c r="S35" s="349">
        <v>2024</v>
      </c>
      <c r="W35" s="128" t="s">
        <v>103</v>
      </c>
      <c r="X35" s="349">
        <v>2024</v>
      </c>
      <c r="AB35" s="128" t="s">
        <v>103</v>
      </c>
      <c r="AC35" s="349">
        <v>2023</v>
      </c>
      <c r="AG35" s="128" t="s">
        <v>103</v>
      </c>
      <c r="AH35" s="351">
        <v>2030</v>
      </c>
      <c r="AL35" s="128" t="s">
        <v>103</v>
      </c>
      <c r="AM35" s="349">
        <v>2033</v>
      </c>
      <c r="AQ35" s="128" t="s">
        <v>103</v>
      </c>
      <c r="AR35" s="349">
        <v>2037</v>
      </c>
      <c r="AV35" s="128" t="s">
        <v>103</v>
      </c>
      <c r="AW35" s="349">
        <v>2037</v>
      </c>
      <c r="BA35" s="128" t="s">
        <v>103</v>
      </c>
      <c r="BB35" s="351">
        <v>2029</v>
      </c>
      <c r="BF35" s="128" t="s">
        <v>103</v>
      </c>
      <c r="BG35" s="351">
        <v>2024</v>
      </c>
    </row>
    <row r="36" spans="2:60">
      <c r="C36" s="176" t="s">
        <v>84</v>
      </c>
      <c r="D36" s="349">
        <v>1920</v>
      </c>
      <c r="H36" s="176" t="s">
        <v>84</v>
      </c>
      <c r="I36" s="349">
        <v>1100</v>
      </c>
      <c r="M36" s="176" t="s">
        <v>84</v>
      </c>
      <c r="N36" s="349">
        <v>430</v>
      </c>
      <c r="R36" s="176" t="s">
        <v>84</v>
      </c>
      <c r="S36" s="349">
        <v>600</v>
      </c>
      <c r="W36" s="176" t="s">
        <v>84</v>
      </c>
      <c r="X36" s="349">
        <v>405</v>
      </c>
      <c r="AB36" s="176" t="s">
        <v>84</v>
      </c>
      <c r="AC36" s="349">
        <v>300</v>
      </c>
      <c r="AG36" s="176" t="s">
        <v>84</v>
      </c>
      <c r="AH36" s="351">
        <v>500</v>
      </c>
      <c r="AL36" s="176" t="s">
        <v>84</v>
      </c>
      <c r="AM36" s="349">
        <v>475</v>
      </c>
      <c r="AQ36" s="176" t="s">
        <v>84</v>
      </c>
      <c r="AR36" s="349">
        <v>442.8</v>
      </c>
      <c r="AV36" s="176" t="s">
        <v>84</v>
      </c>
      <c r="AW36" s="349">
        <v>369.8</v>
      </c>
      <c r="BA36" s="176" t="s">
        <v>84</v>
      </c>
      <c r="BB36" s="351">
        <v>359.4</v>
      </c>
      <c r="BF36" s="176" t="s">
        <v>84</v>
      </c>
      <c r="BG36" s="351">
        <v>354</v>
      </c>
    </row>
    <row r="37" spans="2:60">
      <c r="B37" s="129"/>
      <c r="C37" s="128" t="s">
        <v>177</v>
      </c>
      <c r="D37" s="128">
        <v>1542.049</v>
      </c>
      <c r="G37" s="129"/>
      <c r="H37" s="128" t="s">
        <v>177</v>
      </c>
      <c r="I37" s="128">
        <v>223.26</v>
      </c>
      <c r="L37" s="129"/>
      <c r="M37" s="128" t="s">
        <v>177</v>
      </c>
      <c r="N37" s="128">
        <v>224.316</v>
      </c>
      <c r="Q37" s="129"/>
      <c r="R37" s="128" t="s">
        <v>177</v>
      </c>
      <c r="S37" s="128">
        <v>25.99</v>
      </c>
      <c r="V37" s="129"/>
      <c r="W37" s="128" t="s">
        <v>177</v>
      </c>
      <c r="X37" s="128">
        <v>2.6589999999999998</v>
      </c>
      <c r="AA37" s="129"/>
      <c r="AB37" s="128" t="s">
        <v>177</v>
      </c>
      <c r="AC37" s="128">
        <v>7.3890000000000002</v>
      </c>
      <c r="AF37" s="129"/>
      <c r="AG37" s="128" t="s">
        <v>177</v>
      </c>
      <c r="AH37" s="352">
        <v>181.00800000000001</v>
      </c>
      <c r="AK37" s="129"/>
      <c r="AL37" s="128" t="s">
        <v>177</v>
      </c>
      <c r="AM37" s="128">
        <v>89.744</v>
      </c>
      <c r="AP37" s="129"/>
      <c r="AQ37" s="128" t="s">
        <v>177</v>
      </c>
      <c r="AR37" s="128">
        <v>35.457999999999998</v>
      </c>
      <c r="AU37" s="129"/>
      <c r="AV37" s="128" t="s">
        <v>177</v>
      </c>
      <c r="AW37" s="128">
        <v>34.106999999999999</v>
      </c>
      <c r="AZ37" s="129"/>
      <c r="BA37" s="128" t="s">
        <v>177</v>
      </c>
      <c r="BB37" s="352">
        <v>0</v>
      </c>
      <c r="BE37" s="129"/>
      <c r="BF37" s="128" t="s">
        <v>177</v>
      </c>
      <c r="BG37" s="352">
        <v>0</v>
      </c>
    </row>
    <row r="38" spans="2:60">
      <c r="B38" s="129"/>
      <c r="C38" s="128" t="s">
        <v>178</v>
      </c>
      <c r="D38" s="347">
        <v>5.9603158827233105E-2</v>
      </c>
      <c r="G38" s="129"/>
      <c r="H38" s="128" t="s">
        <v>178</v>
      </c>
      <c r="I38" s="347">
        <v>5.9603158827233105E-2</v>
      </c>
      <c r="L38" s="129"/>
      <c r="M38" s="128" t="s">
        <v>178</v>
      </c>
      <c r="N38" s="347">
        <v>5.9603158827233105E-2</v>
      </c>
      <c r="Q38" s="129"/>
      <c r="R38" s="128" t="s">
        <v>178</v>
      </c>
      <c r="S38" s="347">
        <v>5.9603158827233105E-2</v>
      </c>
      <c r="V38" s="129"/>
      <c r="W38" s="128" t="s">
        <v>178</v>
      </c>
      <c r="X38" s="347">
        <v>5.9603158827233105E-2</v>
      </c>
      <c r="AA38" s="129"/>
      <c r="AB38" s="128" t="s">
        <v>178</v>
      </c>
      <c r="AC38" s="347">
        <v>5.9603158827233105E-2</v>
      </c>
      <c r="AF38" s="129"/>
      <c r="AG38" s="128" t="s">
        <v>178</v>
      </c>
      <c r="AH38" s="347">
        <v>5.9603158827233105E-2</v>
      </c>
      <c r="AK38" s="129"/>
      <c r="AL38" s="128" t="s">
        <v>178</v>
      </c>
      <c r="AM38" s="347">
        <v>5.9603158827233105E-2</v>
      </c>
      <c r="AP38" s="129"/>
      <c r="AQ38" s="128" t="s">
        <v>178</v>
      </c>
      <c r="AR38" s="347">
        <v>5.9603158827233105E-2</v>
      </c>
      <c r="AU38" s="129"/>
      <c r="AV38" s="128" t="s">
        <v>178</v>
      </c>
      <c r="AW38" s="347">
        <v>5.9603158827233105E-2</v>
      </c>
      <c r="AZ38" s="129"/>
      <c r="BA38" s="128" t="s">
        <v>178</v>
      </c>
      <c r="BB38" s="347">
        <v>5.9603158827233105E-2</v>
      </c>
      <c r="BE38" s="129"/>
      <c r="BF38" s="128" t="s">
        <v>178</v>
      </c>
      <c r="BG38" s="347">
        <v>5.9603158827233105E-2</v>
      </c>
    </row>
    <row r="39" spans="2:60" ht="41.25" customHeight="1">
      <c r="B39" s="413" t="s">
        <v>176</v>
      </c>
      <c r="C39" s="413"/>
      <c r="D39" s="348">
        <f>D37*1000000*D38/(D36*1000)</f>
        <v>47.870308055404152</v>
      </c>
      <c r="G39" s="413" t="s">
        <v>190</v>
      </c>
      <c r="H39" s="413"/>
      <c r="I39" s="348">
        <f>I37*1000000*I38/(I36*1000)</f>
        <v>12.097273854334603</v>
      </c>
      <c r="L39" s="413" t="s">
        <v>192</v>
      </c>
      <c r="M39" s="413"/>
      <c r="N39" s="348">
        <f>N37*1000000*N38/(N36*1000)</f>
        <v>31.092888780208423</v>
      </c>
      <c r="Q39" s="413" t="s">
        <v>176</v>
      </c>
      <c r="R39" s="413"/>
      <c r="S39" s="348">
        <f>S37*1000000*S38/(S36*1000)</f>
        <v>2.5818101631996475</v>
      </c>
      <c r="V39" s="413" t="s">
        <v>176</v>
      </c>
      <c r="W39" s="413"/>
      <c r="X39" s="348">
        <f>X37*1000000*X38/(X36*1000)</f>
        <v>0.39132049215213044</v>
      </c>
      <c r="AA39" s="413" t="s">
        <v>181</v>
      </c>
      <c r="AB39" s="413"/>
      <c r="AC39" s="348">
        <f>AC37*1000000*AC38/(AC36*1000)</f>
        <v>1.4680258019147514</v>
      </c>
      <c r="AF39" s="413" t="s">
        <v>190</v>
      </c>
      <c r="AG39" s="413"/>
      <c r="AH39" s="348">
        <f>AH37*1000000*AH38/(AH36*1000)</f>
        <v>21.577297145999619</v>
      </c>
      <c r="AK39" s="413" t="s">
        <v>189</v>
      </c>
      <c r="AL39" s="413"/>
      <c r="AM39" s="348">
        <f>AM37*1000000*AM38/(AM36*1000)</f>
        <v>11.261107127981489</v>
      </c>
      <c r="AP39" s="413" t="s">
        <v>194</v>
      </c>
      <c r="AQ39" s="413"/>
      <c r="AR39" s="348">
        <f>AR37*1000000*AR38/(AR36*1000)</f>
        <v>4.7728292811563495</v>
      </c>
      <c r="AU39" s="413" t="s">
        <v>194</v>
      </c>
      <c r="AV39" s="413"/>
      <c r="AW39" s="348">
        <f>AW37*1000000*AW38/(AW36*1000)</f>
        <v>5.4972551057881001</v>
      </c>
      <c r="AZ39" s="413" t="s">
        <v>188</v>
      </c>
      <c r="BA39" s="413"/>
      <c r="BB39" s="348">
        <f>BB37*1000000*BB38/(BB36*1000)</f>
        <v>0</v>
      </c>
      <c r="BE39" s="413" t="s">
        <v>176</v>
      </c>
      <c r="BF39" s="413"/>
      <c r="BG39" s="348">
        <f>BG37*1000000*BG38/(BG36*1000)</f>
        <v>0</v>
      </c>
    </row>
    <row r="40" spans="2:60">
      <c r="B40" s="126"/>
      <c r="C40" s="131"/>
      <c r="D40" s="128"/>
      <c r="E40" s="128"/>
      <c r="F40" s="129"/>
      <c r="I40" s="130"/>
      <c r="J40" s="130"/>
      <c r="K40" s="129"/>
      <c r="N40" s="130"/>
      <c r="O40" s="130"/>
      <c r="U40" s="129"/>
      <c r="X40" s="130"/>
      <c r="Y40" s="130"/>
      <c r="Z40" s="129"/>
      <c r="AC40" s="130"/>
      <c r="AD40" s="130"/>
      <c r="AE40" s="129"/>
      <c r="AH40" s="130"/>
      <c r="AI40" s="130"/>
      <c r="AJ40" s="129"/>
      <c r="AM40" s="130"/>
      <c r="AN40" s="130"/>
      <c r="AO40" s="129"/>
      <c r="AR40" s="130"/>
      <c r="AS40" s="130"/>
      <c r="AT40" s="129"/>
      <c r="AW40" s="130"/>
      <c r="AX40" s="130"/>
      <c r="AY40" s="129"/>
      <c r="BB40" s="130"/>
      <c r="BC40" s="130"/>
      <c r="BD40" s="137"/>
    </row>
    <row r="41" spans="2:60">
      <c r="E41" s="128"/>
      <c r="I41" s="130"/>
      <c r="J41" s="130"/>
      <c r="K41" s="137"/>
    </row>
    <row r="42" spans="2:60" ht="13.5" thickBot="1">
      <c r="D42" s="154"/>
    </row>
    <row r="43" spans="2:60" ht="13.5" thickBot="1">
      <c r="C43" s="40" t="str">
        <f>"Company Official Inflation Forecast Dated "&amp;TEXT('Table 4'!$H$5,"mmmm dd, yyyy")</f>
        <v>Company Official Inflation Forecast Dated December 31, 2020</v>
      </c>
      <c r="D43" s="142"/>
      <c r="E43" s="142"/>
      <c r="F43" s="142"/>
      <c r="G43" s="142"/>
      <c r="H43" s="142"/>
      <c r="I43" s="142"/>
      <c r="J43" s="142"/>
      <c r="K43" s="144"/>
    </row>
    <row r="44" spans="2:60">
      <c r="C44" s="87">
        <v>2019</v>
      </c>
      <c r="D44" s="41">
        <v>1.7999999999999999E-2</v>
      </c>
      <c r="E44" s="85"/>
      <c r="F44" s="87">
        <f>C52+1</f>
        <v>2028</v>
      </c>
      <c r="G44" s="41">
        <v>2.3E-2</v>
      </c>
      <c r="H44" s="85"/>
      <c r="I44" s="87">
        <f>F52+1</f>
        <v>2037</v>
      </c>
      <c r="J44" s="41">
        <v>2.3E-2</v>
      </c>
    </row>
    <row r="45" spans="2:60">
      <c r="C45" s="87">
        <f t="shared" ref="C45:C52" si="36">C44+1</f>
        <v>2020</v>
      </c>
      <c r="D45" s="41">
        <v>1.2E-2</v>
      </c>
      <c r="E45" s="85"/>
      <c r="F45" s="87">
        <f t="shared" ref="F45:F52" si="37">F44+1</f>
        <v>2029</v>
      </c>
      <c r="G45" s="41">
        <v>2.3E-2</v>
      </c>
      <c r="H45" s="85"/>
      <c r="I45" s="87">
        <f t="shared" ref="I45:I52" si="38">I44+1</f>
        <v>2038</v>
      </c>
      <c r="J45" s="41">
        <v>2.3E-2</v>
      </c>
    </row>
    <row r="46" spans="2:60">
      <c r="C46" s="87">
        <f t="shared" si="36"/>
        <v>2021</v>
      </c>
      <c r="D46" s="41">
        <v>1.9E-2</v>
      </c>
      <c r="E46" s="85"/>
      <c r="F46" s="87">
        <f t="shared" si="37"/>
        <v>2030</v>
      </c>
      <c r="G46" s="41">
        <v>2.3E-2</v>
      </c>
      <c r="H46" s="85"/>
      <c r="I46" s="87">
        <f t="shared" si="38"/>
        <v>2039</v>
      </c>
      <c r="J46" s="41">
        <v>2.3E-2</v>
      </c>
    </row>
    <row r="47" spans="2:60">
      <c r="C47" s="87">
        <f t="shared" si="36"/>
        <v>2022</v>
      </c>
      <c r="D47" s="41">
        <v>2.1999999999999999E-2</v>
      </c>
      <c r="E47" s="85"/>
      <c r="F47" s="87">
        <f t="shared" si="37"/>
        <v>2031</v>
      </c>
      <c r="G47" s="41">
        <v>2.3E-2</v>
      </c>
      <c r="H47" s="85"/>
      <c r="I47" s="87">
        <f t="shared" si="38"/>
        <v>2040</v>
      </c>
      <c r="J47" s="41">
        <v>2.3E-2</v>
      </c>
    </row>
    <row r="48" spans="2:60" s="119" customFormat="1">
      <c r="B48" s="117"/>
      <c r="C48" s="87">
        <f t="shared" si="36"/>
        <v>2023</v>
      </c>
      <c r="D48" s="41">
        <v>0.02</v>
      </c>
      <c r="E48" s="85"/>
      <c r="F48" s="87">
        <f t="shared" si="37"/>
        <v>2032</v>
      </c>
      <c r="G48" s="41">
        <v>2.3E-2</v>
      </c>
      <c r="H48" s="85"/>
      <c r="I48" s="87">
        <f t="shared" si="38"/>
        <v>2041</v>
      </c>
      <c r="J48" s="41">
        <v>2.3E-2</v>
      </c>
      <c r="K48" s="117"/>
      <c r="L48" s="117"/>
      <c r="M48" s="117"/>
      <c r="N48" s="117"/>
      <c r="O48" s="117"/>
      <c r="P48" s="117"/>
      <c r="BG48" s="164"/>
    </row>
    <row r="49" spans="2:59" s="119" customFormat="1">
      <c r="B49" s="117"/>
      <c r="C49" s="87">
        <f t="shared" si="36"/>
        <v>2024</v>
      </c>
      <c r="D49" s="41">
        <v>0.02</v>
      </c>
      <c r="E49" s="85"/>
      <c r="F49" s="87">
        <f t="shared" si="37"/>
        <v>2033</v>
      </c>
      <c r="G49" s="41">
        <v>2.3E-2</v>
      </c>
      <c r="H49" s="85"/>
      <c r="I49" s="87">
        <f t="shared" si="38"/>
        <v>2042</v>
      </c>
      <c r="J49" s="41">
        <v>2.3E-2</v>
      </c>
      <c r="K49" s="117"/>
      <c r="L49" s="117"/>
      <c r="M49" s="117"/>
      <c r="N49" s="117"/>
      <c r="O49" s="117"/>
      <c r="P49" s="117"/>
      <c r="BG49" s="164"/>
    </row>
    <row r="50" spans="2:59" s="119" customFormat="1">
      <c r="C50" s="87">
        <f t="shared" si="36"/>
        <v>2025</v>
      </c>
      <c r="D50" s="41">
        <v>2.1000000000000001E-2</v>
      </c>
      <c r="E50" s="86"/>
      <c r="F50" s="87">
        <f t="shared" si="37"/>
        <v>2034</v>
      </c>
      <c r="G50" s="41">
        <v>2.3E-2</v>
      </c>
      <c r="H50" s="86"/>
      <c r="I50" s="87">
        <f t="shared" si="38"/>
        <v>2043</v>
      </c>
      <c r="J50" s="41">
        <v>2.4E-2</v>
      </c>
      <c r="BG50" s="164"/>
    </row>
    <row r="51" spans="2:59" s="119" customFormat="1">
      <c r="C51" s="87">
        <f t="shared" si="36"/>
        <v>2026</v>
      </c>
      <c r="D51" s="41">
        <v>2.1999999999999999E-2</v>
      </c>
      <c r="E51" s="86"/>
      <c r="F51" s="87">
        <f t="shared" si="37"/>
        <v>2035</v>
      </c>
      <c r="G51" s="41">
        <v>2.3E-2</v>
      </c>
      <c r="H51" s="86"/>
      <c r="I51" s="87">
        <f t="shared" si="38"/>
        <v>2044</v>
      </c>
      <c r="J51" s="41">
        <v>2.4E-2</v>
      </c>
      <c r="BG51" s="164"/>
    </row>
    <row r="52" spans="2:59">
      <c r="B52" s="119"/>
      <c r="C52" s="87">
        <f t="shared" si="36"/>
        <v>2027</v>
      </c>
      <c r="D52" s="41">
        <v>2.3E-2</v>
      </c>
      <c r="E52" s="86"/>
      <c r="F52" s="87">
        <f t="shared" si="37"/>
        <v>2036</v>
      </c>
      <c r="G52" s="41">
        <v>2.3E-2</v>
      </c>
      <c r="H52" s="86"/>
      <c r="I52" s="87">
        <f t="shared" si="38"/>
        <v>2045</v>
      </c>
      <c r="J52" s="41">
        <v>2.4E-2</v>
      </c>
      <c r="K52" s="119"/>
      <c r="L52" s="119"/>
      <c r="M52" s="119"/>
      <c r="N52" s="119"/>
      <c r="O52" s="119"/>
      <c r="P52" s="119"/>
    </row>
    <row r="53" spans="2:59"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</row>
    <row r="64" spans="2:59">
      <c r="C64" s="150"/>
      <c r="D64" s="154"/>
    </row>
    <row r="65" spans="3:4">
      <c r="C65" s="150"/>
      <c r="D65" s="154"/>
    </row>
    <row r="66" spans="3:4">
      <c r="C66" s="150"/>
      <c r="D66" s="154"/>
    </row>
    <row r="67" spans="3:4">
      <c r="C67" s="150"/>
      <c r="D67" s="154"/>
    </row>
    <row r="68" spans="3:4">
      <c r="C68" s="150"/>
      <c r="D68" s="154"/>
    </row>
    <row r="69" spans="3:4">
      <c r="C69" s="150"/>
      <c r="D69" s="154"/>
    </row>
    <row r="70" spans="3:4">
      <c r="C70" s="150"/>
      <c r="D70" s="154"/>
    </row>
    <row r="71" spans="3:4">
      <c r="C71" s="150"/>
      <c r="D71" s="154"/>
    </row>
    <row r="72" spans="3:4">
      <c r="C72" s="150"/>
      <c r="D72" s="154"/>
    </row>
    <row r="73" spans="3:4">
      <c r="C73" s="150"/>
      <c r="D73" s="154"/>
    </row>
  </sheetData>
  <mergeCells count="24">
    <mergeCell ref="BE4:BH4"/>
    <mergeCell ref="BE39:BF39"/>
    <mergeCell ref="Q4:T4"/>
    <mergeCell ref="Q39:R39"/>
    <mergeCell ref="AZ4:BC4"/>
    <mergeCell ref="AZ39:BA39"/>
    <mergeCell ref="AF4:AI4"/>
    <mergeCell ref="AF39:AG39"/>
    <mergeCell ref="AK4:AN4"/>
    <mergeCell ref="AK39:AL39"/>
    <mergeCell ref="AP4:AS4"/>
    <mergeCell ref="AP39:AQ39"/>
    <mergeCell ref="AU4:AX4"/>
    <mergeCell ref="AU39:AV39"/>
    <mergeCell ref="B39:C39"/>
    <mergeCell ref="B4:E4"/>
    <mergeCell ref="AA4:AD4"/>
    <mergeCell ref="AA39:AB39"/>
    <mergeCell ref="V4:Y4"/>
    <mergeCell ref="V39:W39"/>
    <mergeCell ref="G4:J4"/>
    <mergeCell ref="G39:H39"/>
    <mergeCell ref="L4:O4"/>
    <mergeCell ref="L39:M39"/>
  </mergeCells>
  <printOptions horizontalCentered="1"/>
  <pageMargins left="0.8" right="0.3" top="0.4" bottom="0.4" header="0.5" footer="0.2"/>
  <pageSetup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view="pageBreakPreview" topLeftCell="A2" zoomScale="60" zoomScaleNormal="80" workbookViewId="0">
      <selection activeCell="L33" sqref="L33"/>
    </sheetView>
  </sheetViews>
  <sheetFormatPr defaultColWidth="9.33203125" defaultRowHeight="12.75"/>
  <cols>
    <col min="1" max="1" width="2.83203125" style="3" customWidth="1"/>
    <col min="2" max="2" width="7" style="3" customWidth="1"/>
    <col min="3" max="12" width="10.1640625" style="3" customWidth="1"/>
    <col min="13" max="13" width="10.1640625" style="5" customWidth="1"/>
    <col min="14" max="15" width="10.1640625" style="3" customWidth="1"/>
    <col min="16" max="16" width="1.6640625" style="3" customWidth="1"/>
    <col min="17" max="16384" width="9.33203125" style="3"/>
  </cols>
  <sheetData>
    <row r="1" spans="2:16" s="211" customFormat="1" ht="15.75" hidden="1">
      <c r="B1" s="1" t="s">
        <v>35</v>
      </c>
      <c r="C1" s="1"/>
      <c r="D1" s="1"/>
      <c r="E1" s="1"/>
      <c r="F1" s="1"/>
      <c r="G1" s="208"/>
      <c r="H1" s="1"/>
      <c r="I1" s="1"/>
      <c r="J1" s="1"/>
      <c r="K1" s="1"/>
      <c r="L1" s="209"/>
      <c r="M1" s="210"/>
      <c r="N1" s="210"/>
      <c r="O1" s="210"/>
      <c r="P1" s="210"/>
    </row>
    <row r="2" spans="2:16" s="211" customFormat="1" ht="5.25" customHeight="1">
      <c r="B2" s="1"/>
      <c r="C2" s="1"/>
      <c r="D2" s="1"/>
      <c r="E2" s="1"/>
      <c r="F2" s="1"/>
      <c r="G2" s="208"/>
      <c r="H2" s="1"/>
      <c r="I2" s="1"/>
      <c r="J2" s="1"/>
      <c r="K2" s="1"/>
      <c r="L2" s="209"/>
      <c r="M2" s="210"/>
      <c r="N2" s="210"/>
      <c r="O2" s="210"/>
      <c r="P2" s="210"/>
    </row>
    <row r="3" spans="2:16" s="211" customFormat="1" ht="15.75">
      <c r="B3" s="1" t="s">
        <v>94</v>
      </c>
      <c r="C3" s="1"/>
      <c r="D3" s="1"/>
      <c r="E3" s="1"/>
      <c r="F3" s="1"/>
      <c r="G3" s="208"/>
      <c r="H3" s="1"/>
      <c r="I3" s="1"/>
      <c r="J3" s="1"/>
      <c r="K3" s="1"/>
      <c r="L3" s="209"/>
      <c r="M3" s="210"/>
      <c r="N3" s="210"/>
      <c r="O3" s="210"/>
      <c r="P3" s="210"/>
    </row>
    <row r="4" spans="2:16" s="213" customFormat="1" ht="15">
      <c r="B4" s="4" t="s">
        <v>95</v>
      </c>
      <c r="C4" s="4"/>
      <c r="D4" s="4"/>
      <c r="E4" s="4"/>
      <c r="F4" s="4"/>
      <c r="G4" s="4"/>
      <c r="H4" s="4"/>
      <c r="I4" s="4"/>
      <c r="J4" s="4"/>
      <c r="K4" s="4"/>
      <c r="L4" s="4"/>
      <c r="M4" s="212"/>
      <c r="N4" s="212"/>
      <c r="O4" s="212"/>
      <c r="P4" s="212"/>
    </row>
    <row r="5" spans="2:16" s="213" customFormat="1" ht="15">
      <c r="B5" s="4" t="str">
        <f ca="1">'Table 1'!B5</f>
        <v>Utah 2020.Q4_Solar - 80.0 MW and 32.2% CF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213" customFormat="1" ht="15" hidden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12"/>
      <c r="N6" s="212"/>
      <c r="O6" s="212"/>
      <c r="P6" s="212"/>
    </row>
    <row r="7" spans="2:16">
      <c r="D7" s="214"/>
      <c r="E7" s="214"/>
      <c r="F7" s="214"/>
      <c r="G7" s="215"/>
      <c r="H7" s="215"/>
      <c r="I7" s="215"/>
      <c r="J7" s="215"/>
      <c r="K7" s="215"/>
      <c r="L7" s="215"/>
      <c r="M7" s="216"/>
    </row>
    <row r="8" spans="2:16">
      <c r="B8" s="217"/>
      <c r="C8" s="217"/>
      <c r="D8" s="218" t="s">
        <v>96</v>
      </c>
      <c r="E8" s="219"/>
      <c r="F8" s="219"/>
      <c r="G8" s="218"/>
      <c r="H8" s="218"/>
      <c r="I8" s="220" t="s">
        <v>97</v>
      </c>
      <c r="J8" s="221"/>
      <c r="K8" s="221"/>
      <c r="L8" s="222"/>
      <c r="M8" s="223" t="s">
        <v>96</v>
      </c>
      <c r="N8" s="224"/>
      <c r="O8" s="225"/>
    </row>
    <row r="9" spans="2:16">
      <c r="B9" s="226" t="s">
        <v>0</v>
      </c>
      <c r="C9" s="226" t="s">
        <v>249</v>
      </c>
      <c r="D9" s="227" t="s">
        <v>250</v>
      </c>
      <c r="E9" s="228" t="s">
        <v>251</v>
      </c>
      <c r="F9" s="228" t="s">
        <v>252</v>
      </c>
      <c r="G9" s="228" t="s">
        <v>253</v>
      </c>
      <c r="H9" s="229" t="s">
        <v>254</v>
      </c>
      <c r="I9" s="171" t="s">
        <v>255</v>
      </c>
      <c r="J9" s="171" t="s">
        <v>256</v>
      </c>
      <c r="K9" s="171" t="s">
        <v>257</v>
      </c>
      <c r="L9" s="171" t="s">
        <v>258</v>
      </c>
      <c r="M9" s="227" t="s">
        <v>259</v>
      </c>
      <c r="N9" s="228" t="s">
        <v>260</v>
      </c>
      <c r="O9" s="229" t="s">
        <v>261</v>
      </c>
    </row>
    <row r="10" spans="2:16" ht="12.75" customHeight="1">
      <c r="B10" s="207"/>
      <c r="C10" s="207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5"/>
    </row>
    <row r="11" spans="2:16" ht="12.75" customHeight="1">
      <c r="B11" s="231" t="s">
        <v>98</v>
      </c>
      <c r="C11" s="231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5"/>
    </row>
    <row r="12" spans="2:16" ht="12.75" hidden="1" customHeight="1">
      <c r="B12" s="232"/>
      <c r="C12" s="233"/>
      <c r="D12" s="8"/>
      <c r="E12" s="8"/>
      <c r="F12" s="8"/>
      <c r="G12" s="8"/>
      <c r="H12" s="13"/>
      <c r="I12" s="234"/>
      <c r="J12" s="235"/>
      <c r="K12" s="235"/>
      <c r="L12" s="236"/>
      <c r="M12" s="234"/>
      <c r="N12" s="235"/>
      <c r="O12" s="236"/>
    </row>
    <row r="13" spans="2:16" ht="12.75" customHeight="1">
      <c r="B13" s="237">
        <v>2021</v>
      </c>
      <c r="C13" s="238">
        <v>16.872263127530569</v>
      </c>
      <c r="D13" s="239">
        <v>19.181266491867945</v>
      </c>
      <c r="E13" s="239">
        <v>15.400737753235312</v>
      </c>
      <c r="F13" s="239">
        <v>14.369156124279389</v>
      </c>
      <c r="G13" s="239">
        <v>12.527772677457341</v>
      </c>
      <c r="H13" s="240">
        <v>12.502542054815498</v>
      </c>
      <c r="I13" s="241">
        <v>14.636425337274668</v>
      </c>
      <c r="J13" s="239">
        <v>24.385985555040921</v>
      </c>
      <c r="K13" s="239">
        <v>23.00800384367831</v>
      </c>
      <c r="L13" s="240">
        <v>16.904250562029482</v>
      </c>
      <c r="M13" s="241">
        <v>14.954459852546702</v>
      </c>
      <c r="N13" s="239">
        <v>15.666863850603868</v>
      </c>
      <c r="O13" s="240">
        <v>18.050726637231261</v>
      </c>
    </row>
    <row r="14" spans="2:16" ht="12.75" customHeight="1">
      <c r="B14" s="254">
        <v>2022</v>
      </c>
      <c r="C14" s="242">
        <v>17.447416560192046</v>
      </c>
      <c r="D14" s="243">
        <v>22.35661921447997</v>
      </c>
      <c r="E14" s="243">
        <v>16.651346474870699</v>
      </c>
      <c r="F14" s="243">
        <v>15.624034964858621</v>
      </c>
      <c r="G14" s="243">
        <v>12.410487000466549</v>
      </c>
      <c r="H14" s="244">
        <v>12.440427948151038</v>
      </c>
      <c r="I14" s="245">
        <v>15.601556113557734</v>
      </c>
      <c r="J14" s="243">
        <v>25.354978255881154</v>
      </c>
      <c r="K14" s="243">
        <v>22.604265697760432</v>
      </c>
      <c r="L14" s="244">
        <v>17.293950152273105</v>
      </c>
      <c r="M14" s="245">
        <v>15.330545601379066</v>
      </c>
      <c r="N14" s="243">
        <v>15.457700789306148</v>
      </c>
      <c r="O14" s="244">
        <v>18.610058694152908</v>
      </c>
    </row>
    <row r="15" spans="2:16" ht="12.75" customHeight="1">
      <c r="B15" s="254">
        <v>2023</v>
      </c>
      <c r="C15" s="242">
        <v>16.67678704338784</v>
      </c>
      <c r="D15" s="243">
        <v>17.376993479135809</v>
      </c>
      <c r="E15" s="243">
        <v>16.182021167009449</v>
      </c>
      <c r="F15" s="243">
        <v>14.787445306432732</v>
      </c>
      <c r="G15" s="243">
        <v>12.04502670030497</v>
      </c>
      <c r="H15" s="244">
        <v>12.599756354234916</v>
      </c>
      <c r="I15" s="245">
        <v>13.906599347219602</v>
      </c>
      <c r="J15" s="243">
        <v>24.74462852037739</v>
      </c>
      <c r="K15" s="243">
        <v>21.975142002038655</v>
      </c>
      <c r="L15" s="244">
        <v>17.030838890189603</v>
      </c>
      <c r="M15" s="245">
        <v>14.596203121798457</v>
      </c>
      <c r="N15" s="243">
        <v>15.525676790723445</v>
      </c>
      <c r="O15" s="244">
        <v>18.849579529895443</v>
      </c>
    </row>
    <row r="16" spans="2:16" ht="12.75" customHeight="1">
      <c r="B16" s="254">
        <v>2024</v>
      </c>
      <c r="C16" s="242">
        <v>3.9952811938051758</v>
      </c>
      <c r="D16" s="243">
        <v>4.5478319749371998</v>
      </c>
      <c r="E16" s="243">
        <v>2.4712877948488146</v>
      </c>
      <c r="F16" s="243">
        <v>0.16381769351131201</v>
      </c>
      <c r="G16" s="243">
        <v>-1.0686688391085628</v>
      </c>
      <c r="H16" s="244">
        <v>3.4044762069534698</v>
      </c>
      <c r="I16" s="245">
        <v>3.9571261573705314</v>
      </c>
      <c r="J16" s="243">
        <v>9.8256201739942295</v>
      </c>
      <c r="K16" s="243">
        <v>8.7340952470155475</v>
      </c>
      <c r="L16" s="244">
        <v>3.8477314422652942</v>
      </c>
      <c r="M16" s="245">
        <v>0.65202754162529619</v>
      </c>
      <c r="N16" s="243">
        <v>2.178490153860333</v>
      </c>
      <c r="O16" s="244">
        <v>6.7611287041870645</v>
      </c>
    </row>
    <row r="17" spans="2:15" ht="12.75" customHeight="1">
      <c r="B17" s="254">
        <v>2025</v>
      </c>
      <c r="C17" s="242">
        <v>5.3100593962001206</v>
      </c>
      <c r="D17" s="243">
        <v>5.3333596685927604</v>
      </c>
      <c r="E17" s="243">
        <v>4.8658898648414732</v>
      </c>
      <c r="F17" s="243">
        <v>2.529069036050041</v>
      </c>
      <c r="G17" s="243">
        <v>0.96144330877020501</v>
      </c>
      <c r="H17" s="244">
        <v>3.8424681920815851</v>
      </c>
      <c r="I17" s="245">
        <v>5.6043703297038876</v>
      </c>
      <c r="J17" s="243">
        <v>10.481137464129635</v>
      </c>
      <c r="K17" s="243">
        <v>10.097719686625313</v>
      </c>
      <c r="L17" s="244">
        <v>5.0368274232653052</v>
      </c>
      <c r="M17" s="245">
        <v>1.6750367969306046</v>
      </c>
      <c r="N17" s="243">
        <v>3.646253512077648</v>
      </c>
      <c r="O17" s="244">
        <v>7.8661511877903489</v>
      </c>
    </row>
    <row r="18" spans="2:15" ht="12.75" customHeight="1">
      <c r="B18" s="254">
        <v>2026</v>
      </c>
      <c r="C18" s="242">
        <v>5.2006147217220606</v>
      </c>
      <c r="D18" s="243">
        <v>4.5032430693151921</v>
      </c>
      <c r="E18" s="243">
        <v>4.2591064867429598</v>
      </c>
      <c r="F18" s="243">
        <v>2.9511219267518838</v>
      </c>
      <c r="G18" s="243">
        <v>-0.82823488013178681</v>
      </c>
      <c r="H18" s="244">
        <v>4.0214574354945922</v>
      </c>
      <c r="I18" s="245">
        <v>6.1102708015240301</v>
      </c>
      <c r="J18" s="243">
        <v>10.041090452575487</v>
      </c>
      <c r="K18" s="243">
        <v>9.7663178072006165</v>
      </c>
      <c r="L18" s="244">
        <v>4.3672641326400541</v>
      </c>
      <c r="M18" s="245">
        <v>2.499298643309082</v>
      </c>
      <c r="N18" s="243">
        <v>5.3583085904140173</v>
      </c>
      <c r="O18" s="244">
        <v>7.9129833920493455</v>
      </c>
    </row>
    <row r="19" spans="2:15" ht="12.75" customHeight="1">
      <c r="B19" s="254">
        <v>2027</v>
      </c>
      <c r="C19" s="242">
        <v>6.0736825865913673</v>
      </c>
      <c r="D19" s="243">
        <v>4.5771870757751687</v>
      </c>
      <c r="E19" s="243">
        <v>4.9147104900737366</v>
      </c>
      <c r="F19" s="243">
        <v>5.2384386042714706</v>
      </c>
      <c r="G19" s="243">
        <v>2.0817987316982549</v>
      </c>
      <c r="H19" s="244">
        <v>5.022079047185259</v>
      </c>
      <c r="I19" s="245">
        <v>5.9771878647781715</v>
      </c>
      <c r="J19" s="243">
        <v>10.14391541418164</v>
      </c>
      <c r="K19" s="243">
        <v>12.142630479035121</v>
      </c>
      <c r="L19" s="244">
        <v>4.3041421603367382</v>
      </c>
      <c r="M19" s="245">
        <v>2.6787502053679493</v>
      </c>
      <c r="N19" s="243">
        <v>5.7548968435105561</v>
      </c>
      <c r="O19" s="244">
        <v>8.1631576567493429</v>
      </c>
    </row>
    <row r="20" spans="2:15" ht="12.75" customHeight="1">
      <c r="B20" s="254">
        <v>2028</v>
      </c>
      <c r="C20" s="242">
        <v>8.8074422373982433</v>
      </c>
      <c r="D20" s="243">
        <v>8.6624382589885336</v>
      </c>
      <c r="E20" s="243">
        <v>8.4580925243423746</v>
      </c>
      <c r="F20" s="243">
        <v>6.2696138048961032</v>
      </c>
      <c r="G20" s="243">
        <v>3.4970451874742485</v>
      </c>
      <c r="H20" s="244">
        <v>6.6234323823708161</v>
      </c>
      <c r="I20" s="245">
        <v>8.7052844157386016</v>
      </c>
      <c r="J20" s="243">
        <v>15.275296394774202</v>
      </c>
      <c r="K20" s="243">
        <v>14.717238106308505</v>
      </c>
      <c r="L20" s="244">
        <v>7.1442739448950219</v>
      </c>
      <c r="M20" s="245">
        <v>5.3212352109874042</v>
      </c>
      <c r="N20" s="243">
        <v>7.9798166195397044</v>
      </c>
      <c r="O20" s="244">
        <v>11.77589844868112</v>
      </c>
    </row>
    <row r="21" spans="2:15" ht="12.75" customHeight="1">
      <c r="B21" s="254">
        <v>2029</v>
      </c>
      <c r="C21" s="242">
        <v>10.156055367822608</v>
      </c>
      <c r="D21" s="243">
        <v>9.5336264703568503</v>
      </c>
      <c r="E21" s="243">
        <v>9.0398768804152674</v>
      </c>
      <c r="F21" s="243">
        <v>6.2308047656002659</v>
      </c>
      <c r="G21" s="243">
        <v>4.8521062987691019</v>
      </c>
      <c r="H21" s="244">
        <v>6.2301755666731626</v>
      </c>
      <c r="I21" s="245">
        <v>9.0987704462505228</v>
      </c>
      <c r="J21" s="243">
        <v>18.227810333218535</v>
      </c>
      <c r="K21" s="243">
        <v>19.207986648736902</v>
      </c>
      <c r="L21" s="244">
        <v>8.8814537277432528</v>
      </c>
      <c r="M21" s="245">
        <v>6.1858406468608322</v>
      </c>
      <c r="N21" s="243">
        <v>9.634737870220663</v>
      </c>
      <c r="O21" s="244">
        <v>12.380861462874833</v>
      </c>
    </row>
    <row r="22" spans="2:15" ht="12.75" customHeight="1">
      <c r="B22" s="254">
        <v>2030</v>
      </c>
      <c r="C22" s="242">
        <v>7.7003332299922667</v>
      </c>
      <c r="D22" s="243">
        <v>7.570777755945719</v>
      </c>
      <c r="E22" s="243">
        <v>6.7444908932686225</v>
      </c>
      <c r="F22" s="243">
        <v>6.3262395945106951</v>
      </c>
      <c r="G22" s="243">
        <v>3.5798683149240258</v>
      </c>
      <c r="H22" s="244">
        <v>3.9553894066303315</v>
      </c>
      <c r="I22" s="245">
        <v>7.4991761995657846</v>
      </c>
      <c r="J22" s="243">
        <v>12.34865365849946</v>
      </c>
      <c r="K22" s="243">
        <v>13.95269448397368</v>
      </c>
      <c r="L22" s="244">
        <v>6.9776035973555555</v>
      </c>
      <c r="M22" s="245">
        <v>5.4313839857601032</v>
      </c>
      <c r="N22" s="243">
        <v>7.4967640694869537</v>
      </c>
      <c r="O22" s="244">
        <v>10.282791621909883</v>
      </c>
    </row>
    <row r="23" spans="2:15" ht="12.75" customHeight="1">
      <c r="B23" s="254">
        <v>2031</v>
      </c>
      <c r="C23" s="242">
        <v>8.5348903048238043</v>
      </c>
      <c r="D23" s="243">
        <v>8.017351602081181</v>
      </c>
      <c r="E23" s="243">
        <v>7.216115838756842</v>
      </c>
      <c r="F23" s="243">
        <v>8.2556564517238549</v>
      </c>
      <c r="G23" s="243">
        <v>4.6133974933959081</v>
      </c>
      <c r="H23" s="244">
        <v>4.6873326631388599</v>
      </c>
      <c r="I23" s="245">
        <v>8.6643807753600335</v>
      </c>
      <c r="J23" s="243">
        <v>13.842662605966147</v>
      </c>
      <c r="K23" s="243">
        <v>13.81762793881097</v>
      </c>
      <c r="L23" s="244">
        <v>7.9224138962127846</v>
      </c>
      <c r="M23" s="245">
        <v>6.4392826110439962</v>
      </c>
      <c r="N23" s="243">
        <v>6.8951184757456616</v>
      </c>
      <c r="O23" s="244">
        <v>11.079972564798101</v>
      </c>
    </row>
    <row r="24" spans="2:15" ht="12.75" customHeight="1">
      <c r="B24" s="254">
        <v>2032</v>
      </c>
      <c r="C24" s="242">
        <v>9.3157111543810398</v>
      </c>
      <c r="D24" s="243">
        <v>8.7031889883048272</v>
      </c>
      <c r="E24" s="243">
        <v>8.1968049929988922</v>
      </c>
      <c r="F24" s="243">
        <v>7.3796990225245969</v>
      </c>
      <c r="G24" s="243">
        <v>5.9155984636323167</v>
      </c>
      <c r="H24" s="244">
        <v>4.1006240295287908</v>
      </c>
      <c r="I24" s="245">
        <v>8.0865034469706458</v>
      </c>
      <c r="J24" s="243">
        <v>16.113551741250149</v>
      </c>
      <c r="K24" s="243">
        <v>15.166106405412489</v>
      </c>
      <c r="L24" s="244">
        <v>10.845543555389771</v>
      </c>
      <c r="M24" s="245">
        <v>6.2163583445349326</v>
      </c>
      <c r="N24" s="243">
        <v>8.9111239129498152</v>
      </c>
      <c r="O24" s="244">
        <v>11.080323011132219</v>
      </c>
    </row>
    <row r="25" spans="2:15" ht="12.75" customHeight="1">
      <c r="B25" s="254">
        <v>2033</v>
      </c>
      <c r="C25" s="242">
        <v>9.0319159412176244</v>
      </c>
      <c r="D25" s="243">
        <v>9.1235975758629788</v>
      </c>
      <c r="E25" s="243">
        <v>7.7422453255674002</v>
      </c>
      <c r="F25" s="243">
        <v>7.1834919330295364</v>
      </c>
      <c r="G25" s="243">
        <v>4.0953137281693257</v>
      </c>
      <c r="H25" s="244">
        <v>4.1001414763751045</v>
      </c>
      <c r="I25" s="245">
        <v>7.9392556294757508</v>
      </c>
      <c r="J25" s="243">
        <v>15.635014337012311</v>
      </c>
      <c r="K25" s="243">
        <v>16.868051546194895</v>
      </c>
      <c r="L25" s="244">
        <v>7.7526968922707162</v>
      </c>
      <c r="M25" s="245">
        <v>7.1726145837825008</v>
      </c>
      <c r="N25" s="243">
        <v>8.6026075254690166</v>
      </c>
      <c r="O25" s="244">
        <v>11.799765345335123</v>
      </c>
    </row>
    <row r="26" spans="2:15" ht="12.75" customHeight="1">
      <c r="B26" s="254">
        <v>2034</v>
      </c>
      <c r="C26" s="242">
        <v>10.147824254220803</v>
      </c>
      <c r="D26" s="243">
        <v>9.9810059418833479</v>
      </c>
      <c r="E26" s="243">
        <v>8.7230455163052021</v>
      </c>
      <c r="F26" s="243">
        <v>8.2293379246345832</v>
      </c>
      <c r="G26" s="243">
        <v>4.0471648372809366</v>
      </c>
      <c r="H26" s="244">
        <v>4.862432185385968</v>
      </c>
      <c r="I26" s="245">
        <v>9.3539498913555512</v>
      </c>
      <c r="J26" s="243">
        <v>17.076679114307826</v>
      </c>
      <c r="K26" s="243">
        <v>18.716800950798181</v>
      </c>
      <c r="L26" s="244">
        <v>9.3002553387676095</v>
      </c>
      <c r="M26" s="245">
        <v>7.7534945250259035</v>
      </c>
      <c r="N26" s="243">
        <v>9.8904705201127463</v>
      </c>
      <c r="O26" s="244">
        <v>13.396930030093021</v>
      </c>
    </row>
    <row r="27" spans="2:15" ht="12.75" customHeight="1">
      <c r="B27" s="254">
        <v>2035</v>
      </c>
      <c r="C27" s="242">
        <v>10.600785110616057</v>
      </c>
      <c r="D27" s="243">
        <v>12.531933333573116</v>
      </c>
      <c r="E27" s="243">
        <v>11.226892231952586</v>
      </c>
      <c r="F27" s="243">
        <v>8.5737432057755072</v>
      </c>
      <c r="G27" s="243">
        <v>4.3912272406260833</v>
      </c>
      <c r="H27" s="244">
        <v>4.5651846040750836</v>
      </c>
      <c r="I27" s="245">
        <v>8.7672581710273274</v>
      </c>
      <c r="J27" s="243">
        <v>17.789966554942577</v>
      </c>
      <c r="K27" s="243">
        <v>19.546355165615299</v>
      </c>
      <c r="L27" s="244">
        <v>9.2101335051795203</v>
      </c>
      <c r="M27" s="245">
        <v>7.9433955348317307</v>
      </c>
      <c r="N27" s="243">
        <v>10.944408255417837</v>
      </c>
      <c r="O27" s="244">
        <v>13.135028240924131</v>
      </c>
    </row>
    <row r="28" spans="2:15" ht="12.75" customHeight="1">
      <c r="B28" s="254">
        <v>2036</v>
      </c>
      <c r="C28" s="242">
        <v>12.284920139600915</v>
      </c>
      <c r="D28" s="243">
        <v>11.961682162484776</v>
      </c>
      <c r="E28" s="243">
        <v>10.26807011768571</v>
      </c>
      <c r="F28" s="243">
        <v>9.8408375821513729</v>
      </c>
      <c r="G28" s="243">
        <v>5.6683773975089542</v>
      </c>
      <c r="H28" s="244">
        <v>5.0225720141870172</v>
      </c>
      <c r="I28" s="245">
        <v>10.307778656229779</v>
      </c>
      <c r="J28" s="243">
        <v>20.375532284459002</v>
      </c>
      <c r="K28" s="243">
        <v>23.33064743138409</v>
      </c>
      <c r="L28" s="244">
        <v>11.804147429913623</v>
      </c>
      <c r="M28" s="245">
        <v>9.5957607181277584</v>
      </c>
      <c r="N28" s="243">
        <v>13.613271036350985</v>
      </c>
      <c r="O28" s="244">
        <v>15.920065259150906</v>
      </c>
    </row>
    <row r="29" spans="2:15" ht="12.75" customHeight="1">
      <c r="B29" s="254">
        <v>2037</v>
      </c>
      <c r="C29" s="242">
        <v>12.846824690030058</v>
      </c>
      <c r="D29" s="243">
        <v>15.413677863616426</v>
      </c>
      <c r="E29" s="243">
        <v>13.980224190948137</v>
      </c>
      <c r="F29" s="243">
        <v>10.454976463641673</v>
      </c>
      <c r="G29" s="243">
        <v>6.5245984782634912</v>
      </c>
      <c r="H29" s="244">
        <v>5.260071743230526</v>
      </c>
      <c r="I29" s="245">
        <v>11.325383199816608</v>
      </c>
      <c r="J29" s="243">
        <v>20.520334525818143</v>
      </c>
      <c r="K29" s="243">
        <v>19.770048363606833</v>
      </c>
      <c r="L29" s="244">
        <v>12.333821229495923</v>
      </c>
      <c r="M29" s="245">
        <v>9.6196220662481071</v>
      </c>
      <c r="N29" s="243">
        <v>14.91150235784618</v>
      </c>
      <c r="O29" s="244">
        <v>18.84137841069138</v>
      </c>
    </row>
    <row r="30" spans="2:15" ht="12.75" customHeight="1">
      <c r="B30" s="255">
        <v>2038</v>
      </c>
      <c r="C30" s="247">
        <v>14.186350957504024</v>
      </c>
      <c r="D30" s="248">
        <v>19.376306139377412</v>
      </c>
      <c r="E30" s="248">
        <v>15.869835066967054</v>
      </c>
      <c r="F30" s="248">
        <v>10.834471147113053</v>
      </c>
      <c r="G30" s="248">
        <v>6.6120483642822583</v>
      </c>
      <c r="H30" s="249">
        <v>5.0924585386980592</v>
      </c>
      <c r="I30" s="250">
        <v>12.034664043997129</v>
      </c>
      <c r="J30" s="248">
        <v>21.416037727289588</v>
      </c>
      <c r="K30" s="248">
        <v>24.639158367464141</v>
      </c>
      <c r="L30" s="249">
        <v>12.197522689541298</v>
      </c>
      <c r="M30" s="250">
        <v>10.58920861848893</v>
      </c>
      <c r="N30" s="248">
        <v>18.488094194240926</v>
      </c>
      <c r="O30" s="249">
        <v>20.134505870250223</v>
      </c>
    </row>
    <row r="31" spans="2:15" ht="12.75" hidden="1" customHeight="1">
      <c r="B31" s="15"/>
      <c r="C31" s="242"/>
      <c r="D31" s="243"/>
      <c r="E31" s="243"/>
      <c r="F31" s="243"/>
      <c r="G31" s="243"/>
      <c r="H31" s="244"/>
      <c r="I31" s="245"/>
      <c r="J31" s="243"/>
      <c r="K31" s="243"/>
      <c r="L31" s="244"/>
      <c r="M31" s="245"/>
      <c r="N31" s="243"/>
      <c r="O31" s="244"/>
    </row>
    <row r="32" spans="2:15" ht="12.75" hidden="1" customHeight="1">
      <c r="B32" s="246"/>
      <c r="C32" s="247"/>
      <c r="D32" s="248"/>
      <c r="E32" s="248"/>
      <c r="F32" s="248"/>
      <c r="G32" s="248"/>
      <c r="H32" s="249"/>
      <c r="I32" s="250"/>
      <c r="J32" s="248"/>
      <c r="K32" s="248"/>
      <c r="L32" s="249"/>
      <c r="M32" s="250"/>
      <c r="N32" s="248"/>
      <c r="O32" s="249"/>
    </row>
    <row r="33" spans="2:16" ht="12.75" customHeight="1">
      <c r="D33" s="10"/>
      <c r="E33" s="10"/>
      <c r="F33" s="10"/>
      <c r="M33" s="251"/>
    </row>
    <row r="34" spans="2:16">
      <c r="B34" s="252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</row>
    <row r="38" spans="2:16" hidden="1">
      <c r="C38" s="253"/>
      <c r="D38" s="3">
        <v>31</v>
      </c>
      <c r="E38" s="3">
        <v>28</v>
      </c>
      <c r="F38" s="3">
        <v>31</v>
      </c>
      <c r="G38" s="3">
        <v>30</v>
      </c>
      <c r="H38" s="3">
        <v>31</v>
      </c>
      <c r="I38" s="3">
        <v>30</v>
      </c>
      <c r="J38" s="3">
        <v>31</v>
      </c>
      <c r="K38" s="3">
        <v>31</v>
      </c>
      <c r="L38" s="3">
        <v>30</v>
      </c>
      <c r="M38" s="3">
        <v>31</v>
      </c>
      <c r="N38" s="3">
        <v>30</v>
      </c>
      <c r="O38" s="3">
        <v>31</v>
      </c>
    </row>
    <row r="39" spans="2:16">
      <c r="C39" s="253"/>
    </row>
    <row r="40" spans="2:16">
      <c r="C40" s="253"/>
    </row>
    <row r="41" spans="2:16">
      <c r="C41" s="253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R345"/>
  <sheetViews>
    <sheetView view="pageBreakPreview" topLeftCell="A2" zoomScale="60" zoomScaleNormal="100" workbookViewId="0">
      <selection activeCell="D24" sqref="D24"/>
    </sheetView>
  </sheetViews>
  <sheetFormatPr defaultColWidth="9.33203125" defaultRowHeight="12.75"/>
  <cols>
    <col min="1" max="1" width="9.33203125" style="3"/>
    <col min="2" max="2" width="15" style="3" customWidth="1"/>
    <col min="3" max="4" width="27" style="3" customWidth="1"/>
    <col min="5" max="5" width="19.5" style="3" customWidth="1"/>
    <col min="6" max="6" width="17" style="3" customWidth="1"/>
    <col min="7" max="7" width="9.33203125" style="3" customWidth="1"/>
    <col min="8" max="8" width="15" style="46" hidden="1" customWidth="1"/>
    <col min="9" max="10" width="16.6640625" style="32" hidden="1" customWidth="1"/>
    <col min="11" max="11" width="11.1640625" style="3" hidden="1" customWidth="1"/>
    <col min="12" max="12" width="9.33203125" style="3" hidden="1" customWidth="1"/>
    <col min="13" max="13" width="9.33203125" style="94" hidden="1" customWidth="1"/>
    <col min="14" max="14" width="10.33203125" style="94" hidden="1" customWidth="1"/>
    <col min="15" max="15" width="13.83203125" style="94" hidden="1" customWidth="1"/>
    <col min="16" max="16" width="12.83203125" style="3" hidden="1" customWidth="1"/>
    <col min="17" max="17" width="13.33203125" style="3" hidden="1" customWidth="1"/>
    <col min="18" max="18" width="9.33203125" style="3" hidden="1" customWidth="1"/>
    <col min="19" max="19" width="0" style="3" hidden="1" customWidth="1"/>
    <col min="20" max="16384" width="9.33203125" style="3"/>
  </cols>
  <sheetData>
    <row r="1" spans="2:18" ht="15.75" hidden="1">
      <c r="B1" s="1" t="s">
        <v>35</v>
      </c>
      <c r="C1" s="1"/>
      <c r="D1" s="1"/>
      <c r="H1" s="29"/>
    </row>
    <row r="2" spans="2:18" ht="5.25" customHeight="1">
      <c r="B2" s="1"/>
      <c r="C2" s="1"/>
      <c r="D2" s="1"/>
      <c r="H2" s="29"/>
    </row>
    <row r="3" spans="2:18" ht="15.75">
      <c r="B3" s="1" t="s">
        <v>55</v>
      </c>
      <c r="C3" s="1"/>
      <c r="D3" s="1"/>
      <c r="H3" s="29"/>
    </row>
    <row r="4" spans="2:18" ht="15.75">
      <c r="B4" s="1" t="s">
        <v>30</v>
      </c>
      <c r="C4" s="1"/>
      <c r="D4" s="1"/>
      <c r="H4" s="95" t="s">
        <v>29</v>
      </c>
    </row>
    <row r="5" spans="2:18" ht="15.75">
      <c r="B5" s="1" t="str">
        <f ca="1">'Table 1'!$B$5</f>
        <v>Utah 2020.Q4_Solar - 80.0 MW and 32.2% CF</v>
      </c>
      <c r="C5" s="1"/>
      <c r="D5" s="1"/>
      <c r="H5" s="96">
        <v>44196</v>
      </c>
    </row>
    <row r="6" spans="2:18">
      <c r="B6" s="11"/>
      <c r="C6" s="11"/>
      <c r="D6" s="11"/>
      <c r="H6" s="29"/>
    </row>
    <row r="7" spans="2:18" ht="14.25">
      <c r="B7" s="21"/>
      <c r="C7" s="28" t="s">
        <v>26</v>
      </c>
      <c r="D7" s="212"/>
      <c r="H7" s="29"/>
    </row>
    <row r="8" spans="2:18">
      <c r="B8" s="22"/>
      <c r="C8" s="16" t="s">
        <v>27</v>
      </c>
      <c r="D8" s="16" t="s">
        <v>27</v>
      </c>
      <c r="E8" s="16" t="s">
        <v>27</v>
      </c>
      <c r="F8" s="16" t="s">
        <v>27</v>
      </c>
      <c r="H8" s="29"/>
    </row>
    <row r="9" spans="2:18">
      <c r="B9" s="22" t="s">
        <v>0</v>
      </c>
      <c r="C9" s="22" t="str">
        <f>O16</f>
        <v>IRP - Utah Greenfield</v>
      </c>
      <c r="D9" s="22" t="str">
        <f>R16</f>
        <v>Naughton</v>
      </c>
      <c r="E9" s="22" t="str">
        <f>P15</f>
        <v>IRP West Side</v>
      </c>
      <c r="F9" s="22" t="str">
        <f>Q16</f>
        <v>IRP - Wyo NE</v>
      </c>
      <c r="H9" s="29"/>
    </row>
    <row r="10" spans="2:18">
      <c r="B10" s="23"/>
      <c r="C10" s="24" t="s">
        <v>21</v>
      </c>
      <c r="D10" s="24" t="s">
        <v>21</v>
      </c>
      <c r="E10" s="24" t="s">
        <v>21</v>
      </c>
      <c r="F10" s="24" t="s">
        <v>21</v>
      </c>
      <c r="H10" s="97"/>
      <c r="I10" s="98"/>
      <c r="J10" s="98"/>
    </row>
    <row r="11" spans="2:18" hidden="1">
      <c r="C11" s="12"/>
      <c r="D11" s="12"/>
      <c r="H11" s="97"/>
      <c r="I11" s="98"/>
      <c r="J11" s="98"/>
    </row>
    <row r="12" spans="2:18" hidden="1">
      <c r="C12" s="25"/>
      <c r="D12" s="25"/>
      <c r="H12" s="97"/>
      <c r="I12" s="98"/>
      <c r="J12" s="98"/>
    </row>
    <row r="13" spans="2:18" ht="6" customHeight="1">
      <c r="H13" s="99"/>
      <c r="I13" s="100"/>
      <c r="J13" s="100"/>
    </row>
    <row r="14" spans="2:18">
      <c r="B14" s="26"/>
      <c r="C14" s="27"/>
      <c r="D14" s="27"/>
      <c r="E14" s="27"/>
      <c r="F14" s="27"/>
      <c r="H14" s="101"/>
      <c r="I14" s="33"/>
      <c r="J14" s="33"/>
    </row>
    <row r="15" spans="2:18" ht="13.5" thickBot="1">
      <c r="B15" s="26"/>
      <c r="C15" s="27"/>
      <c r="D15" s="27"/>
      <c r="E15" s="27"/>
      <c r="F15" s="27"/>
      <c r="H15" s="30"/>
      <c r="I15" s="34" t="s">
        <v>59</v>
      </c>
      <c r="J15" s="34"/>
      <c r="K15" s="3" t="s">
        <v>60</v>
      </c>
      <c r="L15" s="3" t="s">
        <v>61</v>
      </c>
      <c r="P15" s="3" t="s">
        <v>60</v>
      </c>
      <c r="R15" s="3" t="s">
        <v>141</v>
      </c>
    </row>
    <row r="16" spans="2:18" ht="13.5" thickBot="1">
      <c r="B16" s="26"/>
      <c r="C16" s="27"/>
      <c r="D16" s="27"/>
      <c r="E16" s="27"/>
      <c r="F16" s="27"/>
      <c r="H16" s="30" t="s">
        <v>28</v>
      </c>
      <c r="I16" s="34" t="s">
        <v>27</v>
      </c>
      <c r="J16" s="3" t="s">
        <v>140</v>
      </c>
      <c r="K16" s="34" t="s">
        <v>27</v>
      </c>
      <c r="L16" s="34" t="s">
        <v>27</v>
      </c>
      <c r="M16" s="102" t="s">
        <v>0</v>
      </c>
      <c r="O16" s="103" t="str">
        <f>IF(_30_Geo_West&gt;0,"IRP - Wyo NE",IF(_436_CCCT_WestMain&gt;0,"West Side","IRP - Utah Greenfield"))</f>
        <v>IRP - Utah Greenfield</v>
      </c>
      <c r="P16" s="103" t="s">
        <v>90</v>
      </c>
      <c r="Q16" s="103" t="s">
        <v>61</v>
      </c>
      <c r="R16" s="3" t="s">
        <v>140</v>
      </c>
    </row>
    <row r="17" spans="2:18" ht="13.5" thickBot="1">
      <c r="B17" s="26">
        <v>2019</v>
      </c>
      <c r="C17" s="27">
        <f t="shared" ref="C17:C38" si="0">ROUND(SUMIF($M$17:$M$340,$B17,$I$17:$I$340)/COUNTIF($M$17:$M$340,$B17),2)</f>
        <v>2.42</v>
      </c>
      <c r="D17" s="27">
        <f t="shared" ref="D17:D38" si="1">ROUND(SUMIF($M$17:$M$340,$B17,$J$17:$J$340)/COUNTIF($M$17:$M$340,$B17),2)</f>
        <v>2.4300000000000002</v>
      </c>
      <c r="E17" s="27">
        <f t="shared" ref="E17:E38" si="2">ROUND(SUMIF($M$17:$M$340,$B17,$K$17:$K$340)/COUNTIF($M$17:$M$340,$B17),2)</f>
        <v>4.3099999999999996</v>
      </c>
      <c r="F17" s="27">
        <f t="shared" ref="F17:F38" si="3">ROUND(SUMIF($M$17:$M$340,$B17,$L$17:$L$340)/COUNTIF($M$17:$M$340,$B17),2)</f>
        <v>2.09</v>
      </c>
      <c r="H17" s="31">
        <v>42370</v>
      </c>
      <c r="I17" s="35">
        <v>2.2763825364431489</v>
      </c>
      <c r="J17" s="35">
        <v>2.2724718011978848</v>
      </c>
      <c r="K17" s="35">
        <v>2.3748742653912789</v>
      </c>
      <c r="L17" s="35">
        <v>2.2757987901986261</v>
      </c>
      <c r="M17" s="104">
        <f t="shared" ref="M17:M64" si="4">YEAR(H17)</f>
        <v>2016</v>
      </c>
      <c r="O17" s="105">
        <v>47</v>
      </c>
      <c r="P17" s="105">
        <v>43</v>
      </c>
      <c r="Q17" s="105">
        <v>46</v>
      </c>
      <c r="R17" s="105">
        <v>42</v>
      </c>
    </row>
    <row r="18" spans="2:18">
      <c r="B18" s="26">
        <f t="shared" ref="B18:B38" si="5">B17+1</f>
        <v>2020</v>
      </c>
      <c r="C18" s="27">
        <f t="shared" si="0"/>
        <v>1.98</v>
      </c>
      <c r="D18" s="27">
        <f t="shared" si="1"/>
        <v>1.99</v>
      </c>
      <c r="E18" s="27">
        <f t="shared" si="2"/>
        <v>2.17</v>
      </c>
      <c r="F18" s="27">
        <f t="shared" si="3"/>
        <v>1.79</v>
      </c>
      <c r="H18" s="31">
        <v>42401</v>
      </c>
      <c r="I18" s="35">
        <v>1.8452064945978397</v>
      </c>
      <c r="J18" s="35">
        <v>1.8414277116248936</v>
      </c>
      <c r="K18" s="35">
        <v>1.7746276302006363</v>
      </c>
      <c r="L18" s="35">
        <v>1.8289735727586562</v>
      </c>
      <c r="M18" s="104">
        <f t="shared" si="4"/>
        <v>2016</v>
      </c>
    </row>
    <row r="19" spans="2:18">
      <c r="B19" s="26">
        <f t="shared" si="5"/>
        <v>2021</v>
      </c>
      <c r="C19" s="27">
        <f t="shared" si="0"/>
        <v>2.74</v>
      </c>
      <c r="D19" s="27">
        <f t="shared" si="1"/>
        <v>2.75</v>
      </c>
      <c r="E19" s="27">
        <f t="shared" si="2"/>
        <v>2.78</v>
      </c>
      <c r="F19" s="27">
        <f t="shared" si="3"/>
        <v>2.4500000000000002</v>
      </c>
      <c r="H19" s="31">
        <v>42430</v>
      </c>
      <c r="I19" s="35">
        <v>1.5253593249607535</v>
      </c>
      <c r="J19" s="35">
        <v>1.5216784244226651</v>
      </c>
      <c r="K19" s="35">
        <v>1.4851256469456469</v>
      </c>
      <c r="L19" s="35">
        <v>1.5765269848510393</v>
      </c>
      <c r="M19" s="104">
        <f t="shared" si="4"/>
        <v>2016</v>
      </c>
    </row>
    <row r="20" spans="2:18">
      <c r="B20" s="26">
        <f t="shared" si="5"/>
        <v>2022</v>
      </c>
      <c r="C20" s="27">
        <f t="shared" si="0"/>
        <v>2.6</v>
      </c>
      <c r="D20" s="27">
        <f t="shared" si="1"/>
        <v>2.61</v>
      </c>
      <c r="E20" s="27">
        <f t="shared" si="2"/>
        <v>2.62</v>
      </c>
      <c r="F20" s="27">
        <f t="shared" si="3"/>
        <v>2.36</v>
      </c>
      <c r="H20" s="31">
        <v>42461</v>
      </c>
      <c r="I20" s="35">
        <v>1.6910448299319725</v>
      </c>
      <c r="J20" s="35">
        <v>1.6873132248631368</v>
      </c>
      <c r="K20" s="35">
        <v>1.4973848492599942</v>
      </c>
      <c r="L20" s="35">
        <v>1.7513146360624383</v>
      </c>
      <c r="M20" s="104">
        <f t="shared" si="4"/>
        <v>2016</v>
      </c>
    </row>
    <row r="21" spans="2:18">
      <c r="B21" s="26">
        <f t="shared" si="5"/>
        <v>2023</v>
      </c>
      <c r="C21" s="27">
        <f t="shared" si="0"/>
        <v>2.44</v>
      </c>
      <c r="D21" s="27">
        <f t="shared" si="1"/>
        <v>2.4500000000000002</v>
      </c>
      <c r="E21" s="27">
        <f t="shared" si="2"/>
        <v>2.4700000000000002</v>
      </c>
      <c r="F21" s="27">
        <f t="shared" si="3"/>
        <v>2.2599999999999998</v>
      </c>
      <c r="H21" s="31">
        <v>42491</v>
      </c>
      <c r="I21" s="35">
        <v>1.7310108163265305</v>
      </c>
      <c r="J21" s="35">
        <v>1.7272669805161687</v>
      </c>
      <c r="K21" s="35">
        <v>1.5718715629148743</v>
      </c>
      <c r="L21" s="35">
        <v>1.8004724578470166</v>
      </c>
      <c r="M21" s="104">
        <f t="shared" si="4"/>
        <v>2016</v>
      </c>
    </row>
    <row r="22" spans="2:18">
      <c r="B22" s="26">
        <f t="shared" si="5"/>
        <v>2024</v>
      </c>
      <c r="C22" s="27">
        <f t="shared" si="0"/>
        <v>2.91</v>
      </c>
      <c r="D22" s="27">
        <f t="shared" si="1"/>
        <v>2.92</v>
      </c>
      <c r="E22" s="27">
        <f t="shared" si="2"/>
        <v>2.85</v>
      </c>
      <c r="F22" s="27">
        <f t="shared" si="3"/>
        <v>2.73</v>
      </c>
      <c r="H22" s="31">
        <v>42522</v>
      </c>
      <c r="I22" s="35">
        <v>2.3388150491307629</v>
      </c>
      <c r="J22" s="35">
        <v>2.3348852077406383</v>
      </c>
      <c r="K22" s="35">
        <v>2.1751230113991165</v>
      </c>
      <c r="L22" s="35">
        <v>2.3647654677733372</v>
      </c>
      <c r="M22" s="104">
        <f t="shared" si="4"/>
        <v>2016</v>
      </c>
    </row>
    <row r="23" spans="2:18">
      <c r="B23" s="26">
        <f t="shared" si="5"/>
        <v>2025</v>
      </c>
      <c r="C23" s="27">
        <f t="shared" si="0"/>
        <v>3.43</v>
      </c>
      <c r="D23" s="27">
        <f t="shared" si="1"/>
        <v>3.44</v>
      </c>
      <c r="E23" s="27">
        <f t="shared" si="2"/>
        <v>3.25</v>
      </c>
      <c r="F23" s="27">
        <f t="shared" si="3"/>
        <v>3.24</v>
      </c>
      <c r="H23" s="31">
        <v>42552</v>
      </c>
      <c r="I23" s="35">
        <v>2.58101081632653</v>
      </c>
      <c r="J23" s="35">
        <v>2.5770068560644699</v>
      </c>
      <c r="K23" s="35">
        <v>2.5037871798230165</v>
      </c>
      <c r="L23" s="35">
        <v>2.6063456138089238</v>
      </c>
      <c r="M23" s="104">
        <f t="shared" si="4"/>
        <v>2016</v>
      </c>
    </row>
    <row r="24" spans="2:18">
      <c r="B24" s="26">
        <f t="shared" si="5"/>
        <v>2026</v>
      </c>
      <c r="C24" s="27">
        <f t="shared" si="0"/>
        <v>3.58</v>
      </c>
      <c r="D24" s="27">
        <f t="shared" si="1"/>
        <v>3.59</v>
      </c>
      <c r="E24" s="27">
        <f t="shared" si="2"/>
        <v>3.4</v>
      </c>
      <c r="F24" s="27">
        <f t="shared" si="3"/>
        <v>3.39</v>
      </c>
      <c r="H24" s="31">
        <v>42583</v>
      </c>
      <c r="I24" s="35">
        <v>2.6353985714285706</v>
      </c>
      <c r="J24" s="35">
        <v>2.631377966948893</v>
      </c>
      <c r="K24" s="35">
        <v>2.6477537958754924</v>
      </c>
      <c r="L24" s="35">
        <v>2.6355990076984344</v>
      </c>
      <c r="M24" s="104">
        <f t="shared" si="4"/>
        <v>2016</v>
      </c>
    </row>
    <row r="25" spans="2:18">
      <c r="B25" s="26">
        <f t="shared" si="5"/>
        <v>2027</v>
      </c>
      <c r="C25" s="27">
        <f t="shared" si="0"/>
        <v>3.67</v>
      </c>
      <c r="D25" s="27">
        <f t="shared" si="1"/>
        <v>3.68</v>
      </c>
      <c r="E25" s="27">
        <f t="shared" si="2"/>
        <v>3.53</v>
      </c>
      <c r="F25" s="27">
        <f t="shared" si="3"/>
        <v>3.47</v>
      </c>
      <c r="H25" s="31">
        <v>42614</v>
      </c>
      <c r="I25" s="35">
        <v>2.7123373469387757</v>
      </c>
      <c r="J25" s="35">
        <v>2.7082931969805171</v>
      </c>
      <c r="K25" s="35">
        <v>2.7714741535603351</v>
      </c>
      <c r="L25" s="35">
        <v>2.7681537930798932</v>
      </c>
      <c r="M25" s="104">
        <f t="shared" si="4"/>
        <v>2016</v>
      </c>
    </row>
    <row r="26" spans="2:18">
      <c r="B26" s="26">
        <f t="shared" si="5"/>
        <v>2028</v>
      </c>
      <c r="C26" s="27">
        <f t="shared" si="0"/>
        <v>3.86</v>
      </c>
      <c r="D26" s="27">
        <f t="shared" si="1"/>
        <v>3.87</v>
      </c>
      <c r="E26" s="27">
        <f t="shared" si="2"/>
        <v>3.7</v>
      </c>
      <c r="F26" s="27">
        <f t="shared" si="3"/>
        <v>3.67</v>
      </c>
      <c r="H26" s="31">
        <v>42644</v>
      </c>
      <c r="I26" s="35">
        <v>2.6862698430141281</v>
      </c>
      <c r="J26" s="35">
        <v>2.6822336704619465</v>
      </c>
      <c r="K26" s="35">
        <v>2.6942040298820258</v>
      </c>
      <c r="L26" s="35">
        <v>2.7499682086675996</v>
      </c>
      <c r="M26" s="104">
        <f t="shared" si="4"/>
        <v>2016</v>
      </c>
    </row>
    <row r="27" spans="2:18">
      <c r="B27" s="26">
        <f t="shared" si="5"/>
        <v>2029</v>
      </c>
      <c r="C27" s="27">
        <f t="shared" si="0"/>
        <v>4.13</v>
      </c>
      <c r="D27" s="27">
        <f t="shared" si="1"/>
        <v>4.1399999999999997</v>
      </c>
      <c r="E27" s="27">
        <f t="shared" si="2"/>
        <v>4</v>
      </c>
      <c r="F27" s="27">
        <f t="shared" si="3"/>
        <v>3.93</v>
      </c>
      <c r="H27" s="31">
        <v>42675</v>
      </c>
      <c r="I27" s="35">
        <v>2.269616258503401</v>
      </c>
      <c r="J27" s="35">
        <v>2.26570759393383</v>
      </c>
      <c r="K27" s="35">
        <v>2.2676824839611038</v>
      </c>
      <c r="L27" s="35">
        <v>2.3066994090924613</v>
      </c>
      <c r="M27" s="104">
        <f t="shared" si="4"/>
        <v>2016</v>
      </c>
    </row>
    <row r="28" spans="2:18">
      <c r="B28" s="26">
        <f t="shared" si="5"/>
        <v>2030</v>
      </c>
      <c r="C28" s="27">
        <f t="shared" si="0"/>
        <v>4.43</v>
      </c>
      <c r="D28" s="27">
        <f t="shared" si="1"/>
        <v>4.4400000000000004</v>
      </c>
      <c r="E28" s="27">
        <f t="shared" si="2"/>
        <v>4.3099999999999996</v>
      </c>
      <c r="F28" s="27">
        <f t="shared" si="3"/>
        <v>4.2300000000000004</v>
      </c>
      <c r="H28" s="31">
        <v>42705</v>
      </c>
      <c r="I28" s="35">
        <v>3.5123636800526663</v>
      </c>
      <c r="J28" s="35">
        <v>3.5080746990223539</v>
      </c>
      <c r="K28" s="35">
        <v>3.8167860057158185</v>
      </c>
      <c r="L28" s="35">
        <v>3.5518748027461844</v>
      </c>
      <c r="M28" s="104">
        <f t="shared" si="4"/>
        <v>2016</v>
      </c>
    </row>
    <row r="29" spans="2:18">
      <c r="B29" s="26">
        <f t="shared" si="5"/>
        <v>2031</v>
      </c>
      <c r="C29" s="27">
        <f t="shared" si="0"/>
        <v>4.62</v>
      </c>
      <c r="D29" s="27">
        <f t="shared" si="1"/>
        <v>4.63</v>
      </c>
      <c r="E29" s="27">
        <f t="shared" si="2"/>
        <v>4.45</v>
      </c>
      <c r="F29" s="27">
        <f t="shared" si="3"/>
        <v>4.42</v>
      </c>
      <c r="H29" s="31">
        <v>42736</v>
      </c>
      <c r="I29" s="35">
        <v>3.2524393877551017</v>
      </c>
      <c r="J29" s="35">
        <v>3.2626434693877546</v>
      </c>
      <c r="K29" s="35">
        <v>3.5318468800105713</v>
      </c>
      <c r="L29" s="35">
        <v>3.2192827656100813</v>
      </c>
      <c r="M29" s="104">
        <f t="shared" si="4"/>
        <v>2017</v>
      </c>
    </row>
    <row r="30" spans="2:18">
      <c r="B30" s="26">
        <f t="shared" si="5"/>
        <v>2032</v>
      </c>
      <c r="C30" s="27">
        <f t="shared" si="0"/>
        <v>4.66</v>
      </c>
      <c r="D30" s="27">
        <f t="shared" si="1"/>
        <v>4.67</v>
      </c>
      <c r="E30" s="27">
        <f t="shared" si="2"/>
        <v>4.5199999999999996</v>
      </c>
      <c r="F30" s="27">
        <f t="shared" si="3"/>
        <v>4.46</v>
      </c>
      <c r="H30" s="31">
        <v>42767</v>
      </c>
      <c r="I30" s="35">
        <v>2.6306099416909614</v>
      </c>
      <c r="J30" s="35">
        <v>2.6408140233236148</v>
      </c>
      <c r="K30" s="35">
        <v>2.6903633755419278</v>
      </c>
      <c r="L30" s="35">
        <v>2.6163905589309167</v>
      </c>
      <c r="M30" s="104">
        <f t="shared" si="4"/>
        <v>2017</v>
      </c>
    </row>
    <row r="31" spans="2:18">
      <c r="B31" s="26">
        <f t="shared" si="5"/>
        <v>2033</v>
      </c>
      <c r="C31" s="27">
        <f t="shared" si="0"/>
        <v>4.79</v>
      </c>
      <c r="D31" s="27">
        <f t="shared" si="1"/>
        <v>4.8</v>
      </c>
      <c r="E31" s="27">
        <f t="shared" si="2"/>
        <v>4.67</v>
      </c>
      <c r="F31" s="27">
        <f t="shared" si="3"/>
        <v>4.58</v>
      </c>
      <c r="H31" s="31">
        <v>42795</v>
      </c>
      <c r="I31" s="35">
        <v>2.5701319486504275</v>
      </c>
      <c r="J31" s="35">
        <v>2.5803360302830809</v>
      </c>
      <c r="K31" s="35">
        <v>2.5432095807524639</v>
      </c>
      <c r="L31" s="35">
        <v>2.568842349667122</v>
      </c>
      <c r="M31" s="104">
        <f t="shared" si="4"/>
        <v>2017</v>
      </c>
    </row>
    <row r="32" spans="2:18">
      <c r="B32" s="26">
        <f t="shared" si="5"/>
        <v>2034</v>
      </c>
      <c r="C32" s="27">
        <f t="shared" si="0"/>
        <v>4.95</v>
      </c>
      <c r="D32" s="27">
        <f t="shared" si="1"/>
        <v>4.96</v>
      </c>
      <c r="E32" s="27">
        <f t="shared" si="2"/>
        <v>4.78</v>
      </c>
      <c r="F32" s="27">
        <f t="shared" si="3"/>
        <v>4.74</v>
      </c>
      <c r="H32" s="31">
        <v>42826</v>
      </c>
      <c r="I32" s="35">
        <v>2.7337319047619042</v>
      </c>
      <c r="J32" s="35">
        <v>2.7439359863945576</v>
      </c>
      <c r="K32" s="35">
        <v>2.7294485434555877</v>
      </c>
      <c r="L32" s="35">
        <v>2.7630022897935822</v>
      </c>
      <c r="M32" s="104">
        <f t="shared" si="4"/>
        <v>2017</v>
      </c>
    </row>
    <row r="33" spans="2:13">
      <c r="B33" s="26">
        <f t="shared" si="5"/>
        <v>2035</v>
      </c>
      <c r="C33" s="27">
        <f t="shared" si="0"/>
        <v>5.08</v>
      </c>
      <c r="D33" s="27">
        <f t="shared" si="1"/>
        <v>5.09</v>
      </c>
      <c r="E33" s="27">
        <f t="shared" si="2"/>
        <v>4.91</v>
      </c>
      <c r="F33" s="27">
        <f t="shared" si="3"/>
        <v>4.87</v>
      </c>
      <c r="H33" s="31">
        <v>42856</v>
      </c>
      <c r="I33" s="35">
        <v>2.793469670836076</v>
      </c>
      <c r="J33" s="35">
        <v>2.8036737524687294</v>
      </c>
      <c r="K33" s="35">
        <v>2.7211925722904748</v>
      </c>
      <c r="L33" s="35">
        <v>2.7948345482925934</v>
      </c>
      <c r="M33" s="104">
        <f t="shared" si="4"/>
        <v>2017</v>
      </c>
    </row>
    <row r="34" spans="2:13">
      <c r="B34" s="26">
        <f t="shared" si="5"/>
        <v>2036</v>
      </c>
      <c r="C34" s="27">
        <f t="shared" si="0"/>
        <v>5.24</v>
      </c>
      <c r="D34" s="27">
        <f t="shared" si="1"/>
        <v>5.25</v>
      </c>
      <c r="E34" s="27">
        <f t="shared" si="2"/>
        <v>5.1100000000000003</v>
      </c>
      <c r="F34" s="27">
        <f t="shared" si="3"/>
        <v>5.03</v>
      </c>
      <c r="H34" s="31">
        <v>42887</v>
      </c>
      <c r="I34" s="35">
        <v>2.8754985714285715</v>
      </c>
      <c r="J34" s="35">
        <v>2.8713045200448848</v>
      </c>
      <c r="K34" s="35">
        <v>2.8528564316455696</v>
      </c>
      <c r="L34" s="35">
        <v>2.9027304231990985</v>
      </c>
      <c r="M34" s="104">
        <f t="shared" si="4"/>
        <v>2017</v>
      </c>
    </row>
    <row r="35" spans="2:13">
      <c r="B35" s="26">
        <f t="shared" si="5"/>
        <v>2037</v>
      </c>
      <c r="C35" s="27">
        <f t="shared" si="0"/>
        <v>5.26</v>
      </c>
      <c r="D35" s="27">
        <f t="shared" si="1"/>
        <v>5.27</v>
      </c>
      <c r="E35" s="27">
        <f t="shared" si="2"/>
        <v>5.16</v>
      </c>
      <c r="F35" s="27">
        <f t="shared" si="3"/>
        <v>5.05</v>
      </c>
      <c r="H35" s="31">
        <v>42917</v>
      </c>
      <c r="I35" s="35">
        <v>2.6189359863945567</v>
      </c>
      <c r="J35" s="35">
        <v>2.6291400680272097</v>
      </c>
      <c r="K35" s="35">
        <v>2.4945553517572598</v>
      </c>
      <c r="L35" s="35">
        <v>2.6362978437052949</v>
      </c>
      <c r="M35" s="104">
        <f t="shared" si="4"/>
        <v>2017</v>
      </c>
    </row>
    <row r="36" spans="2:13">
      <c r="B36" s="26">
        <f t="shared" si="5"/>
        <v>2038</v>
      </c>
      <c r="C36" s="27">
        <f t="shared" si="0"/>
        <v>5.65</v>
      </c>
      <c r="D36" s="27">
        <f t="shared" si="1"/>
        <v>5.66</v>
      </c>
      <c r="E36" s="27">
        <f t="shared" si="2"/>
        <v>5.47</v>
      </c>
      <c r="F36" s="27">
        <f t="shared" si="3"/>
        <v>5.44</v>
      </c>
      <c r="H36" s="31">
        <v>42948</v>
      </c>
      <c r="I36" s="35">
        <v>2.6204058600583098</v>
      </c>
      <c r="J36" s="35">
        <v>2.6306099416909632</v>
      </c>
      <c r="K36" s="35">
        <v>2.6662174520070065</v>
      </c>
      <c r="L36" s="35">
        <v>2.5882317308036979</v>
      </c>
      <c r="M36" s="104">
        <f t="shared" si="4"/>
        <v>2017</v>
      </c>
    </row>
    <row r="37" spans="2:13">
      <c r="B37" s="26">
        <f t="shared" si="5"/>
        <v>2039</v>
      </c>
      <c r="C37" s="27">
        <f t="shared" si="0"/>
        <v>6.19</v>
      </c>
      <c r="D37" s="27">
        <f t="shared" si="1"/>
        <v>6.2</v>
      </c>
      <c r="E37" s="27">
        <f t="shared" si="2"/>
        <v>5.98</v>
      </c>
      <c r="F37" s="27">
        <f t="shared" si="3"/>
        <v>5.97</v>
      </c>
      <c r="H37" s="31">
        <v>42979</v>
      </c>
      <c r="I37" s="35">
        <v>2.6225484658691061</v>
      </c>
      <c r="J37" s="35">
        <v>2.6327525475017595</v>
      </c>
      <c r="K37" s="35">
        <v>2.6887120624951599</v>
      </c>
      <c r="L37" s="35">
        <v>2.6331911977640843</v>
      </c>
      <c r="M37" s="104">
        <f t="shared" si="4"/>
        <v>2017</v>
      </c>
    </row>
    <row r="38" spans="2:13">
      <c r="B38" s="26">
        <f t="shared" si="5"/>
        <v>2040</v>
      </c>
      <c r="C38" s="27">
        <f t="shared" si="0"/>
        <v>6.56</v>
      </c>
      <c r="D38" s="27">
        <f t="shared" si="1"/>
        <v>6.57</v>
      </c>
      <c r="E38" s="27">
        <f t="shared" si="2"/>
        <v>6.39</v>
      </c>
      <c r="F38" s="27">
        <f t="shared" si="3"/>
        <v>6.34</v>
      </c>
      <c r="H38" s="31">
        <v>43009</v>
      </c>
      <c r="I38" s="35">
        <v>2.5740380272108854</v>
      </c>
      <c r="J38" s="35">
        <v>2.5842421088435388</v>
      </c>
      <c r="K38" s="35">
        <v>2.6534093301860455</v>
      </c>
      <c r="L38" s="35">
        <v>2.5597179350146151</v>
      </c>
      <c r="M38" s="104">
        <f t="shared" si="4"/>
        <v>2017</v>
      </c>
    </row>
    <row r="39" spans="2:13">
      <c r="B39" s="26"/>
      <c r="C39" s="27"/>
      <c r="D39" s="27"/>
      <c r="E39" s="27"/>
      <c r="F39" s="27"/>
      <c r="H39" s="31">
        <v>43040</v>
      </c>
      <c r="I39" s="35">
        <v>2.7398543537414972</v>
      </c>
      <c r="J39" s="35">
        <v>2.7500584353741506</v>
      </c>
      <c r="K39" s="35">
        <v>2.7910689165539582</v>
      </c>
      <c r="L39" s="35">
        <v>2.7286553860659333</v>
      </c>
      <c r="M39" s="104">
        <f t="shared" si="4"/>
        <v>2017</v>
      </c>
    </row>
    <row r="40" spans="2:13">
      <c r="B40" s="26"/>
      <c r="C40" s="27"/>
      <c r="D40" s="27"/>
      <c r="E40" s="27"/>
      <c r="F40" s="27"/>
      <c r="H40" s="31">
        <v>43070</v>
      </c>
      <c r="I40" s="35">
        <v>2.5383676300197497</v>
      </c>
      <c r="J40" s="35">
        <v>2.5485717116524031</v>
      </c>
      <c r="K40" s="35">
        <v>2.822493172147158</v>
      </c>
      <c r="L40" s="35">
        <v>2.5087189745461411</v>
      </c>
      <c r="M40" s="104">
        <f t="shared" si="4"/>
        <v>2017</v>
      </c>
    </row>
    <row r="41" spans="2:13">
      <c r="B41" s="26"/>
      <c r="C41" s="27"/>
      <c r="D41" s="27"/>
      <c r="E41" s="27"/>
      <c r="F41" s="27"/>
      <c r="H41" s="31">
        <v>43101</v>
      </c>
      <c r="I41" s="35">
        <v>2.9365659189280224</v>
      </c>
      <c r="J41" s="35">
        <v>2.9467048218987211</v>
      </c>
      <c r="K41" s="35">
        <v>2.8135887402859616</v>
      </c>
      <c r="L41" s="35">
        <v>3.0826510126176525</v>
      </c>
      <c r="M41" s="104">
        <f t="shared" si="4"/>
        <v>2018</v>
      </c>
    </row>
    <row r="42" spans="2:13">
      <c r="B42" s="26"/>
      <c r="C42" s="27"/>
      <c r="D42" s="27"/>
      <c r="E42" s="27"/>
      <c r="F42" s="27"/>
      <c r="H42" s="31">
        <v>43132</v>
      </c>
      <c r="I42" s="35">
        <v>2.2424949344592338</v>
      </c>
      <c r="J42" s="35">
        <v>2.2526338374299324</v>
      </c>
      <c r="K42" s="35">
        <v>2.2559061081726517</v>
      </c>
      <c r="L42" s="35">
        <v>2.2490598127356938</v>
      </c>
      <c r="M42" s="104">
        <f t="shared" si="4"/>
        <v>2018</v>
      </c>
    </row>
    <row r="43" spans="2:13">
      <c r="H43" s="31">
        <v>43160</v>
      </c>
      <c r="I43" s="35">
        <v>2.1136794713706815</v>
      </c>
      <c r="J43" s="35">
        <v>2.1238183743413801</v>
      </c>
      <c r="K43" s="35">
        <v>2.1843639754367272</v>
      </c>
      <c r="L43" s="35">
        <v>2.1613389321133352</v>
      </c>
      <c r="M43" s="104">
        <f t="shared" si="4"/>
        <v>2018</v>
      </c>
    </row>
    <row r="44" spans="2:13">
      <c r="B44" s="106" t="str">
        <f>"Official Forward Price Curve Forecast dated   "&amp;TEXT(H5,"MMM dd, YYYY")</f>
        <v>Official Forward Price Curve Forecast dated   Dec 31, 2020</v>
      </c>
      <c r="H44" s="31">
        <v>43191</v>
      </c>
      <c r="I44" s="35">
        <v>1.9776764449626556</v>
      </c>
      <c r="J44" s="35">
        <v>1.987815347933354</v>
      </c>
      <c r="K44" s="35">
        <v>2.02262576128114</v>
      </c>
      <c r="L44" s="35">
        <v>2.0694667469637662</v>
      </c>
      <c r="M44" s="104">
        <f t="shared" si="4"/>
        <v>2018</v>
      </c>
    </row>
    <row r="45" spans="2:13">
      <c r="H45" s="31">
        <v>43221</v>
      </c>
      <c r="I45" s="35">
        <v>1.7831839406645238</v>
      </c>
      <c r="J45" s="35">
        <v>1.7933228436352224</v>
      </c>
      <c r="K45" s="35">
        <v>1.5708405984016238</v>
      </c>
      <c r="L45" s="35">
        <v>1.8794896381126289</v>
      </c>
      <c r="M45" s="104">
        <f t="shared" si="4"/>
        <v>2018</v>
      </c>
    </row>
    <row r="46" spans="2:13">
      <c r="H46" s="31">
        <v>43252</v>
      </c>
      <c r="I46" s="35">
        <v>2.1436406304949229</v>
      </c>
      <c r="J46" s="35">
        <v>2.153779533465622</v>
      </c>
      <c r="K46" s="35">
        <v>1.8484832971560308</v>
      </c>
      <c r="L46" s="35">
        <v>2.2503948014550383</v>
      </c>
      <c r="M46" s="104">
        <f t="shared" si="4"/>
        <v>2018</v>
      </c>
    </row>
    <row r="47" spans="2:13">
      <c r="H47" s="31">
        <v>43282</v>
      </c>
      <c r="I47" s="35">
        <v>2.421637499285668</v>
      </c>
      <c r="J47" s="35">
        <v>2.4317764022563666</v>
      </c>
      <c r="K47" s="35">
        <v>2.353571484540065</v>
      </c>
      <c r="L47" s="35">
        <v>2.4674716230698741</v>
      </c>
      <c r="M47" s="104">
        <f t="shared" si="4"/>
        <v>2018</v>
      </c>
    </row>
    <row r="48" spans="2:13">
      <c r="H48" s="31">
        <v>43313</v>
      </c>
      <c r="I48" s="35">
        <v>2.4788435090089065</v>
      </c>
      <c r="J48" s="35">
        <v>2.4889824119796051</v>
      </c>
      <c r="K48" s="35">
        <v>2.5401507418632927</v>
      </c>
      <c r="L48" s="35">
        <v>2.4624530543656684</v>
      </c>
      <c r="M48" s="104">
        <f t="shared" si="4"/>
        <v>2018</v>
      </c>
    </row>
    <row r="49" spans="8:15">
      <c r="H49" s="31">
        <v>43344</v>
      </c>
      <c r="I49" s="35">
        <v>2.2194892808138165</v>
      </c>
      <c r="J49" s="35">
        <v>2.2296281837845155</v>
      </c>
      <c r="K49" s="35">
        <v>2.3919118237202426</v>
      </c>
      <c r="L49" s="35">
        <v>2.224504673004402</v>
      </c>
      <c r="M49" s="104">
        <f t="shared" si="4"/>
        <v>2018</v>
      </c>
      <c r="N49" s="3"/>
      <c r="O49" s="3"/>
    </row>
    <row r="50" spans="8:15">
      <c r="H50" s="31">
        <v>43374</v>
      </c>
      <c r="I50" s="35">
        <v>2.9128539684320356</v>
      </c>
      <c r="J50" s="35">
        <v>2.9229928714027342</v>
      </c>
      <c r="K50" s="35">
        <v>4.6218921162427922</v>
      </c>
      <c r="L50" s="35">
        <v>2.9275610507263972</v>
      </c>
      <c r="M50" s="104">
        <f t="shared" si="4"/>
        <v>2018</v>
      </c>
      <c r="N50" s="3"/>
      <c r="O50" s="3"/>
    </row>
    <row r="51" spans="8:15">
      <c r="H51" s="31">
        <v>43405</v>
      </c>
      <c r="I51" s="35">
        <v>3.9745333850417399</v>
      </c>
      <c r="J51" s="35">
        <v>3.984672288012439</v>
      </c>
      <c r="K51" s="35">
        <v>8.6680488460990404</v>
      </c>
      <c r="L51" s="35">
        <v>3.8702964836561957</v>
      </c>
      <c r="M51" s="104">
        <f t="shared" si="4"/>
        <v>2018</v>
      </c>
      <c r="N51" s="3"/>
      <c r="O51" s="3"/>
    </row>
    <row r="52" spans="8:15">
      <c r="H52" s="31">
        <v>43435</v>
      </c>
      <c r="I52" s="35">
        <v>3.9079382357981771</v>
      </c>
      <c r="J52" s="35">
        <v>3.9180771387688758</v>
      </c>
      <c r="K52" s="35">
        <v>5.443905271233902</v>
      </c>
      <c r="L52" s="35">
        <v>3.5768990853253793</v>
      </c>
      <c r="M52" s="104">
        <f t="shared" si="4"/>
        <v>2018</v>
      </c>
      <c r="N52" s="3"/>
      <c r="O52" s="3"/>
    </row>
    <row r="53" spans="8:15">
      <c r="H53" s="31">
        <v>43466</v>
      </c>
      <c r="I53" s="35">
        <v>3.1877490634924275</v>
      </c>
      <c r="J53" s="35">
        <v>3.1978879664631261</v>
      </c>
      <c r="K53" s="35">
        <v>3.6245487172817223</v>
      </c>
      <c r="L53" s="35">
        <v>2.9303131690480573</v>
      </c>
      <c r="M53" s="104">
        <f t="shared" si="4"/>
        <v>2019</v>
      </c>
      <c r="N53" s="3"/>
      <c r="O53" s="3"/>
    </row>
    <row r="54" spans="8:15">
      <c r="H54" s="31">
        <v>43497</v>
      </c>
      <c r="I54" s="35">
        <v>4.6376436365125295</v>
      </c>
      <c r="J54" s="35">
        <v>4.6477825394832282</v>
      </c>
      <c r="K54" s="35">
        <v>13.248679181072774</v>
      </c>
      <c r="L54" s="35">
        <v>2.6293956266758434</v>
      </c>
      <c r="M54" s="104">
        <f t="shared" si="4"/>
        <v>2019</v>
      </c>
      <c r="N54" s="3"/>
      <c r="O54" s="3"/>
    </row>
    <row r="55" spans="8:15">
      <c r="H55" s="31">
        <v>43525</v>
      </c>
      <c r="I55" s="35">
        <v>2.8840796764808312</v>
      </c>
      <c r="J55" s="35">
        <v>2.8942185794515303</v>
      </c>
      <c r="K55" s="35">
        <v>13.147581543206581</v>
      </c>
      <c r="L55" s="35">
        <v>3.1561599255175179</v>
      </c>
      <c r="M55" s="104">
        <f t="shared" si="4"/>
        <v>2019</v>
      </c>
      <c r="N55" s="3"/>
      <c r="O55" s="3"/>
    </row>
    <row r="56" spans="8:15">
      <c r="H56" s="31">
        <v>43556</v>
      </c>
      <c r="I56" s="35">
        <v>1.8441808891817904</v>
      </c>
      <c r="J56" s="35">
        <v>1.854319792152489</v>
      </c>
      <c r="K56" s="35">
        <v>2.0841590546952737</v>
      </c>
      <c r="L56" s="35">
        <v>1.8712332831476464</v>
      </c>
      <c r="M56" s="104">
        <f t="shared" si="4"/>
        <v>2019</v>
      </c>
      <c r="N56" s="3"/>
      <c r="O56" s="3"/>
    </row>
    <row r="57" spans="8:15">
      <c r="H57" s="31">
        <v>43586</v>
      </c>
      <c r="I57" s="35">
        <v>1.8428726436371847</v>
      </c>
      <c r="J57" s="35">
        <v>1.8530115466078831</v>
      </c>
      <c r="K57" s="35">
        <v>1.8681647506266397</v>
      </c>
      <c r="L57" s="35">
        <v>1.9058775961379686</v>
      </c>
      <c r="M57" s="104">
        <f t="shared" si="4"/>
        <v>2019</v>
      </c>
      <c r="N57" s="3"/>
      <c r="O57" s="3"/>
    </row>
    <row r="58" spans="8:15">
      <c r="H58" s="31">
        <v>43617</v>
      </c>
      <c r="I58" s="35">
        <v>1.5244433419272609</v>
      </c>
      <c r="J58" s="35">
        <v>1.5345822448979596</v>
      </c>
      <c r="K58" s="35">
        <v>1.6387854906922903</v>
      </c>
      <c r="L58" s="35">
        <v>1.5109717440243182</v>
      </c>
      <c r="M58" s="104">
        <f t="shared" si="4"/>
        <v>2019</v>
      </c>
      <c r="N58" s="3"/>
      <c r="O58" s="3"/>
    </row>
    <row r="59" spans="8:15">
      <c r="H59" s="31">
        <v>43647</v>
      </c>
      <c r="I59" s="35">
        <v>1.9034544757797212</v>
      </c>
      <c r="J59" s="35">
        <v>1.9135933787504196</v>
      </c>
      <c r="K59" s="35">
        <v>2.0858127114969753</v>
      </c>
      <c r="L59" s="35">
        <v>1.8424169854267236</v>
      </c>
      <c r="M59" s="104">
        <f t="shared" si="4"/>
        <v>2019</v>
      </c>
      <c r="N59" s="3"/>
      <c r="O59" s="3"/>
    </row>
    <row r="60" spans="8:15">
      <c r="H60" s="31">
        <v>43678</v>
      </c>
      <c r="I60" s="35">
        <v>1.7590141042279228</v>
      </c>
      <c r="J60" s="35">
        <v>1.7691530071986215</v>
      </c>
      <c r="K60" s="35">
        <v>1.9418276445205909</v>
      </c>
      <c r="L60" s="35">
        <v>1.6795563365096018</v>
      </c>
      <c r="M60" s="104">
        <f t="shared" si="4"/>
        <v>2019</v>
      </c>
      <c r="N60" s="3"/>
      <c r="O60" s="3"/>
    </row>
    <row r="61" spans="8:15">
      <c r="H61" s="31">
        <v>43709</v>
      </c>
      <c r="I61" s="35">
        <v>1.9970154635919499</v>
      </c>
      <c r="J61" s="35">
        <v>2.0071543665626486</v>
      </c>
      <c r="K61" s="35">
        <v>2.3396128394159437</v>
      </c>
      <c r="L61" s="35">
        <v>1.7999696075479277</v>
      </c>
      <c r="M61" s="104">
        <f t="shared" si="4"/>
        <v>2019</v>
      </c>
      <c r="N61" s="3"/>
      <c r="O61" s="3"/>
    </row>
    <row r="62" spans="8:15">
      <c r="H62" s="31">
        <v>43739</v>
      </c>
      <c r="I62" s="35">
        <v>2.0297228135455749</v>
      </c>
      <c r="J62" s="35">
        <v>2.0398617165162736</v>
      </c>
      <c r="K62" s="35">
        <v>2.9082981752924701</v>
      </c>
      <c r="L62" s="35">
        <v>1.6259709738937289</v>
      </c>
      <c r="M62" s="104">
        <f t="shared" si="4"/>
        <v>2019</v>
      </c>
      <c r="N62" s="3"/>
      <c r="O62" s="3"/>
    </row>
    <row r="63" spans="8:15">
      <c r="H63" s="31">
        <v>43770</v>
      </c>
      <c r="I63" s="35">
        <v>2.6988904096116801</v>
      </c>
      <c r="J63" s="35">
        <v>2.7090293125823788</v>
      </c>
      <c r="K63" s="35">
        <v>3.6123940613958183</v>
      </c>
      <c r="L63" s="35">
        <v>2.2203583793368793</v>
      </c>
      <c r="M63" s="104">
        <f t="shared" si="4"/>
        <v>2019</v>
      </c>
      <c r="N63" s="3"/>
      <c r="O63" s="3"/>
    </row>
    <row r="64" spans="8:15">
      <c r="H64" s="31">
        <v>43800</v>
      </c>
      <c r="I64" s="35">
        <v>2.6968626290175401</v>
      </c>
      <c r="J64" s="35">
        <v>2.7070015319882388</v>
      </c>
      <c r="K64" s="35">
        <v>3.1833230161006094</v>
      </c>
      <c r="L64" s="35">
        <v>1.9343701152328134</v>
      </c>
      <c r="M64" s="104">
        <f t="shared" si="4"/>
        <v>2019</v>
      </c>
      <c r="N64" s="3"/>
      <c r="O64" s="3"/>
    </row>
    <row r="65" spans="8:15">
      <c r="H65" s="31">
        <v>43831</v>
      </c>
      <c r="I65" s="35">
        <v>2.0780297802801604</v>
      </c>
      <c r="J65" s="35">
        <v>2.0881686832508595</v>
      </c>
      <c r="K65" s="35">
        <v>2.3089728617063132</v>
      </c>
      <c r="L65" s="35">
        <v>1.7744234739503901</v>
      </c>
      <c r="M65" s="104">
        <f t="shared" ref="M65:M112" si="6">YEAR(H65)</f>
        <v>2020</v>
      </c>
      <c r="N65" s="3"/>
      <c r="O65" s="3"/>
    </row>
    <row r="66" spans="8:15">
      <c r="H66" s="31">
        <v>43862</v>
      </c>
      <c r="I66" s="35">
        <v>1.687752100491013</v>
      </c>
      <c r="J66" s="35">
        <v>1.6978910034617116</v>
      </c>
      <c r="K66" s="35">
        <v>1.7678653681243093</v>
      </c>
      <c r="L66" s="35">
        <v>1.6511084765355959</v>
      </c>
      <c r="M66" s="104">
        <f t="shared" si="6"/>
        <v>2020</v>
      </c>
      <c r="N66" s="3"/>
      <c r="O66" s="3"/>
    </row>
    <row r="67" spans="8:15">
      <c r="H67" s="31">
        <v>43891</v>
      </c>
      <c r="I67" s="35">
        <v>1.4749285842166715</v>
      </c>
      <c r="J67" s="35">
        <v>1.4850674871873699</v>
      </c>
      <c r="K67" s="35">
        <v>1.6827547455874448</v>
      </c>
      <c r="L67" s="35">
        <v>1.3926884738046899</v>
      </c>
      <c r="M67" s="104">
        <f t="shared" si="6"/>
        <v>2020</v>
      </c>
      <c r="N67" s="3"/>
      <c r="O67" s="3"/>
    </row>
    <row r="68" spans="8:15">
      <c r="H68" s="31">
        <v>43922</v>
      </c>
      <c r="I68" s="35">
        <v>1.4060112991314342</v>
      </c>
      <c r="J68" s="35">
        <v>1.4161502021021328</v>
      </c>
      <c r="K68" s="35">
        <v>1.586541986215753</v>
      </c>
      <c r="L68" s="35">
        <v>1.4157145304292549</v>
      </c>
      <c r="M68" s="104">
        <f t="shared" si="6"/>
        <v>2020</v>
      </c>
      <c r="N68" s="3"/>
      <c r="O68" s="3"/>
    </row>
    <row r="69" spans="8:15">
      <c r="H69" s="31">
        <v>43952</v>
      </c>
      <c r="I69" s="35">
        <v>1.5687952020421714</v>
      </c>
      <c r="J69" s="35">
        <v>1.5789341050128698</v>
      </c>
      <c r="K69" s="35">
        <v>1.6252108296090633</v>
      </c>
      <c r="L69" s="35">
        <v>1.582422748686269</v>
      </c>
      <c r="M69" s="104">
        <f t="shared" si="6"/>
        <v>2020</v>
      </c>
      <c r="N69" s="3"/>
      <c r="O69" s="3"/>
    </row>
    <row r="70" spans="8:15">
      <c r="H70" s="31">
        <v>43983</v>
      </c>
      <c r="I70" s="35">
        <v>1.4676896255365173</v>
      </c>
      <c r="J70" s="35">
        <v>1.4778285285072159</v>
      </c>
      <c r="K70" s="35">
        <v>1.5098195488452553</v>
      </c>
      <c r="L70" s="35">
        <v>1.4821269229482414</v>
      </c>
      <c r="M70" s="104">
        <f t="shared" si="6"/>
        <v>2020</v>
      </c>
      <c r="N70" s="3"/>
      <c r="O70" s="3"/>
    </row>
    <row r="71" spans="8:15">
      <c r="H71" s="31">
        <v>44013</v>
      </c>
      <c r="I71" s="35">
        <v>1.5545680317445785</v>
      </c>
      <c r="J71" s="35">
        <v>1.5647069347152771</v>
      </c>
      <c r="K71" s="35">
        <v>1.5980674730154878</v>
      </c>
      <c r="L71" s="35">
        <v>1.5579774624173968</v>
      </c>
      <c r="M71" s="104">
        <f t="shared" si="6"/>
        <v>2020</v>
      </c>
      <c r="N71" s="3"/>
      <c r="O71" s="3"/>
    </row>
    <row r="72" spans="8:15">
      <c r="H72" s="31">
        <v>44044</v>
      </c>
      <c r="I72" s="35">
        <v>2.0888228060231624</v>
      </c>
      <c r="J72" s="35">
        <v>2.098961708993861</v>
      </c>
      <c r="K72" s="35">
        <v>2.1538798980316347</v>
      </c>
      <c r="L72" s="35">
        <v>2.0000971763266029</v>
      </c>
      <c r="M72" s="104">
        <f t="shared" si="6"/>
        <v>2020</v>
      </c>
      <c r="N72" s="3"/>
      <c r="O72" s="3"/>
    </row>
    <row r="73" spans="8:15">
      <c r="H73" s="31">
        <v>44075</v>
      </c>
      <c r="I73" s="35">
        <v>2.0796287470569017</v>
      </c>
      <c r="J73" s="35">
        <v>2.0897676500276003</v>
      </c>
      <c r="K73" s="35">
        <v>2.2982742033074297</v>
      </c>
      <c r="L73" s="35">
        <v>1.7221817926327416</v>
      </c>
      <c r="M73" s="104">
        <f t="shared" si="6"/>
        <v>2020</v>
      </c>
      <c r="N73" s="3"/>
      <c r="O73" s="3"/>
    </row>
    <row r="74" spans="8:15">
      <c r="H74" s="31">
        <v>44105</v>
      </c>
      <c r="I74" s="35">
        <v>2.3028723698746911</v>
      </c>
      <c r="J74" s="35">
        <v>2.3130112728453898</v>
      </c>
      <c r="K74" s="35">
        <v>2.9093517872407175</v>
      </c>
      <c r="L74" s="35">
        <v>2.1238345745926597</v>
      </c>
      <c r="M74" s="104">
        <f t="shared" si="6"/>
        <v>2020</v>
      </c>
      <c r="N74" s="3"/>
      <c r="O74" s="3"/>
    </row>
    <row r="75" spans="8:15">
      <c r="H75" s="31">
        <v>44136</v>
      </c>
      <c r="I75" s="35">
        <v>2.9797380219000309</v>
      </c>
      <c r="J75" s="35">
        <v>2.9898769248707295</v>
      </c>
      <c r="K75" s="35">
        <v>3.2988025187732051</v>
      </c>
      <c r="L75" s="35">
        <v>2.3295958914650874</v>
      </c>
      <c r="M75" s="104">
        <f t="shared" si="6"/>
        <v>2020</v>
      </c>
      <c r="N75" s="3"/>
      <c r="O75" s="3"/>
    </row>
    <row r="76" spans="8:15">
      <c r="H76" s="31">
        <v>44166</v>
      </c>
      <c r="I76" s="35">
        <v>3.1277332991336135</v>
      </c>
      <c r="J76" s="35">
        <v>3.1378722021043126</v>
      </c>
      <c r="K76" s="35">
        <v>3.3100198528773932</v>
      </c>
      <c r="L76" s="35">
        <v>2.4221426154189856</v>
      </c>
      <c r="M76" s="104">
        <f t="shared" si="6"/>
        <v>2020</v>
      </c>
      <c r="N76" s="3"/>
      <c r="O76" s="3"/>
    </row>
    <row r="77" spans="8:15">
      <c r="H77" s="31">
        <v>44197</v>
      </c>
      <c r="I77" s="35">
        <v>3.2281411446821457</v>
      </c>
      <c r="J77" s="35">
        <v>3.2382800476528444</v>
      </c>
      <c r="K77" s="35">
        <v>3.1632786912315072</v>
      </c>
      <c r="L77" s="35">
        <v>2.4132387032018467</v>
      </c>
      <c r="M77" s="104">
        <f t="shared" si="6"/>
        <v>2021</v>
      </c>
      <c r="N77" s="3"/>
      <c r="O77" s="3"/>
    </row>
    <row r="78" spans="8:15">
      <c r="H78" s="31">
        <v>44228</v>
      </c>
      <c r="I78" s="35">
        <v>3.0040713890297073</v>
      </c>
      <c r="J78" s="35">
        <v>3.0142102920004059</v>
      </c>
      <c r="K78" s="35">
        <v>3.106578307258034</v>
      </c>
      <c r="L78" s="35">
        <v>2.4498742547425474</v>
      </c>
      <c r="M78" s="104">
        <f t="shared" si="6"/>
        <v>2021</v>
      </c>
      <c r="N78" s="3"/>
      <c r="O78" s="3"/>
    </row>
    <row r="79" spans="8:15">
      <c r="H79" s="31">
        <v>44256</v>
      </c>
      <c r="I79" s="35">
        <v>2.6461681141640474</v>
      </c>
      <c r="J79" s="35">
        <v>2.656307017134746</v>
      </c>
      <c r="K79" s="35">
        <v>2.7707774030863703</v>
      </c>
      <c r="L79" s="35">
        <v>2.3766031516611461</v>
      </c>
      <c r="M79" s="104">
        <f t="shared" si="6"/>
        <v>2021</v>
      </c>
      <c r="N79" s="3"/>
      <c r="O79" s="3"/>
    </row>
    <row r="80" spans="8:15">
      <c r="H80" s="31">
        <v>44287</v>
      </c>
      <c r="I80" s="35">
        <v>2.4454178353442155</v>
      </c>
      <c r="J80" s="35">
        <v>2.4555567383149146</v>
      </c>
      <c r="K80" s="35">
        <v>2.40908591262545</v>
      </c>
      <c r="L80" s="35">
        <v>2.3384620295091838</v>
      </c>
      <c r="M80" s="104">
        <f t="shared" si="6"/>
        <v>2021</v>
      </c>
      <c r="N80" s="3"/>
      <c r="O80" s="3"/>
    </row>
    <row r="81" spans="8:15">
      <c r="H81" s="31">
        <v>44317</v>
      </c>
      <c r="I81" s="35">
        <v>2.3308482317753216</v>
      </c>
      <c r="J81" s="35">
        <v>2.3409871347460207</v>
      </c>
      <c r="K81" s="35">
        <v>2.1626075311517226</v>
      </c>
      <c r="L81" s="35">
        <v>2.2225330924420352</v>
      </c>
      <c r="M81" s="104">
        <f t="shared" si="6"/>
        <v>2021</v>
      </c>
      <c r="N81" s="3"/>
      <c r="O81" s="3"/>
    </row>
    <row r="82" spans="8:15">
      <c r="H82" s="31">
        <v>44348</v>
      </c>
      <c r="I82" s="35">
        <v>2.3546746537564633</v>
      </c>
      <c r="J82" s="35">
        <v>2.364813556727162</v>
      </c>
      <c r="K82" s="35">
        <v>2.221896973754121</v>
      </c>
      <c r="L82" s="35">
        <v>2.2436110809996985</v>
      </c>
      <c r="M82" s="104">
        <f t="shared" si="6"/>
        <v>2021</v>
      </c>
      <c r="N82" s="3"/>
      <c r="O82" s="3"/>
    </row>
    <row r="83" spans="8:15">
      <c r="H83" s="31">
        <v>44378</v>
      </c>
      <c r="I83" s="35">
        <v>2.6122027892122071</v>
      </c>
      <c r="J83" s="35">
        <v>2.6223416921829057</v>
      </c>
      <c r="K83" s="35">
        <v>2.5755623824653728</v>
      </c>
      <c r="L83" s="35">
        <v>2.4207665562581551</v>
      </c>
      <c r="M83" s="104">
        <f t="shared" si="6"/>
        <v>2021</v>
      </c>
      <c r="N83" s="3"/>
      <c r="O83" s="3"/>
    </row>
    <row r="84" spans="8:15">
      <c r="H84" s="31">
        <v>44409</v>
      </c>
      <c r="I84" s="35">
        <v>2.6527584010950012</v>
      </c>
      <c r="J84" s="35">
        <v>2.6628973040657002</v>
      </c>
      <c r="K84" s="35">
        <v>2.6266703998003655</v>
      </c>
      <c r="L84" s="35">
        <v>2.455896537187594</v>
      </c>
      <c r="M84" s="104">
        <f t="shared" si="6"/>
        <v>2021</v>
      </c>
      <c r="N84" s="3"/>
      <c r="O84" s="3"/>
    </row>
    <row r="85" spans="8:15">
      <c r="H85" s="31">
        <v>44440</v>
      </c>
      <c r="I85" s="35">
        <v>2.6243694727770452</v>
      </c>
      <c r="J85" s="35">
        <v>2.6345083757477443</v>
      </c>
      <c r="K85" s="35">
        <v>2.6456223089641022</v>
      </c>
      <c r="L85" s="35">
        <v>2.47045038642979</v>
      </c>
      <c r="M85" s="104">
        <f t="shared" si="6"/>
        <v>2021</v>
      </c>
      <c r="N85" s="3"/>
      <c r="O85" s="3"/>
    </row>
    <row r="86" spans="8:15">
      <c r="H86" s="31">
        <v>44470</v>
      </c>
      <c r="I86" s="35">
        <v>2.6258903082226501</v>
      </c>
      <c r="J86" s="35">
        <v>2.6360292111933488</v>
      </c>
      <c r="K86" s="35">
        <v>2.7299738390945016</v>
      </c>
      <c r="L86" s="35">
        <v>2.492030231857874</v>
      </c>
      <c r="M86" s="104">
        <f t="shared" si="6"/>
        <v>2021</v>
      </c>
      <c r="N86" s="3"/>
      <c r="O86" s="3"/>
    </row>
    <row r="87" spans="8:15">
      <c r="H87" s="31">
        <v>44501</v>
      </c>
      <c r="I87" s="35">
        <v>2.9832866379397749</v>
      </c>
      <c r="J87" s="35">
        <v>2.9934255409104735</v>
      </c>
      <c r="K87" s="35">
        <v>3.223189507904848</v>
      </c>
      <c r="L87" s="35">
        <v>2.6601522834487601</v>
      </c>
      <c r="M87" s="104">
        <f t="shared" si="6"/>
        <v>2021</v>
      </c>
      <c r="N87" s="3"/>
      <c r="O87" s="3"/>
    </row>
    <row r="88" spans="8:15">
      <c r="H88" s="31">
        <v>44531</v>
      </c>
      <c r="I88" s="35">
        <v>3.4086136175605799</v>
      </c>
      <c r="J88" s="35">
        <v>3.418752520531279</v>
      </c>
      <c r="K88" s="35">
        <v>3.6790191701135075</v>
      </c>
      <c r="L88" s="35">
        <v>2.8779581652112816</v>
      </c>
      <c r="M88" s="104">
        <f t="shared" si="6"/>
        <v>2021</v>
      </c>
      <c r="N88" s="3"/>
      <c r="O88" s="3"/>
    </row>
    <row r="89" spans="8:15">
      <c r="H89" s="31">
        <v>44562</v>
      </c>
      <c r="I89" s="35">
        <v>3.4344678201358616</v>
      </c>
      <c r="J89" s="35">
        <v>3.4446067231065602</v>
      </c>
      <c r="K89" s="35">
        <v>3.5915089884558187</v>
      </c>
      <c r="L89" s="35">
        <v>2.9261364247716553</v>
      </c>
      <c r="M89" s="104">
        <f t="shared" si="6"/>
        <v>2022</v>
      </c>
      <c r="N89" s="3"/>
      <c r="O89" s="3"/>
    </row>
    <row r="90" spans="8:15">
      <c r="H90" s="31">
        <v>44593</v>
      </c>
      <c r="I90" s="35">
        <v>3.2752870434958941</v>
      </c>
      <c r="J90" s="35">
        <v>3.2854259464665927</v>
      </c>
      <c r="K90" s="35">
        <v>3.3829344253095641</v>
      </c>
      <c r="L90" s="35">
        <v>2.8112112014453476</v>
      </c>
      <c r="M90" s="104">
        <f t="shared" si="6"/>
        <v>2022</v>
      </c>
      <c r="N90" s="3"/>
      <c r="O90" s="3"/>
    </row>
    <row r="91" spans="8:15">
      <c r="H91" s="31">
        <v>44621</v>
      </c>
      <c r="I91" s="35">
        <v>2.7587099371388017</v>
      </c>
      <c r="J91" s="35">
        <v>2.7688488401095004</v>
      </c>
      <c r="K91" s="35">
        <v>2.8481902560912493</v>
      </c>
      <c r="L91" s="35">
        <v>2.4052089932751177</v>
      </c>
      <c r="M91" s="104">
        <f t="shared" si="6"/>
        <v>2022</v>
      </c>
      <c r="N91" s="3"/>
      <c r="O91" s="3"/>
    </row>
    <row r="92" spans="8:15">
      <c r="H92" s="31">
        <v>44652</v>
      </c>
      <c r="I92" s="35">
        <v>2.1524035394910275</v>
      </c>
      <c r="J92" s="35">
        <v>2.1625424424617261</v>
      </c>
      <c r="K92" s="35">
        <v>2.1052339919347296</v>
      </c>
      <c r="L92" s="35">
        <v>2.0659537488708217</v>
      </c>
      <c r="M92" s="104">
        <f t="shared" si="6"/>
        <v>2022</v>
      </c>
      <c r="N92" s="3"/>
      <c r="O92" s="3"/>
    </row>
    <row r="93" spans="8:15">
      <c r="H93" s="31">
        <v>44682</v>
      </c>
      <c r="I93" s="35">
        <v>2.089035395924161</v>
      </c>
      <c r="J93" s="35">
        <v>2.0991742988948601</v>
      </c>
      <c r="K93" s="35">
        <v>2.0127010365369244</v>
      </c>
      <c r="L93" s="35">
        <v>1.9505266686740941</v>
      </c>
      <c r="M93" s="104">
        <f t="shared" si="6"/>
        <v>2022</v>
      </c>
      <c r="N93" s="3"/>
      <c r="O93" s="3"/>
    </row>
    <row r="94" spans="8:15">
      <c r="H94" s="31">
        <v>44713</v>
      </c>
      <c r="I94" s="35">
        <v>2.1858619192943323</v>
      </c>
      <c r="J94" s="35">
        <v>2.1960008222650313</v>
      </c>
      <c r="K94" s="35">
        <v>2.0688836087846121</v>
      </c>
      <c r="L94" s="35">
        <v>2.0639463213891398</v>
      </c>
      <c r="M94" s="104">
        <f t="shared" si="6"/>
        <v>2022</v>
      </c>
      <c r="N94" s="3"/>
      <c r="O94" s="3"/>
    </row>
    <row r="95" spans="8:15">
      <c r="H95" s="31">
        <v>44743</v>
      </c>
      <c r="I95" s="35">
        <v>2.4317303163337725</v>
      </c>
      <c r="J95" s="35">
        <v>2.4418692193044715</v>
      </c>
      <c r="K95" s="35">
        <v>2.3109605905891657</v>
      </c>
      <c r="L95" s="35">
        <v>2.269707638261568</v>
      </c>
      <c r="M95" s="104">
        <f t="shared" si="6"/>
        <v>2022</v>
      </c>
      <c r="N95" s="3"/>
      <c r="O95" s="3"/>
    </row>
    <row r="96" spans="8:15">
      <c r="H96" s="31">
        <v>44774</v>
      </c>
      <c r="I96" s="35">
        <v>2.4449108901956809</v>
      </c>
      <c r="J96" s="35">
        <v>2.4550497931663799</v>
      </c>
      <c r="K96" s="35">
        <v>2.3354013040462238</v>
      </c>
      <c r="L96" s="35">
        <v>2.2576630733714746</v>
      </c>
      <c r="M96" s="104">
        <f t="shared" si="6"/>
        <v>2022</v>
      </c>
      <c r="N96" s="3"/>
      <c r="O96" s="3"/>
    </row>
    <row r="97" spans="8:15">
      <c r="H97" s="31">
        <v>44805</v>
      </c>
      <c r="I97" s="35">
        <v>2.4043552783128868</v>
      </c>
      <c r="J97" s="35">
        <v>2.4144941812835854</v>
      </c>
      <c r="K97" s="35">
        <v>2.3225077920741746</v>
      </c>
      <c r="L97" s="35">
        <v>2.2325702298504466</v>
      </c>
      <c r="M97" s="104">
        <f t="shared" si="6"/>
        <v>2022</v>
      </c>
      <c r="N97" s="3"/>
      <c r="O97" s="3"/>
    </row>
    <row r="98" spans="8:15">
      <c r="H98" s="31">
        <v>44835</v>
      </c>
      <c r="I98" s="35">
        <v>2.2984037422690862</v>
      </c>
      <c r="J98" s="35">
        <v>2.3085426452397853</v>
      </c>
      <c r="K98" s="35">
        <v>2.3061449415393636</v>
      </c>
      <c r="L98" s="35">
        <v>2.2079792431998393</v>
      </c>
      <c r="M98" s="104">
        <f t="shared" si="6"/>
        <v>2022</v>
      </c>
      <c r="N98" s="3"/>
      <c r="O98" s="3"/>
    </row>
    <row r="99" spans="8:15">
      <c r="H99" s="31">
        <v>44866</v>
      </c>
      <c r="I99" s="35">
        <v>2.6299458694109297</v>
      </c>
      <c r="J99" s="35">
        <v>2.6400847723816283</v>
      </c>
      <c r="K99" s="35">
        <v>2.8609802057181426</v>
      </c>
      <c r="L99" s="35">
        <v>2.3454880256950719</v>
      </c>
      <c r="M99" s="104">
        <f t="shared" si="6"/>
        <v>2022</v>
      </c>
      <c r="N99" s="3"/>
      <c r="O99" s="3"/>
    </row>
    <row r="100" spans="8:15">
      <c r="H100" s="31">
        <v>44896</v>
      </c>
      <c r="I100" s="35">
        <v>3.0694673131907129</v>
      </c>
      <c r="J100" s="35">
        <v>3.0796062161614115</v>
      </c>
      <c r="K100" s="35">
        <v>3.2504264046811469</v>
      </c>
      <c r="L100" s="35">
        <v>2.7404493827160494</v>
      </c>
      <c r="M100" s="104">
        <f t="shared" si="6"/>
        <v>2022</v>
      </c>
      <c r="N100" s="3"/>
      <c r="O100" s="3"/>
    </row>
    <row r="101" spans="8:15">
      <c r="H101" s="31">
        <v>44927</v>
      </c>
      <c r="I101" s="35">
        <v>3.1105298702220421</v>
      </c>
      <c r="J101" s="35">
        <v>3.1206687731927407</v>
      </c>
      <c r="K101" s="35">
        <v>3.2800452353960567</v>
      </c>
      <c r="L101" s="35">
        <v>2.8036833483890393</v>
      </c>
      <c r="M101" s="104">
        <f t="shared" si="6"/>
        <v>2023</v>
      </c>
      <c r="N101" s="3"/>
      <c r="O101" s="3"/>
    </row>
    <row r="102" spans="8:15">
      <c r="H102" s="31">
        <v>44958</v>
      </c>
      <c r="I102" s="35">
        <v>2.9974811020987531</v>
      </c>
      <c r="J102" s="35">
        <v>3.0076200050694517</v>
      </c>
      <c r="K102" s="35">
        <v>3.1134652032109771</v>
      </c>
      <c r="L102" s="35">
        <v>2.7294085315667971</v>
      </c>
      <c r="M102" s="104">
        <f t="shared" si="6"/>
        <v>2023</v>
      </c>
      <c r="N102" s="3"/>
      <c r="O102" s="3"/>
    </row>
    <row r="103" spans="8:15">
      <c r="H103" s="31">
        <v>44986</v>
      </c>
      <c r="I103" s="35">
        <v>2.6035847216871133</v>
      </c>
      <c r="J103" s="35">
        <v>2.6137236246578124</v>
      </c>
      <c r="K103" s="35">
        <v>2.7162518283611949</v>
      </c>
      <c r="L103" s="35">
        <v>2.3545214493626414</v>
      </c>
      <c r="M103" s="104">
        <f t="shared" si="6"/>
        <v>2023</v>
      </c>
      <c r="N103" s="3"/>
      <c r="O103" s="3"/>
    </row>
    <row r="104" spans="8:15">
      <c r="H104" s="31">
        <v>45017</v>
      </c>
      <c r="I104" s="35">
        <v>2.0560839612693904</v>
      </c>
      <c r="J104" s="35">
        <v>2.0662228642400895</v>
      </c>
      <c r="K104" s="35">
        <v>1.9971666847633702</v>
      </c>
      <c r="L104" s="35">
        <v>2.0082402087724582</v>
      </c>
      <c r="M104" s="104">
        <f t="shared" si="6"/>
        <v>2023</v>
      </c>
      <c r="N104" s="3"/>
      <c r="O104" s="3"/>
    </row>
    <row r="105" spans="8:15">
      <c r="H105" s="31">
        <v>45047</v>
      </c>
      <c r="I105" s="35">
        <v>2.0266811426543647</v>
      </c>
      <c r="J105" s="35">
        <v>2.0368200456250638</v>
      </c>
      <c r="K105" s="35">
        <v>1.9535151562796831</v>
      </c>
      <c r="L105" s="35">
        <v>1.8938168423165713</v>
      </c>
      <c r="M105" s="104">
        <f t="shared" si="6"/>
        <v>2023</v>
      </c>
      <c r="N105" s="3"/>
      <c r="O105" s="3"/>
    </row>
    <row r="106" spans="8:15">
      <c r="H106" s="31">
        <v>45078</v>
      </c>
      <c r="I106" s="35">
        <v>2.0636881384974144</v>
      </c>
      <c r="J106" s="35">
        <v>2.073827041468113</v>
      </c>
      <c r="K106" s="35">
        <v>1.9926099415764611</v>
      </c>
      <c r="L106" s="35">
        <v>1.9580545217304026</v>
      </c>
      <c r="M106" s="104">
        <f t="shared" si="6"/>
        <v>2023</v>
      </c>
      <c r="N106" s="3"/>
      <c r="O106" s="3"/>
    </row>
    <row r="107" spans="8:15">
      <c r="H107" s="31">
        <v>45108</v>
      </c>
      <c r="I107" s="35">
        <v>2.2451745016729192</v>
      </c>
      <c r="J107" s="35">
        <v>2.2553134046436178</v>
      </c>
      <c r="K107" s="35">
        <v>2.1417397186025817</v>
      </c>
      <c r="L107" s="35">
        <v>2.0599314664257755</v>
      </c>
      <c r="M107" s="104">
        <f t="shared" si="6"/>
        <v>2023</v>
      </c>
      <c r="N107" s="3"/>
      <c r="O107" s="3"/>
    </row>
    <row r="108" spans="8:15">
      <c r="H108" s="31">
        <v>45139</v>
      </c>
      <c r="I108" s="35">
        <v>2.2558203497921525</v>
      </c>
      <c r="J108" s="35">
        <v>2.2659592527628512</v>
      </c>
      <c r="K108" s="35">
        <v>2.1623486252888302</v>
      </c>
      <c r="L108" s="35">
        <v>2.0679611763525041</v>
      </c>
      <c r="M108" s="104">
        <f t="shared" si="6"/>
        <v>2023</v>
      </c>
      <c r="N108" s="3"/>
      <c r="O108" s="3"/>
    </row>
    <row r="109" spans="8:15">
      <c r="H109" s="31">
        <v>45170</v>
      </c>
      <c r="I109" s="35">
        <v>2.2335147632566152</v>
      </c>
      <c r="J109" s="35">
        <v>2.2436536662273143</v>
      </c>
      <c r="K109" s="35">
        <v>2.164160966329078</v>
      </c>
      <c r="L109" s="35">
        <v>2.0609351801666165</v>
      </c>
      <c r="M109" s="104">
        <f t="shared" si="6"/>
        <v>2023</v>
      </c>
      <c r="N109" s="3"/>
      <c r="O109" s="3"/>
    </row>
    <row r="110" spans="8:15">
      <c r="H110" s="31">
        <v>45200</v>
      </c>
      <c r="I110" s="35">
        <v>2.196507767413566</v>
      </c>
      <c r="J110" s="35">
        <v>2.2066466703842647</v>
      </c>
      <c r="K110" s="35">
        <v>2.1710478622820206</v>
      </c>
      <c r="L110" s="35">
        <v>2.1045967278932047</v>
      </c>
      <c r="M110" s="104">
        <f t="shared" si="6"/>
        <v>2023</v>
      </c>
      <c r="N110" s="3"/>
      <c r="O110" s="3"/>
    </row>
    <row r="111" spans="8:15">
      <c r="H111" s="31">
        <v>45231</v>
      </c>
      <c r="I111" s="35">
        <v>2.6203139115887657</v>
      </c>
      <c r="J111" s="35">
        <v>2.6304528145594648</v>
      </c>
      <c r="K111" s="35">
        <v>2.8129790587378598</v>
      </c>
      <c r="L111" s="35">
        <v>2.3986848539596504</v>
      </c>
      <c r="M111" s="104">
        <f t="shared" si="6"/>
        <v>2023</v>
      </c>
      <c r="N111" s="3"/>
      <c r="O111" s="3"/>
    </row>
    <row r="112" spans="8:15">
      <c r="H112" s="31">
        <v>45261</v>
      </c>
      <c r="I112" s="35">
        <v>2.920425439521444</v>
      </c>
      <c r="J112" s="35">
        <v>2.9305643424921426</v>
      </c>
      <c r="K112" s="35">
        <v>3.1576863245930276</v>
      </c>
      <c r="L112" s="35">
        <v>2.6556355716149755</v>
      </c>
      <c r="M112" s="104">
        <f t="shared" si="6"/>
        <v>2023</v>
      </c>
      <c r="N112" s="3"/>
      <c r="O112" s="3"/>
    </row>
    <row r="113" spans="8:15">
      <c r="H113" s="31">
        <v>45292</v>
      </c>
      <c r="I113" s="35">
        <v>3.027999200040556</v>
      </c>
      <c r="J113" s="35">
        <v>3.0381381030112546</v>
      </c>
      <c r="K113" s="35">
        <v>3.251565590477874</v>
      </c>
      <c r="L113" s="35">
        <v>2.7936462109806279</v>
      </c>
      <c r="M113" s="104">
        <f t="shared" ref="M113:M159" si="7">YEAR(H113)</f>
        <v>2024</v>
      </c>
      <c r="N113" s="3"/>
      <c r="O113" s="3"/>
    </row>
    <row r="114" spans="8:15">
      <c r="H114" s="31">
        <v>45323</v>
      </c>
      <c r="I114" s="35">
        <v>3.3435218604886954</v>
      </c>
      <c r="J114" s="35">
        <v>3.353660763459394</v>
      </c>
      <c r="K114" s="35">
        <v>3.3558528720510012</v>
      </c>
      <c r="L114" s="35">
        <v>3.0718756599417847</v>
      </c>
      <c r="M114" s="104">
        <f t="shared" si="7"/>
        <v>2024</v>
      </c>
      <c r="N114" s="3"/>
      <c r="O114" s="3"/>
    </row>
    <row r="115" spans="8:15">
      <c r="H115" s="31">
        <v>45352</v>
      </c>
      <c r="I115" s="35">
        <v>3.060342300517084</v>
      </c>
      <c r="J115" s="35">
        <v>3.0704812034877826</v>
      </c>
      <c r="K115" s="35">
        <v>2.9605036194140464</v>
      </c>
      <c r="L115" s="35">
        <v>2.8066944896115626</v>
      </c>
      <c r="M115" s="104">
        <f t="shared" si="7"/>
        <v>2024</v>
      </c>
      <c r="N115" s="3"/>
      <c r="O115" s="3"/>
    </row>
    <row r="116" spans="8:15">
      <c r="H116" s="31">
        <v>45383</v>
      </c>
      <c r="I116" s="35">
        <v>2.5990222153502991</v>
      </c>
      <c r="J116" s="35">
        <v>2.6091611183209977</v>
      </c>
      <c r="K116" s="35">
        <v>2.5129071636453704</v>
      </c>
      <c r="L116" s="35">
        <v>2.5457289169928736</v>
      </c>
      <c r="M116" s="104">
        <f t="shared" si="7"/>
        <v>2024</v>
      </c>
      <c r="N116" s="3"/>
      <c r="O116" s="3"/>
    </row>
    <row r="117" spans="8:15">
      <c r="H117" s="31">
        <v>45413</v>
      </c>
      <c r="I117" s="35">
        <v>2.5995291604988342</v>
      </c>
      <c r="J117" s="35">
        <v>2.6096680634695328</v>
      </c>
      <c r="K117" s="35">
        <v>2.4833401141030391</v>
      </c>
      <c r="L117" s="35">
        <v>2.4609151058917997</v>
      </c>
      <c r="M117" s="104">
        <f t="shared" si="7"/>
        <v>2024</v>
      </c>
      <c r="N117" s="3"/>
      <c r="O117" s="3"/>
    </row>
    <row r="118" spans="8:15">
      <c r="H118" s="31">
        <v>45444</v>
      </c>
      <c r="I118" s="35">
        <v>2.6382597698469024</v>
      </c>
      <c r="J118" s="35">
        <v>2.648398672817601</v>
      </c>
      <c r="K118" s="35">
        <v>2.5028616161651387</v>
      </c>
      <c r="L118" s="35">
        <v>2.5268590986650605</v>
      </c>
      <c r="M118" s="104">
        <f t="shared" si="7"/>
        <v>2024</v>
      </c>
      <c r="N118" s="3"/>
      <c r="O118" s="3"/>
    </row>
    <row r="119" spans="8:15">
      <c r="H119" s="31">
        <v>45474</v>
      </c>
      <c r="I119" s="35">
        <v>2.8051461127446009</v>
      </c>
      <c r="J119" s="35">
        <v>2.8152850157153</v>
      </c>
      <c r="K119" s="35">
        <v>2.5903717978228271</v>
      </c>
      <c r="L119" s="35">
        <v>2.6142825654923212</v>
      </c>
      <c r="M119" s="104">
        <f t="shared" si="7"/>
        <v>2024</v>
      </c>
      <c r="N119" s="3"/>
      <c r="O119" s="3"/>
    </row>
    <row r="120" spans="8:15">
      <c r="H120" s="31">
        <v>45505</v>
      </c>
      <c r="I120" s="35">
        <v>2.8205572452600629</v>
      </c>
      <c r="J120" s="35">
        <v>2.8306961482307615</v>
      </c>
      <c r="K120" s="35">
        <v>2.6213887201973574</v>
      </c>
      <c r="L120" s="35">
        <v>2.6270297300010035</v>
      </c>
      <c r="M120" s="104">
        <f t="shared" si="7"/>
        <v>2024</v>
      </c>
      <c r="N120" s="3"/>
      <c r="O120" s="3"/>
    </row>
    <row r="121" spans="8:15">
      <c r="H121" s="31">
        <v>45536</v>
      </c>
      <c r="I121" s="35">
        <v>2.7941960975362465</v>
      </c>
      <c r="J121" s="35">
        <v>2.8043350005069452</v>
      </c>
      <c r="K121" s="35">
        <v>2.6145018242444151</v>
      </c>
      <c r="L121" s="35">
        <v>2.6159888788517511</v>
      </c>
      <c r="M121" s="104">
        <f t="shared" si="7"/>
        <v>2024</v>
      </c>
      <c r="N121" s="3"/>
      <c r="O121" s="3"/>
    </row>
    <row r="122" spans="8:15">
      <c r="H122" s="31">
        <v>45566</v>
      </c>
      <c r="I122" s="35">
        <v>2.7554654881881779</v>
      </c>
      <c r="J122" s="35">
        <v>2.765604391158877</v>
      </c>
      <c r="K122" s="35">
        <v>2.6282756161503</v>
      </c>
      <c r="L122" s="35">
        <v>2.6578437418448257</v>
      </c>
      <c r="M122" s="104">
        <f t="shared" si="7"/>
        <v>2024</v>
      </c>
      <c r="N122" s="3"/>
      <c r="O122" s="3"/>
    </row>
    <row r="123" spans="8:15">
      <c r="H123" s="31">
        <v>45597</v>
      </c>
      <c r="I123" s="35">
        <v>3.1142812643212006</v>
      </c>
      <c r="J123" s="35">
        <v>3.1244201672918992</v>
      </c>
      <c r="K123" s="35">
        <v>3.1305012089893078</v>
      </c>
      <c r="L123" s="35">
        <v>2.8877945598715242</v>
      </c>
      <c r="M123" s="104">
        <f t="shared" si="7"/>
        <v>2024</v>
      </c>
      <c r="N123" s="3"/>
      <c r="O123" s="3"/>
    </row>
    <row r="124" spans="8:15">
      <c r="H124" s="31">
        <v>45627</v>
      </c>
      <c r="I124" s="35">
        <v>3.4063830589070263</v>
      </c>
      <c r="J124" s="35">
        <v>3.4165219618777249</v>
      </c>
      <c r="K124" s="35">
        <v>3.4918820124147576</v>
      </c>
      <c r="L124" s="35">
        <v>3.1367155676001204</v>
      </c>
      <c r="M124" s="104">
        <f t="shared" si="7"/>
        <v>2024</v>
      </c>
      <c r="N124" s="3"/>
      <c r="O124" s="3"/>
    </row>
    <row r="125" spans="8:15">
      <c r="H125" s="31">
        <v>45658</v>
      </c>
      <c r="I125" s="35">
        <v>3.4601192446517284</v>
      </c>
      <c r="J125" s="35">
        <v>3.4702581476224275</v>
      </c>
      <c r="K125" s="35">
        <v>3.5491519892865941</v>
      </c>
      <c r="L125" s="35">
        <v>3.2214290073271101</v>
      </c>
      <c r="M125" s="104">
        <f t="shared" si="7"/>
        <v>2025</v>
      </c>
      <c r="N125" s="3"/>
      <c r="O125" s="3"/>
    </row>
    <row r="126" spans="8:15">
      <c r="H126" s="31">
        <v>45689</v>
      </c>
      <c r="I126" s="35">
        <v>3.6894612298489302</v>
      </c>
      <c r="J126" s="35">
        <v>3.6996001328196289</v>
      </c>
      <c r="K126" s="35">
        <v>3.5982405408910254</v>
      </c>
      <c r="L126" s="35">
        <v>3.414443159690856</v>
      </c>
      <c r="M126" s="104">
        <f t="shared" si="7"/>
        <v>2025</v>
      </c>
      <c r="N126" s="3"/>
      <c r="O126" s="3"/>
    </row>
    <row r="127" spans="8:15">
      <c r="H127" s="31">
        <v>45717</v>
      </c>
      <c r="I127" s="35">
        <v>3.5170998793470547</v>
      </c>
      <c r="J127" s="35">
        <v>3.5272387823177533</v>
      </c>
      <c r="K127" s="35">
        <v>3.2047036292943187</v>
      </c>
      <c r="L127" s="35">
        <v>3.2588675298604839</v>
      </c>
      <c r="M127" s="104">
        <f t="shared" si="7"/>
        <v>2025</v>
      </c>
      <c r="N127" s="3"/>
      <c r="O127" s="3"/>
    </row>
    <row r="128" spans="8:15">
      <c r="H128" s="31">
        <v>45748</v>
      </c>
      <c r="I128" s="35">
        <v>3.1419604694312078</v>
      </c>
      <c r="J128" s="35">
        <v>3.1520993724019064</v>
      </c>
      <c r="K128" s="35">
        <v>3.0286476425273707</v>
      </c>
      <c r="L128" s="35">
        <v>3.083217625213289</v>
      </c>
      <c r="M128" s="104">
        <f t="shared" si="7"/>
        <v>2025</v>
      </c>
      <c r="N128" s="3"/>
      <c r="O128" s="3"/>
    </row>
    <row r="129" spans="8:15">
      <c r="H129" s="31">
        <v>45778</v>
      </c>
      <c r="I129" s="35">
        <v>3.1723771783433032</v>
      </c>
      <c r="J129" s="35">
        <v>3.1825160813140023</v>
      </c>
      <c r="K129" s="35">
        <v>3.0131132907538167</v>
      </c>
      <c r="L129" s="35">
        <v>3.0280133694670281</v>
      </c>
      <c r="M129" s="104">
        <f t="shared" si="7"/>
        <v>2025</v>
      </c>
      <c r="N129" s="3"/>
      <c r="O129" s="3"/>
    </row>
    <row r="130" spans="8:15">
      <c r="H130" s="31">
        <v>45809</v>
      </c>
      <c r="I130" s="35">
        <v>3.2129327902260978</v>
      </c>
      <c r="J130" s="35">
        <v>3.2230716931967964</v>
      </c>
      <c r="K130" s="35">
        <v>3.0131132907538167</v>
      </c>
      <c r="L130" s="35">
        <v>3.095764046973803</v>
      </c>
      <c r="M130" s="104">
        <f t="shared" si="7"/>
        <v>2025</v>
      </c>
      <c r="N130" s="3"/>
      <c r="O130" s="3"/>
    </row>
    <row r="131" spans="8:15">
      <c r="H131" s="31">
        <v>45839</v>
      </c>
      <c r="I131" s="35">
        <v>3.365016334786576</v>
      </c>
      <c r="J131" s="35">
        <v>3.3751552377572751</v>
      </c>
      <c r="K131" s="35">
        <v>3.0390038770430734</v>
      </c>
      <c r="L131" s="35">
        <v>3.1685332931847836</v>
      </c>
      <c r="M131" s="104">
        <f t="shared" si="7"/>
        <v>2025</v>
      </c>
      <c r="N131" s="3"/>
      <c r="O131" s="3"/>
    </row>
    <row r="132" spans="8:15">
      <c r="H132" s="31">
        <v>45870</v>
      </c>
      <c r="I132" s="35">
        <v>3.3852941407279733</v>
      </c>
      <c r="J132" s="35">
        <v>3.3954330436986719</v>
      </c>
      <c r="K132" s="35">
        <v>3.080428815105885</v>
      </c>
      <c r="L132" s="35">
        <v>3.1860982836495029</v>
      </c>
      <c r="M132" s="104">
        <f t="shared" si="7"/>
        <v>2025</v>
      </c>
      <c r="N132" s="3"/>
      <c r="O132" s="3"/>
    </row>
    <row r="133" spans="8:15">
      <c r="H133" s="31">
        <v>45901</v>
      </c>
      <c r="I133" s="35">
        <v>3.3548774318158778</v>
      </c>
      <c r="J133" s="35">
        <v>3.3650163347865765</v>
      </c>
      <c r="K133" s="35">
        <v>3.0648944633323305</v>
      </c>
      <c r="L133" s="35">
        <v>3.1710425775368862</v>
      </c>
      <c r="M133" s="104">
        <f t="shared" si="7"/>
        <v>2025</v>
      </c>
      <c r="N133" s="3"/>
      <c r="O133" s="3"/>
    </row>
    <row r="134" spans="8:15">
      <c r="H134" s="31">
        <v>45931</v>
      </c>
      <c r="I134" s="35">
        <v>3.3143218199330833</v>
      </c>
      <c r="J134" s="35">
        <v>3.3244607229037824</v>
      </c>
      <c r="K134" s="35">
        <v>3.0856069323637363</v>
      </c>
      <c r="L134" s="35">
        <v>3.2111911271705309</v>
      </c>
      <c r="M134" s="104">
        <f t="shared" si="7"/>
        <v>2025</v>
      </c>
      <c r="N134" s="3"/>
      <c r="O134" s="3"/>
    </row>
    <row r="135" spans="8:15">
      <c r="H135" s="31">
        <v>45962</v>
      </c>
      <c r="I135" s="35">
        <v>3.608350006083342</v>
      </c>
      <c r="J135" s="35">
        <v>3.6184889090540406</v>
      </c>
      <c r="K135" s="35">
        <v>3.4480751404133345</v>
      </c>
      <c r="L135" s="35">
        <v>3.3768038944093144</v>
      </c>
      <c r="M135" s="104">
        <f t="shared" si="7"/>
        <v>2025</v>
      </c>
      <c r="N135" s="3"/>
      <c r="O135" s="3"/>
    </row>
    <row r="136" spans="8:15">
      <c r="H136" s="31">
        <v>45992</v>
      </c>
      <c r="I136" s="35">
        <v>3.8922392892629016</v>
      </c>
      <c r="J136" s="35">
        <v>3.9023781922336007</v>
      </c>
      <c r="K136" s="35">
        <v>3.8260777002364872</v>
      </c>
      <c r="L136" s="35">
        <v>3.6176951922111815</v>
      </c>
      <c r="M136" s="104">
        <f t="shared" si="7"/>
        <v>2025</v>
      </c>
      <c r="N136" s="3"/>
      <c r="O136" s="3"/>
    </row>
    <row r="137" spans="8:15">
      <c r="H137" s="31">
        <v>46023</v>
      </c>
      <c r="I137" s="35">
        <v>3.8922392892629016</v>
      </c>
      <c r="J137" s="35">
        <v>3.9023781922336007</v>
      </c>
      <c r="K137" s="35">
        <v>3.8467901692678934</v>
      </c>
      <c r="L137" s="35">
        <v>3.6492118036735923</v>
      </c>
      <c r="M137" s="104">
        <f t="shared" ref="M137:M148" si="8">YEAR(H137)</f>
        <v>2026</v>
      </c>
      <c r="N137" s="3"/>
      <c r="O137" s="3"/>
    </row>
    <row r="138" spans="8:15">
      <c r="H138" s="31">
        <v>46054</v>
      </c>
      <c r="I138" s="35">
        <v>3.8415447744094093</v>
      </c>
      <c r="J138" s="35">
        <v>3.851683677380108</v>
      </c>
      <c r="K138" s="35">
        <v>3.7794746449158247</v>
      </c>
      <c r="L138" s="35">
        <v>3.5650002208170228</v>
      </c>
      <c r="M138" s="104">
        <f t="shared" si="8"/>
        <v>2026</v>
      </c>
      <c r="N138" s="3"/>
      <c r="O138" s="3"/>
    </row>
    <row r="139" spans="8:15">
      <c r="H139" s="31">
        <v>46082</v>
      </c>
      <c r="I139" s="35">
        <v>3.6184889090540402</v>
      </c>
      <c r="J139" s="35">
        <v>3.6286278120247393</v>
      </c>
      <c r="K139" s="35">
        <v>3.360047147029861</v>
      </c>
      <c r="L139" s="35">
        <v>3.3592389039445947</v>
      </c>
      <c r="M139" s="104">
        <f t="shared" si="8"/>
        <v>2026</v>
      </c>
      <c r="N139" s="3"/>
      <c r="O139" s="3"/>
    </row>
    <row r="140" spans="8:15">
      <c r="H140" s="31">
        <v>46113</v>
      </c>
      <c r="I140" s="35">
        <v>3.2636273050795901</v>
      </c>
      <c r="J140" s="35">
        <v>3.2737662080502892</v>
      </c>
      <c r="K140" s="35">
        <v>3.1581005739736558</v>
      </c>
      <c r="L140" s="35">
        <v>3.2036632741142226</v>
      </c>
      <c r="M140" s="104">
        <f t="shared" si="8"/>
        <v>2026</v>
      </c>
      <c r="N140" s="3"/>
      <c r="O140" s="3"/>
    </row>
    <row r="141" spans="8:15">
      <c r="H141" s="31">
        <v>46143</v>
      </c>
      <c r="I141" s="35">
        <v>3.2839051110209874</v>
      </c>
      <c r="J141" s="35">
        <v>3.2940440139916864</v>
      </c>
      <c r="K141" s="35">
        <v>3.1011412841372903</v>
      </c>
      <c r="L141" s="35">
        <v>3.1384218809595503</v>
      </c>
      <c r="M141" s="104">
        <f t="shared" si="8"/>
        <v>2026</v>
      </c>
      <c r="N141" s="3"/>
      <c r="O141" s="3"/>
    </row>
    <row r="142" spans="8:15">
      <c r="H142" s="31">
        <v>46174</v>
      </c>
      <c r="I142" s="35">
        <v>3.3345996258744806</v>
      </c>
      <c r="J142" s="35">
        <v>3.3447385288451792</v>
      </c>
      <c r="K142" s="35">
        <v>3.1063194013951416</v>
      </c>
      <c r="L142" s="35">
        <v>3.2162096958747366</v>
      </c>
      <c r="M142" s="104">
        <f t="shared" si="8"/>
        <v>2026</v>
      </c>
      <c r="N142" s="3"/>
      <c r="O142" s="3"/>
    </row>
    <row r="143" spans="8:15">
      <c r="H143" s="31">
        <v>46204</v>
      </c>
      <c r="I143" s="35">
        <v>3.5170998793470547</v>
      </c>
      <c r="J143" s="35">
        <v>3.5272387823177533</v>
      </c>
      <c r="K143" s="35">
        <v>3.1425662222001018</v>
      </c>
      <c r="L143" s="35">
        <v>3.3190903543109505</v>
      </c>
      <c r="M143" s="104">
        <f t="shared" si="8"/>
        <v>2026</v>
      </c>
      <c r="N143" s="3"/>
      <c r="O143" s="3"/>
    </row>
    <row r="144" spans="8:15">
      <c r="H144" s="31">
        <v>46235</v>
      </c>
      <c r="I144" s="35">
        <v>3.5373776852884515</v>
      </c>
      <c r="J144" s="35">
        <v>3.5475165882591506</v>
      </c>
      <c r="K144" s="35">
        <v>3.2202379810678727</v>
      </c>
      <c r="L144" s="35">
        <v>3.3366553447756697</v>
      </c>
      <c r="M144" s="104">
        <f t="shared" si="8"/>
        <v>2026</v>
      </c>
      <c r="N144" s="3"/>
      <c r="O144" s="3"/>
    </row>
    <row r="145" spans="8:15">
      <c r="H145" s="31">
        <v>46266</v>
      </c>
      <c r="I145" s="35">
        <v>3.4866831704349592</v>
      </c>
      <c r="J145" s="35">
        <v>3.4968220734056579</v>
      </c>
      <c r="K145" s="35">
        <v>3.1581005739736558</v>
      </c>
      <c r="L145" s="35">
        <v>3.3015253638462312</v>
      </c>
      <c r="M145" s="104">
        <f t="shared" si="8"/>
        <v>2026</v>
      </c>
      <c r="N145" s="3"/>
      <c r="O145" s="3"/>
    </row>
    <row r="146" spans="8:15">
      <c r="H146" s="31">
        <v>46296</v>
      </c>
      <c r="I146" s="35">
        <v>3.4461275585521647</v>
      </c>
      <c r="J146" s="35">
        <v>3.4562664615228633</v>
      </c>
      <c r="K146" s="35">
        <v>3.183991160262913</v>
      </c>
      <c r="L146" s="35">
        <v>3.3416739134798754</v>
      </c>
      <c r="M146" s="104">
        <f t="shared" si="8"/>
        <v>2026</v>
      </c>
      <c r="N146" s="3"/>
      <c r="O146" s="3"/>
    </row>
    <row r="147" spans="8:15">
      <c r="H147" s="31">
        <v>46327</v>
      </c>
      <c r="I147" s="35">
        <v>3.7502946476731216</v>
      </c>
      <c r="J147" s="35">
        <v>3.7604335506438207</v>
      </c>
      <c r="K147" s="35">
        <v>3.7380497068530136</v>
      </c>
      <c r="L147" s="35">
        <v>3.5173238181270698</v>
      </c>
      <c r="M147" s="104">
        <f t="shared" si="8"/>
        <v>2026</v>
      </c>
      <c r="N147" s="3"/>
      <c r="O147" s="3"/>
    </row>
    <row r="148" spans="8:15">
      <c r="H148" s="31">
        <v>46357</v>
      </c>
      <c r="I148" s="35">
        <v>4.0443228338233803</v>
      </c>
      <c r="J148" s="35">
        <v>4.054461736794079</v>
      </c>
      <c r="K148" s="35">
        <v>4.0280242732926927</v>
      </c>
      <c r="L148" s="35">
        <v>3.7682522533373479</v>
      </c>
      <c r="M148" s="104">
        <f t="shared" si="8"/>
        <v>2026</v>
      </c>
      <c r="N148" s="3"/>
      <c r="O148" s="3"/>
    </row>
    <row r="149" spans="8:15">
      <c r="H149" s="31">
        <v>46388</v>
      </c>
      <c r="I149" s="35">
        <v>4.0341839308526817</v>
      </c>
      <c r="J149" s="35">
        <v>4.0443228338233803</v>
      </c>
      <c r="K149" s="35">
        <v>4.0539148595819494</v>
      </c>
      <c r="L149" s="35">
        <v>3.7897317273913478</v>
      </c>
      <c r="M149" s="104">
        <f t="shared" si="7"/>
        <v>2027</v>
      </c>
      <c r="N149" s="3"/>
      <c r="O149" s="3"/>
    </row>
    <row r="150" spans="8:15">
      <c r="H150" s="31">
        <v>46419</v>
      </c>
      <c r="I150" s="35">
        <v>3.9530727070870935</v>
      </c>
      <c r="J150" s="35">
        <v>3.9632116100577921</v>
      </c>
      <c r="K150" s="35">
        <v>3.903749459104259</v>
      </c>
      <c r="L150" s="35">
        <v>3.6754087323095455</v>
      </c>
      <c r="M150" s="104">
        <f t="shared" si="7"/>
        <v>2027</v>
      </c>
      <c r="N150" s="3"/>
      <c r="O150" s="3"/>
    </row>
    <row r="151" spans="8:15">
      <c r="H151" s="31">
        <v>46447</v>
      </c>
      <c r="I151" s="35">
        <v>3.6996001328196289</v>
      </c>
      <c r="J151" s="35">
        <v>3.7097390357903279</v>
      </c>
      <c r="K151" s="35">
        <v>3.6448435962116879</v>
      </c>
      <c r="L151" s="35">
        <v>3.4395360032118836</v>
      </c>
      <c r="M151" s="104">
        <f t="shared" si="7"/>
        <v>2027</v>
      </c>
      <c r="N151" s="3"/>
      <c r="O151" s="3"/>
    </row>
    <row r="152" spans="8:15">
      <c r="H152" s="31">
        <v>46478</v>
      </c>
      <c r="I152" s="35">
        <v>3.3345996258744806</v>
      </c>
      <c r="J152" s="35">
        <v>3.3447385288451792</v>
      </c>
      <c r="K152" s="35">
        <v>3.3496909125141583</v>
      </c>
      <c r="L152" s="35">
        <v>3.2739232359731001</v>
      </c>
      <c r="M152" s="104">
        <f t="shared" si="7"/>
        <v>2027</v>
      </c>
      <c r="N152" s="3"/>
      <c r="O152" s="3"/>
    </row>
    <row r="153" spans="8:15">
      <c r="H153" s="31">
        <v>46508</v>
      </c>
      <c r="I153" s="35">
        <v>3.3447385288451787</v>
      </c>
      <c r="J153" s="35">
        <v>3.3548774318158778</v>
      </c>
      <c r="K153" s="35">
        <v>3.1632786912315076</v>
      </c>
      <c r="L153" s="35">
        <v>3.1986447054100169</v>
      </c>
      <c r="M153" s="104">
        <f t="shared" si="7"/>
        <v>2027</v>
      </c>
      <c r="N153" s="3"/>
      <c r="O153" s="3"/>
    </row>
    <row r="154" spans="8:15">
      <c r="H154" s="31">
        <v>46539</v>
      </c>
      <c r="I154" s="35">
        <v>3.3852941407279733</v>
      </c>
      <c r="J154" s="35">
        <v>3.3954330436986719</v>
      </c>
      <c r="K154" s="35">
        <v>3.1529224567158045</v>
      </c>
      <c r="L154" s="35">
        <v>3.2663953829167922</v>
      </c>
      <c r="M154" s="104">
        <f t="shared" si="7"/>
        <v>2027</v>
      </c>
      <c r="N154" s="3"/>
      <c r="O154" s="3"/>
    </row>
    <row r="155" spans="8:15">
      <c r="H155" s="31">
        <v>46569</v>
      </c>
      <c r="I155" s="35">
        <v>3.5677943942005479</v>
      </c>
      <c r="J155" s="35">
        <v>3.5779332971712465</v>
      </c>
      <c r="K155" s="35">
        <v>3.183991160262913</v>
      </c>
      <c r="L155" s="35">
        <v>3.3692760413530061</v>
      </c>
      <c r="M155" s="104">
        <f t="shared" si="7"/>
        <v>2027</v>
      </c>
      <c r="N155" s="3"/>
      <c r="O155" s="3"/>
    </row>
    <row r="156" spans="8:15">
      <c r="H156" s="31">
        <v>46600</v>
      </c>
      <c r="I156" s="35">
        <v>3.5982111031126434</v>
      </c>
      <c r="J156" s="35">
        <v>3.608350006083342</v>
      </c>
      <c r="K156" s="35">
        <v>3.2720191536463874</v>
      </c>
      <c r="L156" s="35">
        <v>3.3968781692261363</v>
      </c>
      <c r="M156" s="104">
        <f t="shared" si="7"/>
        <v>2027</v>
      </c>
      <c r="N156" s="3"/>
      <c r="O156" s="3"/>
    </row>
    <row r="157" spans="8:15">
      <c r="H157" s="31">
        <v>46631</v>
      </c>
      <c r="I157" s="35">
        <v>3.5576554912298488</v>
      </c>
      <c r="J157" s="35">
        <v>3.5677943942005479</v>
      </c>
      <c r="K157" s="35">
        <v>3.2513066846149812</v>
      </c>
      <c r="L157" s="35">
        <v>3.3717853257051087</v>
      </c>
      <c r="M157" s="104">
        <f t="shared" si="7"/>
        <v>2027</v>
      </c>
      <c r="N157" s="3"/>
      <c r="O157" s="3"/>
    </row>
    <row r="158" spans="8:15">
      <c r="H158" s="31">
        <v>46661</v>
      </c>
      <c r="I158" s="35">
        <v>3.5170998793470547</v>
      </c>
      <c r="J158" s="35">
        <v>3.5272387823177533</v>
      </c>
      <c r="K158" s="35">
        <v>3.3496909125141583</v>
      </c>
      <c r="L158" s="35">
        <v>3.4119338753387534</v>
      </c>
      <c r="M158" s="104">
        <f t="shared" si="7"/>
        <v>2027</v>
      </c>
      <c r="N158" s="3"/>
      <c r="O158" s="3"/>
    </row>
    <row r="159" spans="8:15">
      <c r="H159" s="31">
        <v>46692</v>
      </c>
      <c r="I159" s="35">
        <v>3.8618225803508062</v>
      </c>
      <c r="J159" s="35">
        <v>3.8719614833215052</v>
      </c>
      <c r="K159" s="35">
        <v>3.8623245210414474</v>
      </c>
      <c r="L159" s="35">
        <v>3.627732329619592</v>
      </c>
      <c r="M159" s="104">
        <f t="shared" si="7"/>
        <v>2027</v>
      </c>
      <c r="N159" s="3"/>
      <c r="O159" s="3"/>
    </row>
    <row r="160" spans="8:15">
      <c r="H160" s="31">
        <v>46722</v>
      </c>
      <c r="I160" s="35">
        <v>4.1558507665010644</v>
      </c>
      <c r="J160" s="35">
        <v>4.1659896694717631</v>
      </c>
      <c r="K160" s="35">
        <v>4.1367647357075716</v>
      </c>
      <c r="L160" s="35">
        <v>3.8786607648298701</v>
      </c>
      <c r="M160" s="104">
        <f t="shared" ref="M160:M223" si="9">YEAR(H160)</f>
        <v>2027</v>
      </c>
      <c r="N160" s="3"/>
      <c r="O160" s="3"/>
    </row>
    <row r="161" spans="8:15">
      <c r="H161" s="31">
        <v>46753</v>
      </c>
      <c r="I161" s="35">
        <v>4.1558507665010644</v>
      </c>
      <c r="J161" s="35">
        <v>4.1659896694717631</v>
      </c>
      <c r="K161" s="35">
        <v>4.1678334392546805</v>
      </c>
      <c r="L161" s="35">
        <v>3.9101773762922813</v>
      </c>
      <c r="M161" s="104">
        <f t="shared" si="9"/>
        <v>2028</v>
      </c>
      <c r="N161" s="3"/>
      <c r="O161" s="3"/>
    </row>
    <row r="162" spans="8:15">
      <c r="H162" s="31">
        <v>46784</v>
      </c>
      <c r="I162" s="35">
        <v>4.0848784457061749</v>
      </c>
      <c r="J162" s="35">
        <v>4.0950173486768735</v>
      </c>
      <c r="K162" s="35">
        <v>4.0280242732926927</v>
      </c>
      <c r="L162" s="35">
        <v>3.80589151861889</v>
      </c>
      <c r="M162" s="104">
        <f t="shared" si="9"/>
        <v>2028</v>
      </c>
      <c r="N162" s="3"/>
      <c r="O162" s="3"/>
    </row>
    <row r="163" spans="8:15">
      <c r="H163" s="31">
        <v>46813</v>
      </c>
      <c r="I163" s="35">
        <v>3.8516836773801075</v>
      </c>
      <c r="J163" s="35">
        <v>3.8618225803508062</v>
      </c>
      <c r="K163" s="35">
        <v>3.7846527621736765</v>
      </c>
      <c r="L163" s="35">
        <v>3.5900930643380509</v>
      </c>
      <c r="M163" s="104">
        <f t="shared" si="9"/>
        <v>2028</v>
      </c>
      <c r="N163" s="3"/>
      <c r="O163" s="3"/>
    </row>
    <row r="164" spans="8:15">
      <c r="H164" s="31">
        <v>46844</v>
      </c>
      <c r="I164" s="35">
        <v>3.5069609763763561</v>
      </c>
      <c r="J164" s="35">
        <v>3.5170998793470551</v>
      </c>
      <c r="K164" s="35">
        <v>3.375581498803415</v>
      </c>
      <c r="L164" s="35">
        <v>3.4445545719160897</v>
      </c>
      <c r="M164" s="104">
        <f t="shared" si="9"/>
        <v>2028</v>
      </c>
      <c r="N164" s="3"/>
      <c r="O164" s="3"/>
    </row>
    <row r="165" spans="8:15">
      <c r="H165" s="31">
        <v>46874</v>
      </c>
      <c r="I165" s="35">
        <v>3.4866831704349592</v>
      </c>
      <c r="J165" s="35">
        <v>3.4968220734056579</v>
      </c>
      <c r="K165" s="35">
        <v>3.2823753881620901</v>
      </c>
      <c r="L165" s="35">
        <v>3.3391646291277728</v>
      </c>
      <c r="M165" s="104">
        <f t="shared" si="9"/>
        <v>2028</v>
      </c>
      <c r="N165" s="3"/>
      <c r="O165" s="3"/>
    </row>
    <row r="166" spans="8:15">
      <c r="H166" s="31">
        <v>46905</v>
      </c>
      <c r="I166" s="35">
        <v>3.5475165882591506</v>
      </c>
      <c r="J166" s="35">
        <v>3.5576554912298493</v>
      </c>
      <c r="K166" s="35">
        <v>3.3289784434827525</v>
      </c>
      <c r="L166" s="35">
        <v>3.42698958145137</v>
      </c>
      <c r="M166" s="104">
        <f t="shared" si="9"/>
        <v>2028</v>
      </c>
      <c r="N166" s="3"/>
      <c r="O166" s="3"/>
    </row>
    <row r="167" spans="8:15">
      <c r="H167" s="31">
        <v>46935</v>
      </c>
      <c r="I167" s="35">
        <v>3.7908502595559161</v>
      </c>
      <c r="J167" s="35">
        <v>3.8009891625266148</v>
      </c>
      <c r="K167" s="35">
        <v>3.3704033815455636</v>
      </c>
      <c r="L167" s="35">
        <v>3.5900930643380509</v>
      </c>
      <c r="M167" s="104">
        <f t="shared" si="9"/>
        <v>2028</v>
      </c>
      <c r="N167" s="3"/>
      <c r="O167" s="3"/>
    </row>
    <row r="168" spans="8:15">
      <c r="H168" s="31">
        <v>46966</v>
      </c>
      <c r="I168" s="35">
        <v>3.811128065497313</v>
      </c>
      <c r="J168" s="35">
        <v>3.8212669684680121</v>
      </c>
      <c r="K168" s="35">
        <v>3.4895000784761461</v>
      </c>
      <c r="L168" s="35">
        <v>3.6076580548027701</v>
      </c>
      <c r="M168" s="104">
        <f t="shared" si="9"/>
        <v>2028</v>
      </c>
      <c r="N168" s="3"/>
      <c r="O168" s="3"/>
    </row>
    <row r="169" spans="8:15">
      <c r="H169" s="31">
        <v>46997</v>
      </c>
      <c r="I169" s="35">
        <v>3.7908502595559161</v>
      </c>
      <c r="J169" s="35">
        <v>3.8009891625266148</v>
      </c>
      <c r="K169" s="35">
        <v>3.4532532576711858</v>
      </c>
      <c r="L169" s="35">
        <v>3.6026394860985644</v>
      </c>
      <c r="M169" s="104">
        <f t="shared" si="9"/>
        <v>2028</v>
      </c>
      <c r="N169" s="3"/>
      <c r="O169" s="3"/>
    </row>
    <row r="170" spans="8:15">
      <c r="H170" s="31">
        <v>47027</v>
      </c>
      <c r="I170" s="35">
        <v>3.7502946476731216</v>
      </c>
      <c r="J170" s="35">
        <v>3.7604335506438207</v>
      </c>
      <c r="K170" s="35">
        <v>3.5930624236331741</v>
      </c>
      <c r="L170" s="35">
        <v>3.6427880357322091</v>
      </c>
      <c r="M170" s="104">
        <f t="shared" si="9"/>
        <v>2028</v>
      </c>
      <c r="N170" s="3"/>
      <c r="O170" s="3"/>
    </row>
    <row r="171" spans="8:15">
      <c r="H171" s="31">
        <v>47058</v>
      </c>
      <c r="I171" s="35">
        <v>4.1152951546182699</v>
      </c>
      <c r="J171" s="35">
        <v>4.1254340575889685</v>
      </c>
      <c r="K171" s="35">
        <v>4.1160522666761663</v>
      </c>
      <c r="L171" s="35">
        <v>3.8786607648298701</v>
      </c>
      <c r="M171" s="104">
        <f t="shared" si="9"/>
        <v>2028</v>
      </c>
      <c r="N171" s="3"/>
      <c r="O171" s="3"/>
    </row>
    <row r="172" spans="8:15">
      <c r="H172" s="31">
        <v>47088</v>
      </c>
      <c r="I172" s="35">
        <v>4.4296011467099268</v>
      </c>
      <c r="J172" s="35">
        <v>4.4397400496806245</v>
      </c>
      <c r="K172" s="35">
        <v>4.4267393021472508</v>
      </c>
      <c r="L172" s="35">
        <v>4.149663474856971</v>
      </c>
      <c r="M172" s="104">
        <f t="shared" si="9"/>
        <v>2028</v>
      </c>
      <c r="N172" s="3"/>
      <c r="O172" s="3"/>
    </row>
    <row r="173" spans="8:15">
      <c r="H173" s="31">
        <v>47119</v>
      </c>
      <c r="I173" s="35">
        <v>4.4296011467099268</v>
      </c>
      <c r="J173" s="35">
        <v>4.4397400496806245</v>
      </c>
      <c r="K173" s="35">
        <v>4.4422736539208048</v>
      </c>
      <c r="L173" s="35">
        <v>4.1811800863193813</v>
      </c>
      <c r="M173" s="104">
        <f t="shared" si="9"/>
        <v>2029</v>
      </c>
      <c r="N173" s="3"/>
      <c r="O173" s="3"/>
    </row>
    <row r="174" spans="8:15">
      <c r="H174" s="31">
        <v>47150</v>
      </c>
      <c r="I174" s="35">
        <v>4.3789066318564336</v>
      </c>
      <c r="J174" s="35">
        <v>4.3890455348271322</v>
      </c>
      <c r="K174" s="35">
        <v>4.3490675432794799</v>
      </c>
      <c r="L174" s="35">
        <v>4.0969685034628123</v>
      </c>
      <c r="M174" s="104">
        <f t="shared" si="9"/>
        <v>2029</v>
      </c>
      <c r="N174" s="3"/>
      <c r="O174" s="3"/>
    </row>
    <row r="175" spans="8:15">
      <c r="H175" s="31">
        <v>47178</v>
      </c>
      <c r="I175" s="35">
        <v>4.1152951546182699</v>
      </c>
      <c r="J175" s="35">
        <v>4.1254340575889685</v>
      </c>
      <c r="K175" s="35">
        <v>4.0332023905505441</v>
      </c>
      <c r="L175" s="35">
        <v>3.8510586369567399</v>
      </c>
      <c r="M175" s="104">
        <f t="shared" si="9"/>
        <v>2029</v>
      </c>
      <c r="N175" s="3"/>
      <c r="O175" s="3"/>
    </row>
    <row r="176" spans="8:15">
      <c r="H176" s="31">
        <v>47209</v>
      </c>
      <c r="I176" s="35">
        <v>3.7502946476731216</v>
      </c>
      <c r="J176" s="35">
        <v>3.7604335506438207</v>
      </c>
      <c r="K176" s="35">
        <v>3.727693472337311</v>
      </c>
      <c r="L176" s="35">
        <v>3.6854458697179564</v>
      </c>
      <c r="M176" s="104">
        <f t="shared" si="9"/>
        <v>2029</v>
      </c>
      <c r="N176" s="3"/>
      <c r="O176" s="3"/>
    </row>
    <row r="177" spans="8:15">
      <c r="H177" s="31">
        <v>47239</v>
      </c>
      <c r="I177" s="35">
        <v>3.7604335506438207</v>
      </c>
      <c r="J177" s="35">
        <v>3.7705724536145193</v>
      </c>
      <c r="K177" s="35">
        <v>3.5827061891174719</v>
      </c>
      <c r="L177" s="35">
        <v>3.6101673391548728</v>
      </c>
      <c r="M177" s="104">
        <f t="shared" si="9"/>
        <v>2029</v>
      </c>
      <c r="N177" s="3"/>
      <c r="O177" s="3"/>
    </row>
    <row r="178" spans="8:15">
      <c r="H178" s="31">
        <v>47270</v>
      </c>
      <c r="I178" s="35">
        <v>3.8212669684680121</v>
      </c>
      <c r="J178" s="35">
        <v>3.8314058714387107</v>
      </c>
      <c r="K178" s="35">
        <v>3.6085967754067285</v>
      </c>
      <c r="L178" s="35">
        <v>3.6979922914784704</v>
      </c>
      <c r="M178" s="104">
        <f t="shared" si="9"/>
        <v>2029</v>
      </c>
      <c r="N178" s="3"/>
      <c r="O178" s="3"/>
    </row>
    <row r="179" spans="8:15">
      <c r="H179" s="31">
        <v>47300</v>
      </c>
      <c r="I179" s="35">
        <v>4.1152951546182699</v>
      </c>
      <c r="J179" s="35">
        <v>4.1254340575889685</v>
      </c>
      <c r="K179" s="35">
        <v>3.7535840586265681</v>
      </c>
      <c r="L179" s="35">
        <v>3.9112814614072065</v>
      </c>
      <c r="M179" s="104">
        <f t="shared" si="9"/>
        <v>2029</v>
      </c>
      <c r="N179" s="3"/>
      <c r="O179" s="3"/>
    </row>
    <row r="180" spans="8:15">
      <c r="H180" s="31">
        <v>47331</v>
      </c>
      <c r="I180" s="35">
        <v>4.1355729605596681</v>
      </c>
      <c r="J180" s="35">
        <v>4.1457118635303658</v>
      </c>
      <c r="K180" s="35">
        <v>3.8571464037835956</v>
      </c>
      <c r="L180" s="35">
        <v>3.9288464518719262</v>
      </c>
      <c r="M180" s="104">
        <f t="shared" si="9"/>
        <v>2029</v>
      </c>
      <c r="N180" s="3"/>
      <c r="O180" s="3"/>
    </row>
    <row r="181" spans="8:15">
      <c r="H181" s="31">
        <v>47362</v>
      </c>
      <c r="I181" s="35">
        <v>4.1355729605596681</v>
      </c>
      <c r="J181" s="35">
        <v>4.1457118635303658</v>
      </c>
      <c r="K181" s="35">
        <v>3.815721465720785</v>
      </c>
      <c r="L181" s="35">
        <v>3.9439021579845424</v>
      </c>
      <c r="M181" s="104">
        <f t="shared" si="9"/>
        <v>2029</v>
      </c>
      <c r="N181" s="3"/>
      <c r="O181" s="3"/>
    </row>
    <row r="182" spans="8:15">
      <c r="H182" s="31">
        <v>47392</v>
      </c>
      <c r="I182" s="35">
        <v>3.9125170952042989</v>
      </c>
      <c r="J182" s="35">
        <v>3.922655998174998</v>
      </c>
      <c r="K182" s="35">
        <v>3.7898308794315279</v>
      </c>
      <c r="L182" s="35">
        <v>3.8033822342667869</v>
      </c>
      <c r="M182" s="104">
        <f t="shared" si="9"/>
        <v>2029</v>
      </c>
      <c r="N182" s="3"/>
      <c r="O182" s="3"/>
    </row>
    <row r="183" spans="8:15">
      <c r="H183" s="31">
        <v>47423</v>
      </c>
      <c r="I183" s="35">
        <v>4.3282121170029404</v>
      </c>
      <c r="J183" s="35">
        <v>4.3383510199736381</v>
      </c>
      <c r="K183" s="35">
        <v>4.333533191505925</v>
      </c>
      <c r="L183" s="35">
        <v>4.0894406504065035</v>
      </c>
      <c r="M183" s="104">
        <f t="shared" si="9"/>
        <v>2029</v>
      </c>
      <c r="N183" s="3"/>
      <c r="O183" s="3"/>
    </row>
    <row r="184" spans="8:15">
      <c r="H184" s="31">
        <v>47453</v>
      </c>
      <c r="I184" s="35">
        <v>4.6932126239480887</v>
      </c>
      <c r="J184" s="35">
        <v>4.7033515269187873</v>
      </c>
      <c r="K184" s="35">
        <v>4.6701108132662661</v>
      </c>
      <c r="L184" s="35">
        <v>4.41062904747566</v>
      </c>
      <c r="M184" s="104">
        <f t="shared" si="9"/>
        <v>2029</v>
      </c>
      <c r="N184" s="3"/>
      <c r="O184" s="3"/>
    </row>
    <row r="185" spans="8:15">
      <c r="H185" s="31">
        <v>47484</v>
      </c>
      <c r="I185" s="35">
        <v>4.7439071388015819</v>
      </c>
      <c r="J185" s="35">
        <v>4.7540460417722796</v>
      </c>
      <c r="K185" s="35">
        <v>4.7270701031026325</v>
      </c>
      <c r="L185" s="35">
        <v>4.4923313459801255</v>
      </c>
      <c r="M185" s="104">
        <f t="shared" si="9"/>
        <v>2030</v>
      </c>
      <c r="N185" s="3"/>
      <c r="O185" s="3"/>
    </row>
    <row r="186" spans="8:15">
      <c r="H186" s="31">
        <v>47515</v>
      </c>
      <c r="I186" s="35">
        <v>4.6323792061238978</v>
      </c>
      <c r="J186" s="35">
        <v>4.6425181090945964</v>
      </c>
      <c r="K186" s="35">
        <v>4.6286858752034554</v>
      </c>
      <c r="L186" s="35">
        <v>4.3478969386730908</v>
      </c>
      <c r="M186" s="104">
        <f t="shared" si="9"/>
        <v>2030</v>
      </c>
      <c r="N186" s="3"/>
      <c r="O186" s="3"/>
    </row>
    <row r="187" spans="8:15">
      <c r="H187" s="31">
        <v>47543</v>
      </c>
      <c r="I187" s="35">
        <v>4.4701567585927204</v>
      </c>
      <c r="J187" s="35">
        <v>4.4802956615634191</v>
      </c>
      <c r="K187" s="35">
        <v>4.3956705986001428</v>
      </c>
      <c r="L187" s="35">
        <v>4.2023584462511288</v>
      </c>
      <c r="M187" s="104">
        <f t="shared" si="9"/>
        <v>2030</v>
      </c>
      <c r="N187" s="3"/>
      <c r="O187" s="3"/>
    </row>
    <row r="188" spans="8:15">
      <c r="H188" s="31">
        <v>47574</v>
      </c>
      <c r="I188" s="35">
        <v>4.1355729605596681</v>
      </c>
      <c r="J188" s="35">
        <v>4.1457118635303658</v>
      </c>
      <c r="K188" s="35">
        <v>4.0280242732926927</v>
      </c>
      <c r="L188" s="35">
        <v>4.066857091237579</v>
      </c>
      <c r="M188" s="104">
        <f t="shared" si="9"/>
        <v>2030</v>
      </c>
      <c r="N188" s="3"/>
      <c r="O188" s="3"/>
    </row>
    <row r="189" spans="8:15">
      <c r="H189" s="31">
        <v>47604</v>
      </c>
      <c r="I189" s="35">
        <v>4.0950173486768735</v>
      </c>
      <c r="J189" s="35">
        <v>4.1051562516475721</v>
      </c>
      <c r="K189" s="35">
        <v>3.9451743971670692</v>
      </c>
      <c r="L189" s="35">
        <v>3.9413928736324397</v>
      </c>
      <c r="M189" s="104">
        <f t="shared" si="9"/>
        <v>2030</v>
      </c>
      <c r="N189" s="3"/>
      <c r="O189" s="3"/>
    </row>
    <row r="190" spans="8:15">
      <c r="H190" s="31">
        <v>47635</v>
      </c>
      <c r="I190" s="35">
        <v>4.0950173486768735</v>
      </c>
      <c r="J190" s="35">
        <v>4.1051562516475721</v>
      </c>
      <c r="K190" s="35">
        <v>3.9141056936199616</v>
      </c>
      <c r="L190" s="35">
        <v>3.9689950015055708</v>
      </c>
      <c r="M190" s="104">
        <f t="shared" si="9"/>
        <v>2030</v>
      </c>
      <c r="N190" s="3"/>
      <c r="O190" s="3"/>
    </row>
    <row r="191" spans="8:15">
      <c r="H191" s="31">
        <v>47665</v>
      </c>
      <c r="I191" s="35">
        <v>4.3180732140322418</v>
      </c>
      <c r="J191" s="35">
        <v>4.3282121170029404</v>
      </c>
      <c r="K191" s="35">
        <v>4.0539148595819494</v>
      </c>
      <c r="L191" s="35">
        <v>4.1120242095754289</v>
      </c>
      <c r="M191" s="104">
        <f t="shared" si="9"/>
        <v>2030</v>
      </c>
      <c r="N191" s="3"/>
      <c r="O191" s="3"/>
    </row>
    <row r="192" spans="8:15">
      <c r="H192" s="31">
        <v>47696</v>
      </c>
      <c r="I192" s="35">
        <v>4.3586288259150363</v>
      </c>
      <c r="J192" s="35">
        <v>4.3687677288857341</v>
      </c>
      <c r="K192" s="35">
        <v>4.1212303839340176</v>
      </c>
      <c r="L192" s="35">
        <v>4.149663474856971</v>
      </c>
      <c r="M192" s="104">
        <f t="shared" si="9"/>
        <v>2030</v>
      </c>
      <c r="N192" s="3"/>
      <c r="O192" s="3"/>
    </row>
    <row r="193" spans="8:15">
      <c r="H193" s="31">
        <v>47727</v>
      </c>
      <c r="I193" s="35">
        <v>4.3079343110615431</v>
      </c>
      <c r="J193" s="35">
        <v>4.3180732140322418</v>
      </c>
      <c r="K193" s="35">
        <v>4.0280242732926927</v>
      </c>
      <c r="L193" s="35">
        <v>4.1145334939275315</v>
      </c>
      <c r="M193" s="104">
        <f t="shared" si="9"/>
        <v>2030</v>
      </c>
      <c r="N193" s="3"/>
      <c r="O193" s="3"/>
    </row>
    <row r="194" spans="8:15">
      <c r="H194" s="31">
        <v>47757</v>
      </c>
      <c r="I194" s="35">
        <v>4.3079343110615431</v>
      </c>
      <c r="J194" s="35">
        <v>4.3180732140322418</v>
      </c>
      <c r="K194" s="35">
        <v>4.1522990874811256</v>
      </c>
      <c r="L194" s="35">
        <v>4.1948305931948209</v>
      </c>
      <c r="M194" s="104">
        <f t="shared" si="9"/>
        <v>2030</v>
      </c>
      <c r="N194" s="3"/>
      <c r="O194" s="3"/>
    </row>
    <row r="195" spans="8:15">
      <c r="H195" s="31">
        <v>47788</v>
      </c>
      <c r="I195" s="35">
        <v>4.6830737209773909</v>
      </c>
      <c r="J195" s="35">
        <v>4.6932126239480887</v>
      </c>
      <c r="K195" s="35">
        <v>4.7374263376183361</v>
      </c>
      <c r="L195" s="35">
        <v>4.4407404597008933</v>
      </c>
      <c r="M195" s="104">
        <f t="shared" si="9"/>
        <v>2030</v>
      </c>
      <c r="N195" s="3"/>
      <c r="O195" s="3"/>
    </row>
    <row r="196" spans="8:15">
      <c r="H196" s="31">
        <v>47818</v>
      </c>
      <c r="I196" s="35">
        <v>4.997379713069046</v>
      </c>
      <c r="J196" s="35">
        <v>5.0075186160397447</v>
      </c>
      <c r="K196" s="35">
        <v>4.9963322005109054</v>
      </c>
      <c r="L196" s="35">
        <v>4.7117431697279937</v>
      </c>
      <c r="M196" s="104">
        <f t="shared" si="9"/>
        <v>2030</v>
      </c>
      <c r="N196" s="3"/>
      <c r="O196" s="3"/>
    </row>
    <row r="197" spans="8:15">
      <c r="H197" s="31">
        <v>47849</v>
      </c>
      <c r="I197" s="35">
        <v>5.0582131308932379</v>
      </c>
      <c r="J197" s="35">
        <v>5.0683520338639365</v>
      </c>
      <c r="K197" s="35">
        <v>5.0429352558315692</v>
      </c>
      <c r="L197" s="35">
        <v>4.8034826056408715</v>
      </c>
      <c r="M197" s="104">
        <f t="shared" si="9"/>
        <v>2031</v>
      </c>
      <c r="N197" s="3"/>
      <c r="O197" s="3"/>
    </row>
    <row r="198" spans="8:15">
      <c r="H198" s="31">
        <v>47880</v>
      </c>
      <c r="I198" s="35">
        <v>4.9264073922741565</v>
      </c>
      <c r="J198" s="35">
        <v>4.9365462952448551</v>
      </c>
      <c r="K198" s="35">
        <v>4.9290166761588372</v>
      </c>
      <c r="L198" s="35">
        <v>4.6389739235170131</v>
      </c>
      <c r="M198" s="104">
        <f t="shared" si="9"/>
        <v>2031</v>
      </c>
      <c r="N198" s="3"/>
      <c r="O198" s="3"/>
    </row>
    <row r="199" spans="8:15">
      <c r="H199" s="31">
        <v>47908</v>
      </c>
      <c r="I199" s="35">
        <v>4.7844627506843755</v>
      </c>
      <c r="J199" s="35">
        <v>4.7946016536550742</v>
      </c>
      <c r="K199" s="35">
        <v>4.6960013995555245</v>
      </c>
      <c r="L199" s="35">
        <v>4.5135097059118738</v>
      </c>
      <c r="M199" s="104">
        <f t="shared" si="9"/>
        <v>2031</v>
      </c>
      <c r="N199" s="3"/>
      <c r="O199" s="3"/>
    </row>
    <row r="200" spans="8:15">
      <c r="H200" s="31">
        <v>47939</v>
      </c>
      <c r="I200" s="35">
        <v>4.3586288259150363</v>
      </c>
      <c r="J200" s="35">
        <v>4.3687677288857341</v>
      </c>
      <c r="K200" s="35">
        <v>4.1937240255439372</v>
      </c>
      <c r="L200" s="35">
        <v>4.2876741142226233</v>
      </c>
      <c r="M200" s="104">
        <f t="shared" si="9"/>
        <v>2031</v>
      </c>
      <c r="N200" s="3"/>
      <c r="O200" s="3"/>
    </row>
    <row r="201" spans="8:15">
      <c r="H201" s="31">
        <v>47969</v>
      </c>
      <c r="I201" s="35">
        <v>4.3180732140322418</v>
      </c>
      <c r="J201" s="35">
        <v>4.3282121170029404</v>
      </c>
      <c r="K201" s="35">
        <v>4.1056960321604636</v>
      </c>
      <c r="L201" s="35">
        <v>4.1622098966174841</v>
      </c>
      <c r="M201" s="104">
        <f t="shared" si="9"/>
        <v>2031</v>
      </c>
      <c r="N201" s="3"/>
      <c r="O201" s="3"/>
    </row>
    <row r="202" spans="8:15">
      <c r="H202" s="31">
        <v>48000</v>
      </c>
      <c r="I202" s="35">
        <v>4.3282121170029404</v>
      </c>
      <c r="J202" s="35">
        <v>4.3383510199736381</v>
      </c>
      <c r="K202" s="35">
        <v>4.0539148595819494</v>
      </c>
      <c r="L202" s="35">
        <v>4.1998491618990261</v>
      </c>
      <c r="M202" s="104">
        <f t="shared" si="9"/>
        <v>2031</v>
      </c>
      <c r="N202" s="3"/>
      <c r="O202" s="3"/>
    </row>
    <row r="203" spans="8:15">
      <c r="H203" s="31">
        <v>48030</v>
      </c>
      <c r="I203" s="35">
        <v>4.4904345645341177</v>
      </c>
      <c r="J203" s="35">
        <v>4.5005734675048155</v>
      </c>
      <c r="K203" s="35">
        <v>4.0746273286133547</v>
      </c>
      <c r="L203" s="35">
        <v>4.2826555455184181</v>
      </c>
      <c r="M203" s="104">
        <f t="shared" si="9"/>
        <v>2031</v>
      </c>
      <c r="N203" s="3"/>
      <c r="O203" s="3"/>
    </row>
    <row r="204" spans="8:15">
      <c r="H204" s="31">
        <v>48061</v>
      </c>
      <c r="I204" s="35">
        <v>4.5309901764169114</v>
      </c>
      <c r="J204" s="35">
        <v>4.54112907938761</v>
      </c>
      <c r="K204" s="35">
        <v>4.1781896737703832</v>
      </c>
      <c r="L204" s="35">
        <v>4.3202948107999601</v>
      </c>
      <c r="M204" s="104">
        <f t="shared" si="9"/>
        <v>2031</v>
      </c>
      <c r="N204" s="3"/>
      <c r="O204" s="3"/>
    </row>
    <row r="205" spans="8:15">
      <c r="H205" s="31">
        <v>48092</v>
      </c>
      <c r="I205" s="35">
        <v>4.4296011467099268</v>
      </c>
      <c r="J205" s="35">
        <v>4.4397400496806245</v>
      </c>
      <c r="K205" s="35">
        <v>4.110874149418315</v>
      </c>
      <c r="L205" s="35">
        <v>4.2349791428284655</v>
      </c>
      <c r="M205" s="104">
        <f t="shared" si="9"/>
        <v>2031</v>
      </c>
      <c r="N205" s="3"/>
      <c r="O205" s="3"/>
    </row>
    <row r="206" spans="8:15">
      <c r="H206" s="31">
        <v>48122</v>
      </c>
      <c r="I206" s="35">
        <v>4.4498789526513232</v>
      </c>
      <c r="J206" s="35">
        <v>4.4600178556220218</v>
      </c>
      <c r="K206" s="35">
        <v>4.2506833153803028</v>
      </c>
      <c r="L206" s="35">
        <v>4.3353505169125759</v>
      </c>
      <c r="M206" s="104">
        <f t="shared" si="9"/>
        <v>2031</v>
      </c>
      <c r="N206" s="3"/>
      <c r="O206" s="3"/>
    </row>
    <row r="207" spans="8:15">
      <c r="H207" s="31">
        <v>48153</v>
      </c>
      <c r="I207" s="35">
        <v>4.7540460417722796</v>
      </c>
      <c r="J207" s="35">
        <v>4.7641849447429783</v>
      </c>
      <c r="K207" s="35">
        <v>4.7736731584232954</v>
      </c>
      <c r="L207" s="35">
        <v>4.5110004215597712</v>
      </c>
      <c r="M207" s="104">
        <f t="shared" si="9"/>
        <v>2031</v>
      </c>
      <c r="N207" s="3"/>
      <c r="O207" s="3"/>
    </row>
    <row r="208" spans="8:15">
      <c r="H208" s="31">
        <v>48183</v>
      </c>
      <c r="I208" s="35">
        <v>5.0176575190104433</v>
      </c>
      <c r="J208" s="35">
        <v>5.027796421981142</v>
      </c>
      <c r="K208" s="35">
        <v>5.006688435026609</v>
      </c>
      <c r="L208" s="35">
        <v>4.7318174445448165</v>
      </c>
      <c r="M208" s="104">
        <f t="shared" si="9"/>
        <v>2031</v>
      </c>
      <c r="N208" s="3"/>
      <c r="O208" s="3"/>
    </row>
    <row r="209" spans="8:15">
      <c r="H209" s="31">
        <v>48214</v>
      </c>
      <c r="I209" s="35">
        <v>5.0582131308932379</v>
      </c>
      <c r="J209" s="35">
        <v>5.0683520338639365</v>
      </c>
      <c r="K209" s="35">
        <v>5.0481133730894205</v>
      </c>
      <c r="L209" s="35">
        <v>4.8034826056408715</v>
      </c>
      <c r="M209" s="104">
        <f t="shared" si="9"/>
        <v>2032</v>
      </c>
      <c r="N209" s="3"/>
      <c r="O209" s="3"/>
    </row>
    <row r="210" spans="8:15">
      <c r="H210" s="31">
        <v>48245</v>
      </c>
      <c r="I210" s="35">
        <v>4.8452961685085683</v>
      </c>
      <c r="J210" s="35">
        <v>4.855435071479266</v>
      </c>
      <c r="K210" s="35">
        <v>4.846166800033215</v>
      </c>
      <c r="L210" s="35">
        <v>4.5586768242497238</v>
      </c>
      <c r="M210" s="104">
        <f t="shared" si="9"/>
        <v>2032</v>
      </c>
      <c r="N210" s="3"/>
      <c r="O210" s="3"/>
    </row>
    <row r="211" spans="8:15">
      <c r="H211" s="31">
        <v>48274</v>
      </c>
      <c r="I211" s="35">
        <v>4.6830737209773909</v>
      </c>
      <c r="J211" s="35">
        <v>4.6932126239480887</v>
      </c>
      <c r="K211" s="35">
        <v>4.6027952889141988</v>
      </c>
      <c r="L211" s="35">
        <v>4.4131383318277626</v>
      </c>
      <c r="M211" s="104">
        <f t="shared" si="9"/>
        <v>2032</v>
      </c>
      <c r="N211" s="3"/>
      <c r="O211" s="3"/>
    </row>
    <row r="212" spans="8:15">
      <c r="H212" s="31">
        <v>48305</v>
      </c>
      <c r="I212" s="35">
        <v>4.4194622437392281</v>
      </c>
      <c r="J212" s="35">
        <v>4.4296011467099268</v>
      </c>
      <c r="K212" s="35">
        <v>4.2817520189274116</v>
      </c>
      <c r="L212" s="35">
        <v>4.3478969386730908</v>
      </c>
      <c r="M212" s="104">
        <f t="shared" si="9"/>
        <v>2032</v>
      </c>
      <c r="N212" s="3"/>
      <c r="O212" s="3"/>
    </row>
    <row r="213" spans="8:15">
      <c r="H213" s="31">
        <v>48335</v>
      </c>
      <c r="I213" s="35">
        <v>4.3586288259150363</v>
      </c>
      <c r="J213" s="35">
        <v>4.3687677288857341</v>
      </c>
      <c r="K213" s="35">
        <v>4.1626553219968283</v>
      </c>
      <c r="L213" s="35">
        <v>4.2023584462511288</v>
      </c>
      <c r="M213" s="104">
        <f t="shared" si="9"/>
        <v>2032</v>
      </c>
      <c r="N213" s="3"/>
      <c r="O213" s="3"/>
    </row>
    <row r="214" spans="8:15">
      <c r="H214" s="31">
        <v>48366</v>
      </c>
      <c r="I214" s="35">
        <v>4.3890455348271322</v>
      </c>
      <c r="J214" s="35">
        <v>4.39918443779783</v>
      </c>
      <c r="K214" s="35">
        <v>4.1522990874811265</v>
      </c>
      <c r="L214" s="35">
        <v>4.2600719863494927</v>
      </c>
      <c r="M214" s="104">
        <f t="shared" si="9"/>
        <v>2032</v>
      </c>
      <c r="N214" s="3"/>
      <c r="O214" s="3"/>
    </row>
    <row r="215" spans="8:15">
      <c r="H215" s="31">
        <v>48396</v>
      </c>
      <c r="I215" s="35">
        <v>4.5005734675048155</v>
      </c>
      <c r="J215" s="35">
        <v>4.5107123704755141</v>
      </c>
      <c r="K215" s="35">
        <v>4.1937240255439372</v>
      </c>
      <c r="L215" s="35">
        <v>4.2926926829268295</v>
      </c>
      <c r="M215" s="104">
        <f t="shared" si="9"/>
        <v>2032</v>
      </c>
      <c r="N215" s="3"/>
      <c r="O215" s="3"/>
    </row>
    <row r="216" spans="8:15">
      <c r="H216" s="31">
        <v>48427</v>
      </c>
      <c r="I216" s="35">
        <v>4.5512679823583095</v>
      </c>
      <c r="J216" s="35">
        <v>4.5614068853290073</v>
      </c>
      <c r="K216" s="35">
        <v>4.271395784411709</v>
      </c>
      <c r="L216" s="35">
        <v>4.340369085616782</v>
      </c>
      <c r="M216" s="104">
        <f t="shared" si="9"/>
        <v>2032</v>
      </c>
      <c r="N216" s="3"/>
      <c r="O216" s="3"/>
    </row>
    <row r="217" spans="8:15">
      <c r="H217" s="31">
        <v>48458</v>
      </c>
      <c r="I217" s="35">
        <v>4.5208512734462136</v>
      </c>
      <c r="J217" s="35">
        <v>4.5309901764169114</v>
      </c>
      <c r="K217" s="35">
        <v>4.2299708463488974</v>
      </c>
      <c r="L217" s="35">
        <v>4.3253133795041654</v>
      </c>
      <c r="M217" s="104">
        <f t="shared" si="9"/>
        <v>2032</v>
      </c>
      <c r="N217" s="3"/>
      <c r="O217" s="3"/>
    </row>
    <row r="218" spans="8:15">
      <c r="H218" s="31">
        <v>48488</v>
      </c>
      <c r="I218" s="35">
        <v>4.5309901764169114</v>
      </c>
      <c r="J218" s="35">
        <v>4.54112907938761</v>
      </c>
      <c r="K218" s="35">
        <v>4.3646018950530348</v>
      </c>
      <c r="L218" s="35">
        <v>4.4156476161798652</v>
      </c>
      <c r="M218" s="104">
        <f t="shared" si="9"/>
        <v>2032</v>
      </c>
      <c r="N218" s="3"/>
      <c r="O218" s="3"/>
    </row>
    <row r="219" spans="8:15">
      <c r="H219" s="31">
        <v>48519</v>
      </c>
      <c r="I219" s="35">
        <v>4.8757128774206633</v>
      </c>
      <c r="J219" s="35">
        <v>4.885851780391361</v>
      </c>
      <c r="K219" s="35">
        <v>4.9290166761588372</v>
      </c>
      <c r="L219" s="35">
        <v>4.6314460704607043</v>
      </c>
      <c r="M219" s="104">
        <f t="shared" si="9"/>
        <v>2032</v>
      </c>
      <c r="N219" s="3"/>
      <c r="O219" s="3"/>
    </row>
    <row r="220" spans="8:15">
      <c r="H220" s="31">
        <v>48549</v>
      </c>
      <c r="I220" s="35">
        <v>5.2001577724830179</v>
      </c>
      <c r="J220" s="35">
        <v>5.2102966754537157</v>
      </c>
      <c r="K220" s="35">
        <v>5.2138131253406641</v>
      </c>
      <c r="L220" s="35">
        <v>4.9124859178962161</v>
      </c>
      <c r="M220" s="104">
        <f t="shared" si="9"/>
        <v>2032</v>
      </c>
      <c r="N220" s="3"/>
      <c r="O220" s="3"/>
    </row>
    <row r="221" spans="8:15">
      <c r="H221" s="31">
        <v>48580</v>
      </c>
      <c r="I221" s="35">
        <v>5.2508522873365102</v>
      </c>
      <c r="J221" s="35">
        <v>5.2609911903072089</v>
      </c>
      <c r="K221" s="35">
        <v>5.2500599461456243</v>
      </c>
      <c r="L221" s="35">
        <v>4.9941882164006817</v>
      </c>
      <c r="M221" s="104">
        <f t="shared" si="9"/>
        <v>2033</v>
      </c>
      <c r="N221" s="3"/>
      <c r="O221" s="3"/>
    </row>
    <row r="222" spans="8:15">
      <c r="H222" s="31">
        <v>48611</v>
      </c>
      <c r="I222" s="35">
        <v>5.0784909368346343</v>
      </c>
      <c r="J222" s="35">
        <v>5.0886298398053329</v>
      </c>
      <c r="K222" s="35">
        <v>5.0791820766365285</v>
      </c>
      <c r="L222" s="35">
        <v>4.7895309846431795</v>
      </c>
      <c r="M222" s="104">
        <f t="shared" si="9"/>
        <v>2033</v>
      </c>
      <c r="N222" s="3"/>
      <c r="O222" s="3"/>
    </row>
    <row r="223" spans="8:15">
      <c r="H223" s="31">
        <v>48639</v>
      </c>
      <c r="I223" s="35">
        <v>4.8655739744499646</v>
      </c>
      <c r="J223" s="35">
        <v>4.8757128774206633</v>
      </c>
      <c r="K223" s="35">
        <v>4.8047418619704034</v>
      </c>
      <c r="L223" s="35">
        <v>4.5938068051791632</v>
      </c>
      <c r="M223" s="104">
        <f t="shared" si="9"/>
        <v>2033</v>
      </c>
      <c r="N223" s="3"/>
      <c r="O223" s="3"/>
    </row>
    <row r="224" spans="8:15">
      <c r="H224" s="31">
        <v>48670</v>
      </c>
      <c r="I224" s="35">
        <v>4.4600178556220218</v>
      </c>
      <c r="J224" s="35">
        <v>4.4701567585927195</v>
      </c>
      <c r="K224" s="35">
        <v>4.3438894260216276</v>
      </c>
      <c r="L224" s="35">
        <v>4.3880454883067346</v>
      </c>
      <c r="M224" s="104">
        <f t="shared" ref="M224:M311" si="10">YEAR(H224)</f>
        <v>2033</v>
      </c>
      <c r="N224" s="3"/>
      <c r="O224" s="3"/>
    </row>
    <row r="225" spans="8:15">
      <c r="H225" s="31">
        <v>48700</v>
      </c>
      <c r="I225" s="35">
        <v>4.4296011467099268</v>
      </c>
      <c r="J225" s="35">
        <v>4.4397400496806245</v>
      </c>
      <c r="K225" s="35">
        <v>4.3024644879588179</v>
      </c>
      <c r="L225" s="35">
        <v>4.2726184081100067</v>
      </c>
      <c r="M225" s="104">
        <f t="shared" si="10"/>
        <v>2033</v>
      </c>
      <c r="N225" s="3"/>
      <c r="O225" s="3"/>
    </row>
    <row r="226" spans="8:15">
      <c r="H226" s="31">
        <v>48731</v>
      </c>
      <c r="I226" s="35">
        <v>4.4296011467099268</v>
      </c>
      <c r="J226" s="35">
        <v>4.4397400496806245</v>
      </c>
      <c r="K226" s="35">
        <v>4.2817520189274108</v>
      </c>
      <c r="L226" s="35">
        <v>4.3002205359831374</v>
      </c>
      <c r="M226" s="104">
        <f t="shared" si="10"/>
        <v>2033</v>
      </c>
      <c r="N226" s="3"/>
      <c r="O226" s="3"/>
    </row>
    <row r="227" spans="8:15">
      <c r="H227" s="31">
        <v>48761</v>
      </c>
      <c r="I227" s="35">
        <v>4.5918235942411032</v>
      </c>
      <c r="J227" s="35">
        <v>4.6019624972118018</v>
      </c>
      <c r="K227" s="35">
        <v>4.3335331915059259</v>
      </c>
      <c r="L227" s="35">
        <v>4.3830269196025293</v>
      </c>
      <c r="M227" s="104">
        <f t="shared" si="10"/>
        <v>2033</v>
      </c>
      <c r="N227" s="3"/>
      <c r="O227" s="3"/>
    </row>
    <row r="228" spans="8:15">
      <c r="H228" s="31">
        <v>48792</v>
      </c>
      <c r="I228" s="35">
        <v>4.6425181090945964</v>
      </c>
      <c r="J228" s="35">
        <v>4.652657012065295</v>
      </c>
      <c r="K228" s="35">
        <v>4.4112049503736968</v>
      </c>
      <c r="L228" s="35">
        <v>4.4307033222924819</v>
      </c>
      <c r="M228" s="104">
        <f t="shared" si="10"/>
        <v>2033</v>
      </c>
      <c r="N228" s="3"/>
      <c r="O228" s="3"/>
    </row>
    <row r="229" spans="8:15">
      <c r="H229" s="31">
        <v>48823</v>
      </c>
      <c r="I229" s="35">
        <v>4.6425181090945964</v>
      </c>
      <c r="J229" s="35">
        <v>4.652657012065295</v>
      </c>
      <c r="K229" s="35">
        <v>4.3438894260216285</v>
      </c>
      <c r="L229" s="35">
        <v>4.4457590284050994</v>
      </c>
      <c r="M229" s="104">
        <f t="shared" si="10"/>
        <v>2033</v>
      </c>
      <c r="N229" s="3"/>
      <c r="O229" s="3"/>
    </row>
    <row r="230" spans="8:15">
      <c r="H230" s="31">
        <v>48853</v>
      </c>
      <c r="I230" s="35">
        <v>4.6830737209773909</v>
      </c>
      <c r="J230" s="35">
        <v>4.6932126239480887</v>
      </c>
      <c r="K230" s="35">
        <v>4.4836985919836163</v>
      </c>
      <c r="L230" s="35">
        <v>4.5662046773060325</v>
      </c>
      <c r="M230" s="104">
        <f t="shared" si="10"/>
        <v>2033</v>
      </c>
      <c r="N230" s="3"/>
      <c r="O230" s="3"/>
    </row>
    <row r="231" spans="8:15">
      <c r="H231" s="31">
        <v>48884</v>
      </c>
      <c r="I231" s="35">
        <v>4.9771019071276488</v>
      </c>
      <c r="J231" s="35">
        <v>4.9872408100983474</v>
      </c>
      <c r="K231" s="35">
        <v>5.0274009040580152</v>
      </c>
      <c r="L231" s="35">
        <v>4.7318174445448165</v>
      </c>
      <c r="M231" s="104">
        <f t="shared" si="10"/>
        <v>2033</v>
      </c>
      <c r="N231" s="3"/>
      <c r="O231" s="3"/>
    </row>
    <row r="232" spans="8:15">
      <c r="H232" s="31">
        <v>48914</v>
      </c>
      <c r="I232" s="35">
        <v>5.372519122984893</v>
      </c>
      <c r="J232" s="35">
        <v>5.3826580259555916</v>
      </c>
      <c r="K232" s="35">
        <v>5.3846909948497617</v>
      </c>
      <c r="L232" s="35">
        <v>5.0831172538392053</v>
      </c>
      <c r="M232" s="104">
        <f t="shared" si="10"/>
        <v>2033</v>
      </c>
      <c r="N232" s="3"/>
      <c r="O232" s="3"/>
    </row>
    <row r="233" spans="8:15">
      <c r="H233" s="31">
        <v>48945</v>
      </c>
      <c r="I233" s="35">
        <v>5.4130747348676875</v>
      </c>
      <c r="J233" s="35">
        <v>5.4232136378383862</v>
      </c>
      <c r="K233" s="35">
        <v>5.4261159329125723</v>
      </c>
      <c r="L233" s="35">
        <v>5.1547824149352603</v>
      </c>
      <c r="M233" s="104">
        <f t="shared" si="10"/>
        <v>2034</v>
      </c>
      <c r="N233" s="3"/>
      <c r="O233" s="3"/>
    </row>
    <row r="234" spans="8:15">
      <c r="H234" s="31">
        <v>48976</v>
      </c>
      <c r="I234" s="35">
        <v>5.2001577724830179</v>
      </c>
      <c r="J234" s="35">
        <v>5.2102966754537157</v>
      </c>
      <c r="K234" s="35">
        <v>5.2034568908249632</v>
      </c>
      <c r="L234" s="35">
        <v>4.9099766335441126</v>
      </c>
      <c r="M234" s="104">
        <f t="shared" si="10"/>
        <v>2034</v>
      </c>
      <c r="N234" s="3"/>
      <c r="O234" s="3"/>
    </row>
    <row r="235" spans="8:15">
      <c r="H235" s="31">
        <v>49004</v>
      </c>
      <c r="I235" s="35">
        <v>5.0582131308932379</v>
      </c>
      <c r="J235" s="35">
        <v>5.0683520338639365</v>
      </c>
      <c r="K235" s="35">
        <v>4.9549072624480939</v>
      </c>
      <c r="L235" s="35">
        <v>4.7845124159389734</v>
      </c>
      <c r="M235" s="104">
        <f t="shared" si="10"/>
        <v>2034</v>
      </c>
      <c r="N235" s="3"/>
      <c r="O235" s="3"/>
    </row>
    <row r="236" spans="8:15">
      <c r="H236" s="31">
        <v>49035</v>
      </c>
      <c r="I236" s="35">
        <v>4.6222403031531991</v>
      </c>
      <c r="J236" s="35">
        <v>4.6323792061238969</v>
      </c>
      <c r="K236" s="35">
        <v>4.4215611848893985</v>
      </c>
      <c r="L236" s="35">
        <v>4.5486396868413133</v>
      </c>
      <c r="M236" s="104">
        <f t="shared" si="10"/>
        <v>2034</v>
      </c>
      <c r="N236" s="3"/>
      <c r="O236" s="3"/>
    </row>
    <row r="237" spans="8:15">
      <c r="H237" s="31">
        <v>49065</v>
      </c>
      <c r="I237" s="35">
        <v>4.6019624972118018</v>
      </c>
      <c r="J237" s="35">
        <v>4.6121014001825005</v>
      </c>
      <c r="K237" s="35">
        <v>4.3646018950530348</v>
      </c>
      <c r="L237" s="35">
        <v>4.4432497440529959</v>
      </c>
      <c r="M237" s="104">
        <f t="shared" si="10"/>
        <v>2034</v>
      </c>
      <c r="N237" s="3"/>
      <c r="O237" s="3"/>
    </row>
    <row r="238" spans="8:15">
      <c r="H238" s="31">
        <v>49096</v>
      </c>
      <c r="I238" s="35">
        <v>4.6222403031531991</v>
      </c>
      <c r="J238" s="35">
        <v>4.6323792061238969</v>
      </c>
      <c r="K238" s="35">
        <v>4.3697800123108861</v>
      </c>
      <c r="L238" s="35">
        <v>4.4909261467429493</v>
      </c>
      <c r="M238" s="104">
        <f t="shared" si="10"/>
        <v>2034</v>
      </c>
      <c r="N238" s="3"/>
      <c r="O238" s="3"/>
    </row>
    <row r="239" spans="8:15">
      <c r="H239" s="31">
        <v>49126</v>
      </c>
      <c r="I239" s="35">
        <v>4.7743238477136778</v>
      </c>
      <c r="J239" s="35">
        <v>4.7844627506843755</v>
      </c>
      <c r="K239" s="35">
        <v>4.4319174194051021</v>
      </c>
      <c r="L239" s="35">
        <v>4.563695392953929</v>
      </c>
      <c r="M239" s="104">
        <f t="shared" si="10"/>
        <v>2034</v>
      </c>
      <c r="N239" s="3"/>
      <c r="O239" s="3"/>
    </row>
    <row r="240" spans="8:15">
      <c r="H240" s="31">
        <v>49157</v>
      </c>
      <c r="I240" s="35">
        <v>4.8250183625671701</v>
      </c>
      <c r="J240" s="35">
        <v>4.8351572655378687</v>
      </c>
      <c r="K240" s="35">
        <v>4.5044110610150216</v>
      </c>
      <c r="L240" s="35">
        <v>4.6113717956438824</v>
      </c>
      <c r="M240" s="104">
        <f t="shared" si="10"/>
        <v>2034</v>
      </c>
      <c r="N240" s="3"/>
      <c r="O240" s="3"/>
    </row>
    <row r="241" spans="8:15">
      <c r="H241" s="31">
        <v>49188</v>
      </c>
      <c r="I241" s="35">
        <v>4.7946016536550742</v>
      </c>
      <c r="J241" s="35">
        <v>4.8047405566257728</v>
      </c>
      <c r="K241" s="35">
        <v>4.4215611848893994</v>
      </c>
      <c r="L241" s="35">
        <v>4.5963160895312649</v>
      </c>
      <c r="M241" s="104">
        <f t="shared" si="10"/>
        <v>2034</v>
      </c>
      <c r="N241" s="3"/>
      <c r="O241" s="3"/>
    </row>
    <row r="242" spans="8:15">
      <c r="H242" s="31">
        <v>49218</v>
      </c>
      <c r="I242" s="35">
        <v>4.8047405566257737</v>
      </c>
      <c r="J242" s="35">
        <v>4.8148794595964723</v>
      </c>
      <c r="K242" s="35">
        <v>4.5924390543984952</v>
      </c>
      <c r="L242" s="35">
        <v>4.6866503262069656</v>
      </c>
      <c r="M242" s="104">
        <f t="shared" si="10"/>
        <v>2034</v>
      </c>
      <c r="N242" s="3"/>
      <c r="O242" s="3"/>
    </row>
    <row r="243" spans="8:15">
      <c r="H243" s="31">
        <v>49249</v>
      </c>
      <c r="I243" s="35">
        <v>5.1190465487174288</v>
      </c>
      <c r="J243" s="35">
        <v>5.1291854516881275</v>
      </c>
      <c r="K243" s="35">
        <v>5.1568538355042985</v>
      </c>
      <c r="L243" s="35">
        <v>4.8723373682625715</v>
      </c>
      <c r="M243" s="104">
        <f t="shared" si="10"/>
        <v>2034</v>
      </c>
      <c r="N243" s="3"/>
      <c r="O243" s="3"/>
    </row>
    <row r="244" spans="8:15">
      <c r="H244" s="31">
        <v>49279</v>
      </c>
      <c r="I244" s="35">
        <v>5.5246026675453717</v>
      </c>
      <c r="J244" s="35">
        <v>5.5347415705160703</v>
      </c>
      <c r="K244" s="35">
        <v>5.5193220435538981</v>
      </c>
      <c r="L244" s="35">
        <v>5.2336743149653717</v>
      </c>
      <c r="M244" s="104">
        <f t="shared" si="10"/>
        <v>2034</v>
      </c>
      <c r="N244" s="3"/>
      <c r="O244" s="3"/>
    </row>
    <row r="245" spans="8:15">
      <c r="H245" s="31">
        <v>49310</v>
      </c>
      <c r="I245" s="35">
        <v>5.5550193764574676</v>
      </c>
      <c r="J245" s="35">
        <v>5.5651582794281653</v>
      </c>
      <c r="K245" s="35">
        <v>5.5607469816167088</v>
      </c>
      <c r="L245" s="35">
        <v>5.2953023386530162</v>
      </c>
      <c r="M245" s="104">
        <f t="shared" si="10"/>
        <v>2035</v>
      </c>
      <c r="N245" s="3"/>
      <c r="O245" s="3"/>
    </row>
    <row r="246" spans="8:15">
      <c r="H246" s="31">
        <v>49341</v>
      </c>
      <c r="I246" s="35">
        <v>5.3623802200141952</v>
      </c>
      <c r="J246" s="35">
        <v>5.372519122984893</v>
      </c>
      <c r="K246" s="35">
        <v>5.3743347603340581</v>
      </c>
      <c r="L246" s="35">
        <v>5.0705708320786913</v>
      </c>
      <c r="M246" s="104">
        <f t="shared" si="10"/>
        <v>2035</v>
      </c>
      <c r="N246" s="3"/>
      <c r="O246" s="3"/>
    </row>
    <row r="247" spans="8:15">
      <c r="H247" s="31">
        <v>49369</v>
      </c>
      <c r="I247" s="35">
        <v>5.169741063570922</v>
      </c>
      <c r="J247" s="35">
        <v>5.1798799665416198</v>
      </c>
      <c r="K247" s="35">
        <v>5.0532914903472701</v>
      </c>
      <c r="L247" s="35">
        <v>4.8949209274314969</v>
      </c>
      <c r="M247" s="104">
        <f t="shared" si="10"/>
        <v>2035</v>
      </c>
      <c r="N247" s="3"/>
      <c r="O247" s="3"/>
    </row>
    <row r="248" spans="8:15">
      <c r="H248" s="31">
        <v>49400</v>
      </c>
      <c r="I248" s="35">
        <v>4.713490429889486</v>
      </c>
      <c r="J248" s="35">
        <v>4.7236293328601837</v>
      </c>
      <c r="K248" s="35">
        <v>4.5354797645621305</v>
      </c>
      <c r="L248" s="35">
        <v>4.6389739235170131</v>
      </c>
      <c r="M248" s="104">
        <f t="shared" si="10"/>
        <v>2035</v>
      </c>
      <c r="N248" s="3"/>
      <c r="O248" s="3"/>
    </row>
    <row r="249" spans="8:15">
      <c r="H249" s="31">
        <v>49430</v>
      </c>
      <c r="I249" s="35">
        <v>4.7337682358308832</v>
      </c>
      <c r="J249" s="35">
        <v>4.7439071388015819</v>
      </c>
      <c r="K249" s="35">
        <v>4.4992329437571703</v>
      </c>
      <c r="L249" s="35">
        <v>4.5737325303623404</v>
      </c>
      <c r="M249" s="104">
        <f t="shared" si="10"/>
        <v>2035</v>
      </c>
      <c r="N249" s="3"/>
      <c r="O249" s="3"/>
    </row>
    <row r="250" spans="8:15">
      <c r="H250" s="31">
        <v>49461</v>
      </c>
      <c r="I250" s="35">
        <v>4.7439071388015819</v>
      </c>
      <c r="J250" s="35">
        <v>4.7540460417722796</v>
      </c>
      <c r="K250" s="35">
        <v>4.478520474725765</v>
      </c>
      <c r="L250" s="35">
        <v>4.6113717956438824</v>
      </c>
      <c r="M250" s="104">
        <f t="shared" si="10"/>
        <v>2035</v>
      </c>
      <c r="N250" s="3"/>
      <c r="O250" s="3"/>
    </row>
    <row r="251" spans="8:15">
      <c r="H251" s="31">
        <v>49491</v>
      </c>
      <c r="I251" s="35">
        <v>4.8858517803913619</v>
      </c>
      <c r="J251" s="35">
        <v>4.8959906833620606</v>
      </c>
      <c r="K251" s="35">
        <v>4.5303016473042792</v>
      </c>
      <c r="L251" s="35">
        <v>4.6741039044464516</v>
      </c>
      <c r="M251" s="104">
        <f t="shared" si="10"/>
        <v>2035</v>
      </c>
      <c r="N251" s="3"/>
      <c r="O251" s="3"/>
    </row>
    <row r="252" spans="8:15">
      <c r="H252" s="31">
        <v>49522</v>
      </c>
      <c r="I252" s="35">
        <v>4.9365462952448551</v>
      </c>
      <c r="J252" s="35">
        <v>4.9466851982155529</v>
      </c>
      <c r="K252" s="35">
        <v>4.6079734061720501</v>
      </c>
      <c r="L252" s="35">
        <v>4.7217803071364042</v>
      </c>
      <c r="M252" s="104">
        <f t="shared" si="10"/>
        <v>2035</v>
      </c>
      <c r="N252" s="3"/>
      <c r="O252" s="3"/>
    </row>
    <row r="253" spans="8:15">
      <c r="H253" s="31">
        <v>49553</v>
      </c>
      <c r="I253" s="35">
        <v>4.9669630041569501</v>
      </c>
      <c r="J253" s="35">
        <v>4.9771019071276479</v>
      </c>
      <c r="K253" s="35">
        <v>4.5820828198827925</v>
      </c>
      <c r="L253" s="35">
        <v>4.7669474254742541</v>
      </c>
      <c r="M253" s="104">
        <f t="shared" si="10"/>
        <v>2035</v>
      </c>
      <c r="N253" s="3"/>
      <c r="O253" s="3"/>
    </row>
    <row r="254" spans="8:15">
      <c r="H254" s="31">
        <v>49583</v>
      </c>
      <c r="I254" s="35">
        <v>4.9872408100983474</v>
      </c>
      <c r="J254" s="35">
        <v>4.997379713069046</v>
      </c>
      <c r="K254" s="35">
        <v>4.7374263376183352</v>
      </c>
      <c r="L254" s="35">
        <v>4.8673187995583662</v>
      </c>
      <c r="M254" s="104">
        <f t="shared" si="10"/>
        <v>2035</v>
      </c>
      <c r="N254" s="3"/>
      <c r="O254" s="3"/>
    </row>
    <row r="255" spans="8:15">
      <c r="H255" s="31">
        <v>49614</v>
      </c>
      <c r="I255" s="35">
        <v>5.2711300932779075</v>
      </c>
      <c r="J255" s="35">
        <v>5.2812689962486061</v>
      </c>
      <c r="K255" s="35">
        <v>5.3070192359819908</v>
      </c>
      <c r="L255" s="35">
        <v>5.0228944293887388</v>
      </c>
      <c r="M255" s="104">
        <f t="shared" si="10"/>
        <v>2035</v>
      </c>
      <c r="N255" s="3"/>
      <c r="O255" s="3"/>
    </row>
    <row r="256" spans="8:15">
      <c r="H256" s="31">
        <v>49644</v>
      </c>
      <c r="I256" s="35">
        <v>5.5854360853695635</v>
      </c>
      <c r="J256" s="35">
        <v>5.5955749883402612</v>
      </c>
      <c r="K256" s="35">
        <v>5.7109123820943992</v>
      </c>
      <c r="L256" s="35">
        <v>5.2938971394158383</v>
      </c>
      <c r="M256" s="104">
        <f t="shared" si="10"/>
        <v>2035</v>
      </c>
      <c r="N256" s="3"/>
      <c r="O256" s="3"/>
    </row>
    <row r="257" spans="8:15">
      <c r="H257" s="31">
        <v>49675</v>
      </c>
      <c r="I257" s="35">
        <v>5.6158527942816594</v>
      </c>
      <c r="J257" s="35">
        <v>5.6259916972523571</v>
      </c>
      <c r="K257" s="35">
        <v>5.741981085641509</v>
      </c>
      <c r="L257" s="35">
        <v>5.3555251631034828</v>
      </c>
      <c r="M257" s="104">
        <f t="shared" si="10"/>
        <v>2036</v>
      </c>
      <c r="N257" s="3"/>
      <c r="O257" s="3"/>
    </row>
    <row r="258" spans="8:15">
      <c r="H258" s="31">
        <v>49706</v>
      </c>
      <c r="I258" s="35">
        <v>5.4434914437797834</v>
      </c>
      <c r="J258" s="35">
        <v>5.4536303467504821</v>
      </c>
      <c r="K258" s="35">
        <v>5.5193220435538981</v>
      </c>
      <c r="L258" s="35">
        <v>5.1508679313459798</v>
      </c>
      <c r="M258" s="104">
        <f t="shared" si="10"/>
        <v>2036</v>
      </c>
      <c r="N258" s="3"/>
      <c r="O258" s="3"/>
    </row>
    <row r="259" spans="8:15">
      <c r="H259" s="31">
        <v>49735</v>
      </c>
      <c r="I259" s="35">
        <v>5.2407133843658116</v>
      </c>
      <c r="J259" s="35">
        <v>5.2508522873365102</v>
      </c>
      <c r="K259" s="35">
        <v>5.198278773567111</v>
      </c>
      <c r="L259" s="35">
        <v>4.9651808892903748</v>
      </c>
      <c r="M259" s="104">
        <f t="shared" si="10"/>
        <v>2036</v>
      </c>
      <c r="N259" s="3"/>
      <c r="O259" s="3"/>
    </row>
    <row r="260" spans="8:15">
      <c r="H260" s="31">
        <v>49766</v>
      </c>
      <c r="I260" s="35">
        <v>4.8858517803913619</v>
      </c>
      <c r="J260" s="35">
        <v>4.8959906833620606</v>
      </c>
      <c r="K260" s="35">
        <v>4.7426044548761874</v>
      </c>
      <c r="L260" s="35">
        <v>4.8096052594600023</v>
      </c>
      <c r="M260" s="104">
        <f t="shared" si="10"/>
        <v>2036</v>
      </c>
      <c r="N260" s="3"/>
      <c r="O260" s="3"/>
    </row>
    <row r="261" spans="8:15">
      <c r="H261" s="31">
        <v>49796</v>
      </c>
      <c r="I261" s="35">
        <v>4.9061295863327592</v>
      </c>
      <c r="J261" s="35">
        <v>4.9162684893034569</v>
      </c>
      <c r="K261" s="35">
        <v>4.6856451650398219</v>
      </c>
      <c r="L261" s="35">
        <v>4.7443638663053296</v>
      </c>
      <c r="M261" s="104">
        <f t="shared" si="10"/>
        <v>2036</v>
      </c>
      <c r="N261" s="3"/>
      <c r="O261" s="3"/>
    </row>
    <row r="262" spans="8:15">
      <c r="H262" s="31">
        <v>49827</v>
      </c>
      <c r="I262" s="35">
        <v>4.9162684893034569</v>
      </c>
      <c r="J262" s="35">
        <v>4.9264073922741556</v>
      </c>
      <c r="K262" s="35">
        <v>4.6908232822976732</v>
      </c>
      <c r="L262" s="35">
        <v>4.7820031315868716</v>
      </c>
      <c r="M262" s="104">
        <f t="shared" si="10"/>
        <v>2036</v>
      </c>
      <c r="N262" s="3"/>
      <c r="O262" s="3"/>
    </row>
    <row r="263" spans="8:15">
      <c r="H263" s="31">
        <v>49857</v>
      </c>
      <c r="I263" s="35">
        <v>5.0987687427760324</v>
      </c>
      <c r="J263" s="35">
        <v>5.1089076457467302</v>
      </c>
      <c r="K263" s="35">
        <v>4.7477825721340388</v>
      </c>
      <c r="L263" s="35">
        <v>4.8848837900230855</v>
      </c>
      <c r="M263" s="104">
        <f t="shared" si="10"/>
        <v>2036</v>
      </c>
      <c r="N263" s="3"/>
      <c r="O263" s="3"/>
    </row>
    <row r="264" spans="8:15">
      <c r="H264" s="31">
        <v>49888</v>
      </c>
      <c r="I264" s="35">
        <v>5.1494632576295247</v>
      </c>
      <c r="J264" s="35">
        <v>5.1596021606002234</v>
      </c>
      <c r="K264" s="35">
        <v>4.8099199792282556</v>
      </c>
      <c r="L264" s="35">
        <v>4.932560192713038</v>
      </c>
      <c r="M264" s="104">
        <f t="shared" si="10"/>
        <v>2036</v>
      </c>
      <c r="N264" s="3"/>
      <c r="O264" s="3"/>
    </row>
    <row r="265" spans="8:15">
      <c r="H265" s="31">
        <v>49919</v>
      </c>
      <c r="I265" s="35">
        <v>5.1494632576295247</v>
      </c>
      <c r="J265" s="35">
        <v>5.1596021606002234</v>
      </c>
      <c r="K265" s="35">
        <v>4.7374263376183352</v>
      </c>
      <c r="L265" s="35">
        <v>4.9476158988256547</v>
      </c>
      <c r="M265" s="104">
        <f t="shared" si="10"/>
        <v>2036</v>
      </c>
      <c r="N265" s="3"/>
      <c r="O265" s="3"/>
    </row>
    <row r="266" spans="8:15">
      <c r="H266" s="31">
        <v>49949</v>
      </c>
      <c r="I266" s="35">
        <v>5.1798799665416206</v>
      </c>
      <c r="J266" s="35">
        <v>5.1900188695123193</v>
      </c>
      <c r="K266" s="35">
        <v>5.0015103177687568</v>
      </c>
      <c r="L266" s="35">
        <v>5.0580244103181764</v>
      </c>
      <c r="M266" s="104">
        <f t="shared" si="10"/>
        <v>2036</v>
      </c>
      <c r="N266" s="3"/>
      <c r="O266" s="3"/>
    </row>
    <row r="267" spans="8:15">
      <c r="H267" s="31">
        <v>49980</v>
      </c>
      <c r="I267" s="35">
        <v>5.5043248616039744</v>
      </c>
      <c r="J267" s="35">
        <v>5.514463764574673</v>
      </c>
      <c r="K267" s="35">
        <v>5.5193220435538981</v>
      </c>
      <c r="L267" s="35">
        <v>5.2537485897821936</v>
      </c>
      <c r="M267" s="104">
        <f t="shared" si="10"/>
        <v>2036</v>
      </c>
      <c r="N267" s="3"/>
      <c r="O267" s="3"/>
    </row>
    <row r="268" spans="8:15">
      <c r="H268" s="31">
        <v>50010</v>
      </c>
      <c r="I268" s="35">
        <v>5.7679363388421372</v>
      </c>
      <c r="J268" s="35">
        <v>5.7780752418128358</v>
      </c>
      <c r="K268" s="35">
        <v>5.8973246033770508</v>
      </c>
      <c r="L268" s="35">
        <v>5.474565612767238</v>
      </c>
      <c r="M268" s="104">
        <f t="shared" si="10"/>
        <v>2036</v>
      </c>
      <c r="N268" s="3"/>
      <c r="O268" s="3"/>
    </row>
    <row r="269" spans="8:15">
      <c r="H269" s="31">
        <v>50041</v>
      </c>
      <c r="I269" s="35">
        <v>5.6158527942816594</v>
      </c>
      <c r="J269" s="35">
        <v>5.6259916972523571</v>
      </c>
      <c r="K269" s="35">
        <v>5.7316248511258046</v>
      </c>
      <c r="L269" s="35">
        <v>5.3555251631034828</v>
      </c>
      <c r="M269" s="104">
        <f t="shared" si="10"/>
        <v>2037</v>
      </c>
      <c r="N269" s="3"/>
      <c r="O269" s="3"/>
    </row>
    <row r="270" spans="8:15">
      <c r="H270" s="31">
        <v>50072</v>
      </c>
      <c r="I270" s="35">
        <v>5.4637692497211798</v>
      </c>
      <c r="J270" s="35">
        <v>5.4739081526918785</v>
      </c>
      <c r="K270" s="35">
        <v>5.5400345125853034</v>
      </c>
      <c r="L270" s="35">
        <v>5.1709422061628025</v>
      </c>
      <c r="M270" s="104">
        <f t="shared" si="10"/>
        <v>2037</v>
      </c>
      <c r="N270" s="3"/>
      <c r="O270" s="3"/>
    </row>
    <row r="271" spans="8:15">
      <c r="H271" s="31">
        <v>50100</v>
      </c>
      <c r="I271" s="35">
        <v>5.2812689962486061</v>
      </c>
      <c r="J271" s="35">
        <v>5.2914078992193048</v>
      </c>
      <c r="K271" s="35">
        <v>5.229347477114219</v>
      </c>
      <c r="L271" s="35">
        <v>5.0053294389240195</v>
      </c>
      <c r="M271" s="104">
        <f t="shared" si="10"/>
        <v>2037</v>
      </c>
      <c r="N271" s="3"/>
      <c r="O271" s="3"/>
    </row>
    <row r="272" spans="8:15">
      <c r="H272" s="31">
        <v>50131</v>
      </c>
      <c r="I272" s="35">
        <v>4.8452961685085683</v>
      </c>
      <c r="J272" s="35">
        <v>4.855435071479266</v>
      </c>
      <c r="K272" s="35">
        <v>4.6804670477819696</v>
      </c>
      <c r="L272" s="35">
        <v>4.7694567098263576</v>
      </c>
      <c r="M272" s="104">
        <f t="shared" si="10"/>
        <v>2037</v>
      </c>
      <c r="N272" s="3"/>
      <c r="O272" s="3"/>
    </row>
    <row r="273" spans="8:15">
      <c r="H273" s="31">
        <v>50161</v>
      </c>
      <c r="I273" s="35">
        <v>4.8655739744499646</v>
      </c>
      <c r="J273" s="35">
        <v>4.8757128774206633</v>
      </c>
      <c r="K273" s="35">
        <v>4.7011795168133759</v>
      </c>
      <c r="L273" s="35">
        <v>4.7042153166716849</v>
      </c>
      <c r="M273" s="104">
        <f t="shared" si="10"/>
        <v>2037</v>
      </c>
      <c r="N273" s="3"/>
      <c r="O273" s="3"/>
    </row>
    <row r="274" spans="8:15">
      <c r="H274" s="31">
        <v>50192</v>
      </c>
      <c r="I274" s="35">
        <v>4.8858517803913619</v>
      </c>
      <c r="J274" s="35">
        <v>4.8959906833620606</v>
      </c>
      <c r="K274" s="35">
        <v>4.7270701031026325</v>
      </c>
      <c r="L274" s="35">
        <v>4.7518917193616375</v>
      </c>
      <c r="M274" s="104">
        <f t="shared" si="10"/>
        <v>2037</v>
      </c>
      <c r="N274" s="3"/>
      <c r="O274" s="3"/>
    </row>
    <row r="275" spans="8:15">
      <c r="H275" s="31">
        <v>50222</v>
      </c>
      <c r="I275" s="35">
        <v>5.0987687427760324</v>
      </c>
      <c r="J275" s="35">
        <v>5.1089076457467302</v>
      </c>
      <c r="K275" s="35">
        <v>4.7736731584232954</v>
      </c>
      <c r="L275" s="35">
        <v>4.8848837900230855</v>
      </c>
      <c r="M275" s="104">
        <f t="shared" si="10"/>
        <v>2037</v>
      </c>
      <c r="N275" s="3"/>
      <c r="O275" s="3"/>
    </row>
    <row r="276" spans="8:15">
      <c r="H276" s="31">
        <v>50253</v>
      </c>
      <c r="I276" s="35">
        <v>5.169741063570922</v>
      </c>
      <c r="J276" s="35">
        <v>5.1798799665416198</v>
      </c>
      <c r="K276" s="35">
        <v>4.9393729106745399</v>
      </c>
      <c r="L276" s="35">
        <v>4.9526344675298608</v>
      </c>
      <c r="M276" s="104">
        <f t="shared" si="10"/>
        <v>2037</v>
      </c>
      <c r="N276" s="3"/>
      <c r="O276" s="3"/>
    </row>
    <row r="277" spans="8:15">
      <c r="H277" s="31">
        <v>50284</v>
      </c>
      <c r="I277" s="35">
        <v>5.2001577724830179</v>
      </c>
      <c r="J277" s="35">
        <v>5.2102966754537157</v>
      </c>
      <c r="K277" s="35">
        <v>4.8668792690646203</v>
      </c>
      <c r="L277" s="35">
        <v>4.9978015858677107</v>
      </c>
      <c r="M277" s="104">
        <f t="shared" si="10"/>
        <v>2037</v>
      </c>
      <c r="N277" s="3"/>
      <c r="O277" s="3"/>
    </row>
    <row r="278" spans="8:15">
      <c r="H278" s="31">
        <v>50314</v>
      </c>
      <c r="I278" s="35">
        <v>5.2305744813951138</v>
      </c>
      <c r="J278" s="35">
        <v>5.2407133843658116</v>
      </c>
      <c r="K278" s="35">
        <v>5.0584696076051232</v>
      </c>
      <c r="L278" s="35">
        <v>5.1082100973602333</v>
      </c>
      <c r="M278" s="104">
        <f t="shared" si="10"/>
        <v>2037</v>
      </c>
      <c r="N278" s="3"/>
      <c r="O278" s="3"/>
    </row>
    <row r="279" spans="8:15">
      <c r="H279" s="31">
        <v>50345</v>
      </c>
      <c r="I279" s="35">
        <v>5.6158527942816594</v>
      </c>
      <c r="J279" s="35">
        <v>5.6259916972523571</v>
      </c>
      <c r="K279" s="35">
        <v>5.643596857742331</v>
      </c>
      <c r="L279" s="35">
        <v>5.3641571012747162</v>
      </c>
      <c r="M279" s="104">
        <f t="shared" si="10"/>
        <v>2037</v>
      </c>
      <c r="N279" s="3"/>
      <c r="O279" s="3"/>
    </row>
    <row r="280" spans="8:15">
      <c r="H280" s="31">
        <v>50375</v>
      </c>
      <c r="I280" s="35">
        <v>5.8794642715198213</v>
      </c>
      <c r="J280" s="35">
        <v>5.88960317449052</v>
      </c>
      <c r="K280" s="35">
        <v>6.011243183049781</v>
      </c>
      <c r="L280" s="35">
        <v>5.5849741242597606</v>
      </c>
      <c r="M280" s="104">
        <f t="shared" si="10"/>
        <v>2037</v>
      </c>
      <c r="N280" s="3"/>
      <c r="O280" s="3"/>
    </row>
    <row r="281" spans="8:15">
      <c r="H281" s="31">
        <v>50406</v>
      </c>
      <c r="I281" s="35">
        <v>5.9301587863733145</v>
      </c>
      <c r="J281" s="35">
        <v>5.9402976893440131</v>
      </c>
      <c r="K281" s="35">
        <v>6.0526681211125934</v>
      </c>
      <c r="L281" s="35">
        <v>5.6666764227642279</v>
      </c>
      <c r="M281" s="104">
        <f t="shared" ref="M281:M304" si="11">YEAR(H281)</f>
        <v>2038</v>
      </c>
      <c r="N281" s="3"/>
      <c r="O281" s="3"/>
    </row>
    <row r="282" spans="8:15">
      <c r="H282" s="31">
        <v>50437</v>
      </c>
      <c r="I282" s="35">
        <v>5.7577974358714386</v>
      </c>
      <c r="J282" s="35">
        <v>5.7679363388421372</v>
      </c>
      <c r="K282" s="35">
        <v>5.8610777825720914</v>
      </c>
      <c r="L282" s="35">
        <v>5.4620191910067248</v>
      </c>
      <c r="M282" s="104">
        <f t="shared" si="11"/>
        <v>2038</v>
      </c>
      <c r="N282" s="3"/>
      <c r="O282" s="3"/>
    </row>
    <row r="283" spans="8:15">
      <c r="H283" s="31">
        <v>50465</v>
      </c>
      <c r="I283" s="35">
        <v>5.6259916972523571</v>
      </c>
      <c r="J283" s="35">
        <v>5.6361306002230558</v>
      </c>
      <c r="K283" s="35">
        <v>5.5762813333902628</v>
      </c>
      <c r="L283" s="35">
        <v>5.346592110809997</v>
      </c>
      <c r="M283" s="104">
        <f t="shared" si="11"/>
        <v>2038</v>
      </c>
      <c r="N283" s="3"/>
      <c r="O283" s="3"/>
    </row>
    <row r="284" spans="8:15">
      <c r="H284" s="31">
        <v>50496</v>
      </c>
      <c r="I284" s="35">
        <v>5.2508522873365102</v>
      </c>
      <c r="J284" s="35">
        <v>5.2609911903072089</v>
      </c>
      <c r="K284" s="35">
        <v>5.0170446695423117</v>
      </c>
      <c r="L284" s="35">
        <v>5.1709422061628025</v>
      </c>
      <c r="M284" s="104">
        <f t="shared" si="11"/>
        <v>2038</v>
      </c>
      <c r="N284" s="3"/>
      <c r="O284" s="3"/>
    </row>
    <row r="285" spans="8:15">
      <c r="H285" s="31">
        <v>50526</v>
      </c>
      <c r="I285" s="35">
        <v>5.2508522873365102</v>
      </c>
      <c r="J285" s="35">
        <v>5.2609911903072089</v>
      </c>
      <c r="K285" s="35">
        <v>5.0170446695423108</v>
      </c>
      <c r="L285" s="35">
        <v>5.0856265381913079</v>
      </c>
      <c r="M285" s="104">
        <f t="shared" si="11"/>
        <v>2038</v>
      </c>
      <c r="N285" s="3"/>
      <c r="O285" s="3"/>
    </row>
    <row r="286" spans="8:15">
      <c r="H286" s="31">
        <v>50557</v>
      </c>
      <c r="I286" s="35">
        <v>5.2305744813951138</v>
      </c>
      <c r="J286" s="35">
        <v>5.2407133843658116</v>
      </c>
      <c r="K286" s="35">
        <v>5.0118665522844594</v>
      </c>
      <c r="L286" s="35">
        <v>5.0931543912476158</v>
      </c>
      <c r="M286" s="104">
        <f t="shared" si="11"/>
        <v>2038</v>
      </c>
      <c r="N286" s="3"/>
      <c r="O286" s="3"/>
    </row>
    <row r="287" spans="8:15">
      <c r="H287" s="31">
        <v>50587</v>
      </c>
      <c r="I287" s="35">
        <v>5.5043248616039744</v>
      </c>
      <c r="J287" s="35">
        <v>5.514463764574673</v>
      </c>
      <c r="K287" s="35">
        <v>5.0636477248629745</v>
      </c>
      <c r="L287" s="35">
        <v>5.2863692863595295</v>
      </c>
      <c r="M287" s="104">
        <f t="shared" si="11"/>
        <v>2038</v>
      </c>
      <c r="N287" s="3"/>
      <c r="O287" s="3"/>
    </row>
    <row r="288" spans="8:15">
      <c r="H288" s="31">
        <v>50618</v>
      </c>
      <c r="I288" s="35">
        <v>5.5550193764574676</v>
      </c>
      <c r="J288" s="35">
        <v>5.5651582794281653</v>
      </c>
      <c r="K288" s="35">
        <v>5.1206070146993392</v>
      </c>
      <c r="L288" s="35">
        <v>5.334045689049483</v>
      </c>
      <c r="M288" s="104">
        <f t="shared" si="11"/>
        <v>2038</v>
      </c>
      <c r="N288" s="3"/>
      <c r="O288" s="3"/>
    </row>
    <row r="289" spans="8:15">
      <c r="H289" s="31">
        <v>50649</v>
      </c>
      <c r="I289" s="35">
        <v>5.6057138913109608</v>
      </c>
      <c r="J289" s="35">
        <v>5.6158527942816594</v>
      </c>
      <c r="K289" s="35">
        <v>5.0636477248629737</v>
      </c>
      <c r="L289" s="35">
        <v>5.3992870822041557</v>
      </c>
      <c r="M289" s="104">
        <f t="shared" si="11"/>
        <v>2038</v>
      </c>
      <c r="N289" s="3"/>
      <c r="O289" s="3"/>
    </row>
    <row r="290" spans="8:15">
      <c r="H290" s="31">
        <v>50679</v>
      </c>
      <c r="I290" s="35">
        <v>5.6462695031937553</v>
      </c>
      <c r="J290" s="35">
        <v>5.6564084061644531</v>
      </c>
      <c r="K290" s="35">
        <v>5.2811286496927341</v>
      </c>
      <c r="L290" s="35">
        <v>5.5197327311050879</v>
      </c>
      <c r="M290" s="104">
        <f t="shared" si="11"/>
        <v>2038</v>
      </c>
      <c r="N290" s="3"/>
      <c r="O290" s="3"/>
    </row>
    <row r="291" spans="8:15">
      <c r="H291" s="31">
        <v>50710</v>
      </c>
      <c r="I291" s="35">
        <v>6.0518256220216973</v>
      </c>
      <c r="J291" s="35">
        <v>6.0619645249923959</v>
      </c>
      <c r="K291" s="35">
        <v>6.0423118865968899</v>
      </c>
      <c r="L291" s="35">
        <v>5.7957540098363944</v>
      </c>
      <c r="M291" s="104">
        <f t="shared" si="11"/>
        <v>2038</v>
      </c>
      <c r="N291" s="3"/>
      <c r="O291" s="3"/>
    </row>
    <row r="292" spans="8:15">
      <c r="H292" s="31">
        <v>50740</v>
      </c>
      <c r="I292" s="35">
        <v>6.3965483230254483</v>
      </c>
      <c r="J292" s="35">
        <v>6.4066872259961469</v>
      </c>
      <c r="K292" s="35">
        <v>6.5445892606084772</v>
      </c>
      <c r="L292" s="35">
        <v>6.0968681320887281</v>
      </c>
      <c r="M292" s="104">
        <f t="shared" si="11"/>
        <v>2038</v>
      </c>
      <c r="N292" s="3"/>
      <c r="O292" s="3"/>
    </row>
    <row r="293" spans="8:15">
      <c r="H293" s="31">
        <v>50771</v>
      </c>
      <c r="I293" s="35">
        <v>6.3864094200547505</v>
      </c>
      <c r="J293" s="35">
        <v>6.3965483230254483</v>
      </c>
      <c r="K293" s="35">
        <v>6.5238767915770701</v>
      </c>
      <c r="L293" s="35">
        <v>6.118347606142728</v>
      </c>
      <c r="M293" s="104">
        <f t="shared" si="11"/>
        <v>2039</v>
      </c>
      <c r="N293" s="3"/>
      <c r="O293" s="3"/>
    </row>
    <row r="294" spans="8:15">
      <c r="H294" s="31">
        <v>50802</v>
      </c>
      <c r="I294" s="35">
        <v>6.2748814873770655</v>
      </c>
      <c r="J294" s="35">
        <v>6.2850203903477642</v>
      </c>
      <c r="K294" s="35">
        <v>6.363355156583677</v>
      </c>
      <c r="L294" s="35">
        <v>5.9739131988356924</v>
      </c>
      <c r="M294" s="104">
        <f t="shared" si="11"/>
        <v>2039</v>
      </c>
      <c r="N294" s="3"/>
      <c r="O294" s="3"/>
    </row>
    <row r="295" spans="8:15">
      <c r="H295" s="31">
        <v>50830</v>
      </c>
      <c r="I295" s="35">
        <v>6.17349245767008</v>
      </c>
      <c r="J295" s="35">
        <v>6.1836313606407787</v>
      </c>
      <c r="K295" s="35">
        <v>6.0164213003076332</v>
      </c>
      <c r="L295" s="35">
        <v>5.8885975308641978</v>
      </c>
      <c r="M295" s="104">
        <f t="shared" si="11"/>
        <v>2039</v>
      </c>
      <c r="N295" s="3"/>
      <c r="O295" s="3"/>
    </row>
    <row r="296" spans="8:15">
      <c r="H296" s="31">
        <v>50861</v>
      </c>
      <c r="I296" s="35">
        <v>5.8591864655784249</v>
      </c>
      <c r="J296" s="35">
        <v>5.8693253685491236</v>
      </c>
      <c r="K296" s="35">
        <v>5.6280625059687779</v>
      </c>
      <c r="L296" s="35">
        <v>5.7731704506674699</v>
      </c>
      <c r="M296" s="104">
        <f t="shared" si="11"/>
        <v>2039</v>
      </c>
      <c r="N296" s="3"/>
      <c r="O296" s="3"/>
    </row>
    <row r="297" spans="8:15">
      <c r="H297" s="31">
        <v>50891</v>
      </c>
      <c r="I297" s="35">
        <v>5.8794642715198213</v>
      </c>
      <c r="J297" s="35">
        <v>5.88960317449052</v>
      </c>
      <c r="K297" s="35">
        <v>5.6228843887109257</v>
      </c>
      <c r="L297" s="35">
        <v>5.7079290575127972</v>
      </c>
      <c r="M297" s="104">
        <f t="shared" si="11"/>
        <v>2039</v>
      </c>
      <c r="N297" s="3"/>
      <c r="O297" s="3"/>
    </row>
    <row r="298" spans="8:15">
      <c r="H298" s="31">
        <v>50922</v>
      </c>
      <c r="I298" s="35">
        <v>5.8389086596370277</v>
      </c>
      <c r="J298" s="35">
        <v>5.8490475626077254</v>
      </c>
      <c r="K298" s="35">
        <v>5.5348563953274521</v>
      </c>
      <c r="L298" s="35">
        <v>5.6953826357522832</v>
      </c>
      <c r="M298" s="104">
        <f t="shared" si="11"/>
        <v>2039</v>
      </c>
      <c r="N298" s="3"/>
      <c r="O298" s="3"/>
    </row>
    <row r="299" spans="8:15">
      <c r="H299" s="31">
        <v>50952</v>
      </c>
      <c r="I299" s="35">
        <v>6.1227979428165877</v>
      </c>
      <c r="J299" s="35">
        <v>6.1329368457872864</v>
      </c>
      <c r="K299" s="35">
        <v>5.596993802421669</v>
      </c>
      <c r="L299" s="35">
        <v>5.8986346682726083</v>
      </c>
      <c r="M299" s="104">
        <f t="shared" si="11"/>
        <v>2039</v>
      </c>
      <c r="N299" s="3"/>
      <c r="O299" s="3"/>
    </row>
    <row r="300" spans="8:15">
      <c r="H300" s="31">
        <v>50983</v>
      </c>
      <c r="I300" s="35">
        <v>6.1532146517286836</v>
      </c>
      <c r="J300" s="35">
        <v>6.1633535546993823</v>
      </c>
      <c r="K300" s="35">
        <v>5.6539530922580346</v>
      </c>
      <c r="L300" s="35">
        <v>5.9262367961457389</v>
      </c>
      <c r="M300" s="104">
        <f t="shared" si="11"/>
        <v>2039</v>
      </c>
      <c r="N300" s="3"/>
      <c r="O300" s="3"/>
    </row>
    <row r="301" spans="8:15">
      <c r="H301" s="31">
        <v>51014</v>
      </c>
      <c r="I301" s="35">
        <v>6.1430757487579841</v>
      </c>
      <c r="J301" s="35">
        <v>6.1532146517286828</v>
      </c>
      <c r="K301" s="35">
        <v>5.5762813333902628</v>
      </c>
      <c r="L301" s="35">
        <v>5.9312553648499442</v>
      </c>
      <c r="M301" s="104">
        <f t="shared" si="11"/>
        <v>2039</v>
      </c>
      <c r="N301" s="3"/>
      <c r="O301" s="3"/>
    </row>
    <row r="302" spans="8:15">
      <c r="H302" s="31">
        <v>51044</v>
      </c>
      <c r="I302" s="35">
        <v>6.1227979428165877</v>
      </c>
      <c r="J302" s="35">
        <v>6.1329368457872864</v>
      </c>
      <c r="K302" s="35">
        <v>5.7937622582200223</v>
      </c>
      <c r="L302" s="35">
        <v>5.9914781893004116</v>
      </c>
      <c r="M302" s="104">
        <f t="shared" si="11"/>
        <v>2039</v>
      </c>
      <c r="N302" s="3"/>
      <c r="O302" s="3"/>
    </row>
    <row r="303" spans="8:15">
      <c r="H303" s="31">
        <v>51075</v>
      </c>
      <c r="I303" s="35">
        <v>6.4675206438203388</v>
      </c>
      <c r="J303" s="35">
        <v>6.4776595467910374</v>
      </c>
      <c r="K303" s="35">
        <v>6.492808088029963</v>
      </c>
      <c r="L303" s="35">
        <v>6.2072766435812508</v>
      </c>
      <c r="M303" s="104">
        <f t="shared" si="11"/>
        <v>2039</v>
      </c>
      <c r="N303" s="3"/>
      <c r="O303" s="3"/>
    </row>
    <row r="304" spans="8:15">
      <c r="H304" s="31">
        <v>51105</v>
      </c>
      <c r="I304" s="35">
        <v>6.802104441853392</v>
      </c>
      <c r="J304" s="35">
        <v>6.8122433448240898</v>
      </c>
      <c r="K304" s="35">
        <v>6.9484824067208866</v>
      </c>
      <c r="L304" s="35">
        <v>6.4983536284251731</v>
      </c>
      <c r="M304" s="104">
        <f t="shared" si="11"/>
        <v>2039</v>
      </c>
      <c r="N304" s="3"/>
      <c r="O304" s="3"/>
    </row>
    <row r="305" spans="8:15">
      <c r="H305" s="31">
        <v>51136</v>
      </c>
      <c r="I305" s="35">
        <v>6.9541879864138707</v>
      </c>
      <c r="J305" s="35">
        <v>6.9643268893845693</v>
      </c>
      <c r="K305" s="35">
        <v>7.1090040417142797</v>
      </c>
      <c r="L305" s="35">
        <v>6.6804273010137507</v>
      </c>
      <c r="M305" s="104">
        <f t="shared" si="10"/>
        <v>2040</v>
      </c>
      <c r="N305" s="3"/>
      <c r="O305" s="3"/>
    </row>
    <row r="306" spans="8:15">
      <c r="H306" s="31">
        <v>51167</v>
      </c>
      <c r="I306" s="35">
        <v>6.8122433448240898</v>
      </c>
      <c r="J306" s="35">
        <v>6.8223822477947884</v>
      </c>
      <c r="K306" s="35">
        <v>6.9174137031737777</v>
      </c>
      <c r="L306" s="35">
        <v>6.5058814814814809</v>
      </c>
      <c r="M306" s="104">
        <f t="shared" si="10"/>
        <v>2040</v>
      </c>
      <c r="N306" s="3"/>
      <c r="O306" s="3"/>
    </row>
    <row r="307" spans="8:15">
      <c r="H307" s="31">
        <v>51196</v>
      </c>
      <c r="I307" s="35">
        <v>6.7108543151171052</v>
      </c>
      <c r="J307" s="35">
        <v>6.7209932180878029</v>
      </c>
      <c r="K307" s="35">
        <v>6.5911923159291392</v>
      </c>
      <c r="L307" s="35">
        <v>6.4205658135099863</v>
      </c>
      <c r="M307" s="104">
        <f t="shared" si="10"/>
        <v>2040</v>
      </c>
      <c r="N307" s="3"/>
      <c r="O307" s="3"/>
    </row>
    <row r="308" spans="8:15">
      <c r="H308" s="31">
        <v>51227</v>
      </c>
      <c r="I308" s="35">
        <v>6.2444647784649705</v>
      </c>
      <c r="J308" s="35">
        <v>6.2546036814356691</v>
      </c>
      <c r="K308" s="35">
        <v>6.0008869485340783</v>
      </c>
      <c r="L308" s="35">
        <v>6.1545816721870921</v>
      </c>
      <c r="M308" s="104">
        <f t="shared" si="10"/>
        <v>2040</v>
      </c>
      <c r="N308" s="3"/>
      <c r="O308" s="3"/>
    </row>
    <row r="309" spans="8:15">
      <c r="H309" s="31">
        <v>51257</v>
      </c>
      <c r="I309" s="35">
        <v>6.2647425844063669</v>
      </c>
      <c r="J309" s="35">
        <v>6.2748814873770655</v>
      </c>
      <c r="K309" s="35">
        <v>6.0060650657919306</v>
      </c>
      <c r="L309" s="35">
        <v>6.0893402790324203</v>
      </c>
      <c r="M309" s="104">
        <f t="shared" si="10"/>
        <v>2040</v>
      </c>
      <c r="N309" s="3"/>
      <c r="O309" s="3"/>
    </row>
    <row r="310" spans="8:15">
      <c r="H310" s="31">
        <v>51288</v>
      </c>
      <c r="I310" s="35">
        <v>6.1937702636114782</v>
      </c>
      <c r="J310" s="35">
        <v>6.2039091665821759</v>
      </c>
      <c r="K310" s="35">
        <v>5.9025027206349012</v>
      </c>
      <c r="L310" s="35">
        <v>6.0466824450466721</v>
      </c>
      <c r="M310" s="104">
        <f t="shared" si="10"/>
        <v>2040</v>
      </c>
      <c r="N310" s="3"/>
      <c r="O310" s="3"/>
    </row>
    <row r="311" spans="8:15">
      <c r="H311" s="31">
        <v>51318</v>
      </c>
      <c r="I311" s="35">
        <v>6.4371039349082428</v>
      </c>
      <c r="J311" s="35">
        <v>6.4472428378789415</v>
      </c>
      <c r="K311" s="35">
        <v>5.8973246033770508</v>
      </c>
      <c r="L311" s="35">
        <v>6.2097859279333525</v>
      </c>
      <c r="M311" s="104">
        <f t="shared" si="10"/>
        <v>2040</v>
      </c>
      <c r="N311" s="3"/>
      <c r="O311" s="3"/>
    </row>
    <row r="312" spans="8:15">
      <c r="H312" s="31">
        <v>51349</v>
      </c>
      <c r="I312" s="35">
        <v>6.4979373527324347</v>
      </c>
      <c r="J312" s="35">
        <v>6.5080762557031333</v>
      </c>
      <c r="K312" s="35">
        <v>5.9439276586977137</v>
      </c>
      <c r="L312" s="35">
        <v>6.2674994680317173</v>
      </c>
      <c r="M312" s="104">
        <f t="shared" ref="M312:M328" si="12">YEAR(H312)</f>
        <v>2040</v>
      </c>
      <c r="N312" s="3"/>
      <c r="O312" s="3"/>
    </row>
    <row r="313" spans="8:15">
      <c r="H313" s="31">
        <v>51380</v>
      </c>
      <c r="I313" s="35">
        <v>6.4066872259961478</v>
      </c>
      <c r="J313" s="35">
        <v>6.4168261289668465</v>
      </c>
      <c r="K313" s="35">
        <v>6.0215994175654846</v>
      </c>
      <c r="L313" s="35">
        <v>6.1922209374686332</v>
      </c>
      <c r="M313" s="104">
        <f t="shared" si="12"/>
        <v>2040</v>
      </c>
      <c r="N313" s="3"/>
      <c r="O313" s="3"/>
    </row>
    <row r="314" spans="8:15">
      <c r="H314" s="31">
        <v>51410</v>
      </c>
      <c r="I314" s="35">
        <v>6.4066872259961478</v>
      </c>
      <c r="J314" s="35">
        <v>6.4168261289668465</v>
      </c>
      <c r="K314" s="35">
        <v>6.2183678733638379</v>
      </c>
      <c r="L314" s="35">
        <v>6.2725180367359226</v>
      </c>
      <c r="M314" s="104">
        <f t="shared" si="12"/>
        <v>2040</v>
      </c>
      <c r="N314" s="3"/>
      <c r="O314" s="3"/>
    </row>
    <row r="315" spans="8:15">
      <c r="H315" s="31">
        <v>51441</v>
      </c>
      <c r="I315" s="35">
        <v>6.7412710240292002</v>
      </c>
      <c r="J315" s="35">
        <v>6.7514099269998979</v>
      </c>
      <c r="K315" s="35">
        <v>6.8500981788217095</v>
      </c>
      <c r="L315" s="35">
        <v>6.4782793536083503</v>
      </c>
      <c r="M315" s="104">
        <f t="shared" si="12"/>
        <v>2040</v>
      </c>
      <c r="N315" s="3"/>
      <c r="O315" s="3"/>
    </row>
    <row r="316" spans="8:15">
      <c r="H316" s="31">
        <v>51471</v>
      </c>
      <c r="I316" s="35">
        <v>7.0454381131501576</v>
      </c>
      <c r="J316" s="35">
        <v>7.0555770161208562</v>
      </c>
      <c r="K316" s="35">
        <v>7.2022101523556046</v>
      </c>
      <c r="L316" s="35">
        <v>6.7392449262270402</v>
      </c>
      <c r="M316" s="104">
        <f t="shared" si="12"/>
        <v>2040</v>
      </c>
      <c r="N316" s="3"/>
      <c r="O316" s="3"/>
    </row>
    <row r="317" spans="8:15">
      <c r="H317" s="31">
        <v>51502</v>
      </c>
      <c r="I317" s="35">
        <v>7.1873827547399376</v>
      </c>
      <c r="J317" s="35">
        <v>7.1975216577106362</v>
      </c>
      <c r="K317" s="35">
        <v>7.3627317873489995</v>
      </c>
      <c r="L317" s="35">
        <v>6.9112814614072065</v>
      </c>
      <c r="M317" s="104">
        <f t="shared" si="12"/>
        <v>2041</v>
      </c>
      <c r="N317" s="3"/>
      <c r="O317" s="3"/>
    </row>
    <row r="318" spans="8:15">
      <c r="H318" s="31">
        <v>51533</v>
      </c>
      <c r="I318" s="35">
        <v>6.9136323745310762</v>
      </c>
      <c r="J318" s="35">
        <v>6.9237712775017748</v>
      </c>
      <c r="K318" s="35">
        <v>7.0209760483308061</v>
      </c>
      <c r="L318" s="35">
        <v>6.6062528555655931</v>
      </c>
      <c r="M318" s="104">
        <f t="shared" si="12"/>
        <v>2041</v>
      </c>
      <c r="N318" s="3"/>
      <c r="O318" s="3"/>
    </row>
    <row r="319" spans="8:15">
      <c r="H319" s="31">
        <v>51561</v>
      </c>
      <c r="I319" s="35">
        <v>6.7007154121464065</v>
      </c>
      <c r="J319" s="35">
        <v>6.7108543151171052</v>
      </c>
      <c r="K319" s="35">
        <v>6.8086732407588979</v>
      </c>
      <c r="L319" s="35">
        <v>6.4105286761015758</v>
      </c>
      <c r="M319" s="104">
        <f t="shared" si="12"/>
        <v>2041</v>
      </c>
      <c r="N319" s="3"/>
      <c r="O319" s="3"/>
    </row>
    <row r="320" spans="8:15">
      <c r="H320" s="31">
        <v>51592</v>
      </c>
      <c r="I320" s="35">
        <v>6.1532146517286836</v>
      </c>
      <c r="J320" s="35">
        <v>6.1633535546993823</v>
      </c>
      <c r="K320" s="35">
        <v>6.156230466269621</v>
      </c>
      <c r="L320" s="35">
        <v>6.0642474355113922</v>
      </c>
      <c r="M320" s="104">
        <f t="shared" si="12"/>
        <v>2041</v>
      </c>
      <c r="N320" s="3"/>
      <c r="O320" s="3"/>
    </row>
    <row r="321" spans="8:15">
      <c r="H321" s="31">
        <v>51622</v>
      </c>
      <c r="I321" s="35">
        <v>6.17349245767008</v>
      </c>
      <c r="J321" s="35">
        <v>6.1836313606407787</v>
      </c>
      <c r="K321" s="35">
        <v>6.1044492936911068</v>
      </c>
      <c r="L321" s="35">
        <v>5.9990060423567195</v>
      </c>
      <c r="M321" s="104">
        <f t="shared" si="12"/>
        <v>2041</v>
      </c>
      <c r="N321" s="3"/>
      <c r="O321" s="3"/>
    </row>
    <row r="322" spans="8:15">
      <c r="H322" s="31">
        <v>51653</v>
      </c>
      <c r="I322" s="35">
        <v>6.0619645249923959</v>
      </c>
      <c r="J322" s="35">
        <v>6.0721034279630937</v>
      </c>
      <c r="K322" s="35">
        <v>6.0164213003076332</v>
      </c>
      <c r="L322" s="35">
        <v>5.9161996587373284</v>
      </c>
      <c r="M322" s="104">
        <f t="shared" si="12"/>
        <v>2041</v>
      </c>
      <c r="N322" s="3"/>
      <c r="O322" s="3"/>
    </row>
    <row r="323" spans="8:15">
      <c r="H323" s="31">
        <v>51683</v>
      </c>
      <c r="I323" s="35">
        <v>6.3661316141133533</v>
      </c>
      <c r="J323" s="35">
        <v>6.3762705170840519</v>
      </c>
      <c r="K323" s="35">
        <v>5.9957088312762279</v>
      </c>
      <c r="L323" s="35">
        <v>6.1395259660744754</v>
      </c>
      <c r="M323" s="104">
        <f t="shared" si="12"/>
        <v>2041</v>
      </c>
      <c r="N323" s="3"/>
      <c r="O323" s="3"/>
    </row>
    <row r="324" spans="8:15">
      <c r="H324" s="31">
        <v>51714</v>
      </c>
      <c r="I324" s="35">
        <v>6.4269650319375442</v>
      </c>
      <c r="J324" s="35">
        <v>6.4371039349082428</v>
      </c>
      <c r="K324" s="35">
        <v>6.0526681211125934</v>
      </c>
      <c r="L324" s="35">
        <v>6.1972395061728394</v>
      </c>
      <c r="M324" s="104">
        <f t="shared" si="12"/>
        <v>2041</v>
      </c>
      <c r="N324" s="3"/>
      <c r="O324" s="3"/>
    </row>
    <row r="325" spans="8:15">
      <c r="H325" s="31">
        <v>51745</v>
      </c>
      <c r="I325" s="35">
        <v>6.457381740849641</v>
      </c>
      <c r="J325" s="35">
        <v>6.4675206438203388</v>
      </c>
      <c r="K325" s="35">
        <v>6.0940930591754041</v>
      </c>
      <c r="L325" s="35">
        <v>6.2424066245106893</v>
      </c>
      <c r="M325" s="104">
        <f t="shared" si="12"/>
        <v>2041</v>
      </c>
      <c r="N325" s="3"/>
      <c r="O325" s="3"/>
    </row>
    <row r="326" spans="8:15">
      <c r="H326" s="31">
        <v>51775</v>
      </c>
      <c r="I326" s="35">
        <v>6.457381740849641</v>
      </c>
      <c r="J326" s="35">
        <v>6.4675206438203388</v>
      </c>
      <c r="K326" s="35">
        <v>6.3529989220679743</v>
      </c>
      <c r="L326" s="35">
        <v>6.3227037237779786</v>
      </c>
      <c r="M326" s="104">
        <f t="shared" si="12"/>
        <v>2041</v>
      </c>
      <c r="N326" s="3"/>
      <c r="O326" s="3"/>
    </row>
    <row r="327" spans="8:15">
      <c r="H327" s="31">
        <v>51806</v>
      </c>
      <c r="I327" s="35">
        <v>6.9339101804724734</v>
      </c>
      <c r="J327" s="35">
        <v>6.9440490834431712</v>
      </c>
      <c r="K327" s="35">
        <v>7.0313322828465088</v>
      </c>
      <c r="L327" s="35">
        <v>6.6689849643681622</v>
      </c>
      <c r="M327" s="104">
        <f t="shared" si="12"/>
        <v>2041</v>
      </c>
      <c r="N327" s="3"/>
      <c r="O327" s="3"/>
    </row>
    <row r="328" spans="8:15">
      <c r="H328" s="31">
        <v>51836</v>
      </c>
      <c r="I328" s="35">
        <v>7.2583550755348281</v>
      </c>
      <c r="J328" s="35">
        <v>7.2684939785055258</v>
      </c>
      <c r="K328" s="35">
        <v>7.4196910771853641</v>
      </c>
      <c r="L328" s="35">
        <v>6.950024811803674</v>
      </c>
      <c r="M328" s="104">
        <f t="shared" si="12"/>
        <v>2041</v>
      </c>
      <c r="N328" s="3"/>
      <c r="O328" s="3"/>
    </row>
    <row r="329" spans="8:15">
      <c r="H329" s="31">
        <v>51867</v>
      </c>
      <c r="I329" s="35">
        <v>7.4307164260367031</v>
      </c>
      <c r="J329" s="35">
        <v>7.4408553290074018</v>
      </c>
      <c r="K329" s="35">
        <v>7.5905689466944608</v>
      </c>
      <c r="L329" s="35">
        <v>7.1521727592090736</v>
      </c>
      <c r="M329" s="104">
        <f t="shared" ref="M329:M340" si="13">YEAR(H329)</f>
        <v>2042</v>
      </c>
    </row>
    <row r="330" spans="8:15">
      <c r="H330" s="31">
        <v>51898</v>
      </c>
      <c r="I330" s="35">
        <v>7.2279383666227321</v>
      </c>
      <c r="J330" s="35">
        <v>7.2380772695934299</v>
      </c>
      <c r="K330" s="35">
        <v>7.3316630838018906</v>
      </c>
      <c r="L330" s="35">
        <v>6.9174041152263372</v>
      </c>
      <c r="M330" s="104">
        <f t="shared" si="13"/>
        <v>2042</v>
      </c>
    </row>
    <row r="331" spans="8:15">
      <c r="H331" s="31">
        <v>51926</v>
      </c>
      <c r="I331" s="35">
        <v>7.004882501267363</v>
      </c>
      <c r="J331" s="35">
        <v>7.0150214042380616</v>
      </c>
      <c r="K331" s="35">
        <v>7.0779353381671717</v>
      </c>
      <c r="L331" s="35">
        <v>6.7116427983539086</v>
      </c>
      <c r="M331" s="104">
        <f t="shared" si="13"/>
        <v>2042</v>
      </c>
    </row>
    <row r="332" spans="8:15">
      <c r="H332" s="31">
        <v>51957</v>
      </c>
      <c r="I332" s="35">
        <v>6.6094652854101188</v>
      </c>
      <c r="J332" s="35">
        <v>6.6196041883808165</v>
      </c>
      <c r="K332" s="35">
        <v>6.5549454951241799</v>
      </c>
      <c r="L332" s="35">
        <v>6.5159186188898923</v>
      </c>
      <c r="M332" s="104">
        <f t="shared" si="13"/>
        <v>2042</v>
      </c>
    </row>
    <row r="333" spans="8:15">
      <c r="H333" s="31">
        <v>51987</v>
      </c>
      <c r="I333" s="35">
        <v>6.6500208972929133</v>
      </c>
      <c r="J333" s="35">
        <v>6.6601598002636111</v>
      </c>
      <c r="K333" s="35">
        <v>6.4772737362564081</v>
      </c>
      <c r="L333" s="35">
        <v>6.4707515005520424</v>
      </c>
      <c r="M333" s="104">
        <f t="shared" si="13"/>
        <v>2042</v>
      </c>
    </row>
    <row r="334" spans="8:15">
      <c r="H334" s="31">
        <v>52018</v>
      </c>
      <c r="I334" s="35">
        <v>6.4979373527324347</v>
      </c>
      <c r="J334" s="35">
        <v>6.5080762557031333</v>
      </c>
      <c r="K334" s="35">
        <v>6.3167521012630141</v>
      </c>
      <c r="L334" s="35">
        <v>6.3477965672990058</v>
      </c>
      <c r="M334" s="104">
        <f t="shared" si="13"/>
        <v>2042</v>
      </c>
    </row>
    <row r="335" spans="8:15">
      <c r="H335" s="31">
        <v>52048</v>
      </c>
      <c r="I335" s="35">
        <v>6.8325211507654879</v>
      </c>
      <c r="J335" s="35">
        <v>6.8426600537361866</v>
      </c>
      <c r="K335" s="35">
        <v>6.3063958667473123</v>
      </c>
      <c r="L335" s="35">
        <v>6.6012342868613869</v>
      </c>
      <c r="M335" s="104">
        <f t="shared" si="13"/>
        <v>2042</v>
      </c>
    </row>
    <row r="336" spans="8:15">
      <c r="H336" s="31">
        <v>52079</v>
      </c>
      <c r="I336" s="35">
        <v>6.8730767626482825</v>
      </c>
      <c r="J336" s="35">
        <v>6.8832156656189802</v>
      </c>
      <c r="K336" s="35">
        <v>6.3426426875522717</v>
      </c>
      <c r="L336" s="35">
        <v>6.6388735521429281</v>
      </c>
      <c r="M336" s="104">
        <f t="shared" si="13"/>
        <v>2042</v>
      </c>
    </row>
    <row r="337" spans="8:13">
      <c r="H337" s="31">
        <v>52110</v>
      </c>
      <c r="I337" s="35">
        <v>6.9034934715603775</v>
      </c>
      <c r="J337" s="35">
        <v>6.9136323745310753</v>
      </c>
      <c r="K337" s="35">
        <v>6.4410269154514479</v>
      </c>
      <c r="L337" s="35">
        <v>6.6840406704807789</v>
      </c>
      <c r="M337" s="104">
        <f t="shared" si="13"/>
        <v>2042</v>
      </c>
    </row>
    <row r="338" spans="8:13">
      <c r="H338" s="31">
        <v>52140</v>
      </c>
      <c r="I338" s="35">
        <v>6.8933545685896789</v>
      </c>
      <c r="J338" s="35">
        <v>6.9034934715603775</v>
      </c>
      <c r="K338" s="35">
        <v>6.6015485504448428</v>
      </c>
      <c r="L338" s="35">
        <v>6.7543006323396568</v>
      </c>
      <c r="M338" s="104">
        <f t="shared" si="13"/>
        <v>2042</v>
      </c>
    </row>
    <row r="339" spans="8:13">
      <c r="H339" s="31">
        <v>52171</v>
      </c>
      <c r="I339" s="35">
        <v>7.5422443587143873</v>
      </c>
      <c r="J339" s="35">
        <v>7.552383261685085</v>
      </c>
      <c r="K339" s="35">
        <v>7.642350119272975</v>
      </c>
      <c r="L339" s="35">
        <v>7.2712132088728287</v>
      </c>
      <c r="M339" s="104">
        <f t="shared" si="13"/>
        <v>2042</v>
      </c>
    </row>
    <row r="340" spans="8:13">
      <c r="H340" s="31">
        <v>52201</v>
      </c>
      <c r="I340" s="35">
        <v>7.9173837686302342</v>
      </c>
      <c r="J340" s="35">
        <v>7.9275226716009328</v>
      </c>
      <c r="K340" s="35">
        <v>8.0980244379638986</v>
      </c>
      <c r="L340" s="35">
        <v>7.6024387433503957</v>
      </c>
      <c r="M340" s="104">
        <f t="shared" si="13"/>
        <v>2042</v>
      </c>
    </row>
    <row r="341" spans="8:13">
      <c r="H341" s="31">
        <v>0</v>
      </c>
      <c r="I341" s="35" t="e">
        <v>#N/A</v>
      </c>
      <c r="J341" s="35" t="e">
        <v>#N/A</v>
      </c>
      <c r="K341" s="35" t="e">
        <v>#N/A</v>
      </c>
      <c r="L341" s="35" t="e">
        <v>#N/A</v>
      </c>
      <c r="M341" s="104">
        <f t="shared" ref="M341:M343" si="14">YEAR(H341)</f>
        <v>1900</v>
      </c>
    </row>
    <row r="342" spans="8:13">
      <c r="H342" s="31">
        <v>0</v>
      </c>
      <c r="I342" s="35" t="e">
        <v>#N/A</v>
      </c>
      <c r="J342" s="35" t="e">
        <v>#N/A</v>
      </c>
      <c r="K342" s="35" t="e">
        <v>#N/A</v>
      </c>
      <c r="L342" s="35" t="e">
        <v>#N/A</v>
      </c>
      <c r="M342" s="104">
        <f t="shared" si="14"/>
        <v>1900</v>
      </c>
    </row>
    <row r="343" spans="8:13">
      <c r="H343" s="31">
        <v>0</v>
      </c>
      <c r="I343" s="35" t="e">
        <v>#N/A</v>
      </c>
      <c r="J343" s="35" t="e">
        <v>#N/A</v>
      </c>
      <c r="K343" s="35" t="e">
        <v>#N/A</v>
      </c>
      <c r="L343" s="35" t="e">
        <v>#N/A</v>
      </c>
      <c r="M343" s="104">
        <f t="shared" si="14"/>
        <v>1900</v>
      </c>
    </row>
    <row r="344" spans="8:13">
      <c r="H344" s="31"/>
      <c r="I344" s="35"/>
      <c r="J344" s="35"/>
      <c r="M344" s="104"/>
    </row>
    <row r="345" spans="8:13">
      <c r="H345" s="31"/>
      <c r="I345" s="35"/>
      <c r="J345" s="35"/>
      <c r="M345" s="104"/>
    </row>
  </sheetData>
  <phoneticPr fontId="8" type="noConversion"/>
  <printOptions horizontalCentered="1"/>
  <pageMargins left="0.25" right="0.25" top="0.75" bottom="0.75" header="0.3" footer="0.3"/>
  <pageSetup scale="9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/>
  </sheetViews>
  <sheetFormatPr defaultRowHeight="12.75"/>
  <cols>
    <col min="1" max="2" width="12" customWidth="1"/>
    <col min="3" max="3" width="13.33203125" customWidth="1"/>
    <col min="4" max="4" width="13.83203125" customWidth="1"/>
    <col min="5" max="6" width="14.1640625" customWidth="1"/>
    <col min="7" max="8" width="14.5" customWidth="1"/>
    <col min="9" max="10" width="13.83203125" customWidth="1"/>
    <col min="11" max="13" width="14.33203125" customWidth="1"/>
    <col min="14" max="14" width="36.6640625" customWidth="1"/>
  </cols>
  <sheetData>
    <row r="1" spans="1:14">
      <c r="B1" s="412" t="s">
        <v>159</v>
      </c>
      <c r="C1" s="412"/>
      <c r="D1" s="412"/>
      <c r="E1" s="412"/>
      <c r="F1" s="412"/>
      <c r="G1" s="412"/>
      <c r="H1" s="412"/>
      <c r="I1" s="412"/>
      <c r="J1" s="412"/>
      <c r="K1" s="412"/>
      <c r="M1" s="346"/>
    </row>
    <row r="2" spans="1:14">
      <c r="B2" s="165"/>
      <c r="C2" s="165"/>
      <c r="D2" s="165"/>
      <c r="E2" s="165"/>
      <c r="F2" s="165"/>
      <c r="G2" s="165"/>
      <c r="H2" s="165"/>
      <c r="I2" s="165"/>
      <c r="J2" s="165"/>
      <c r="K2" s="165"/>
      <c r="M2" s="165"/>
    </row>
    <row r="3" spans="1:14">
      <c r="A3" s="343" t="s">
        <v>103</v>
      </c>
      <c r="B3" s="344">
        <v>2024</v>
      </c>
      <c r="C3" s="344">
        <v>2030</v>
      </c>
      <c r="D3" s="344">
        <v>2024</v>
      </c>
      <c r="E3" s="344">
        <v>2024</v>
      </c>
      <c r="F3" s="344">
        <v>2024</v>
      </c>
      <c r="G3" s="344">
        <v>2024</v>
      </c>
      <c r="H3" s="344">
        <v>2029</v>
      </c>
      <c r="I3" s="344">
        <v>2024</v>
      </c>
      <c r="J3" s="344">
        <v>2030</v>
      </c>
      <c r="K3" s="344">
        <v>2026</v>
      </c>
      <c r="L3" s="344">
        <v>2029</v>
      </c>
      <c r="M3" s="344">
        <v>2032</v>
      </c>
    </row>
    <row r="4" spans="1:14" ht="51">
      <c r="B4" s="200" t="s">
        <v>158</v>
      </c>
      <c r="C4" s="200" t="s">
        <v>167</v>
      </c>
      <c r="D4" s="200" t="s">
        <v>166</v>
      </c>
      <c r="E4" s="200" t="s">
        <v>165</v>
      </c>
      <c r="F4" s="200" t="s">
        <v>163</v>
      </c>
      <c r="G4" s="200" t="s">
        <v>164</v>
      </c>
      <c r="H4" s="200" t="s">
        <v>164</v>
      </c>
      <c r="I4" s="200" t="s">
        <v>162</v>
      </c>
      <c r="J4" s="200" t="s">
        <v>162</v>
      </c>
      <c r="K4" s="200" t="s">
        <v>168</v>
      </c>
      <c r="L4" s="200" t="s">
        <v>173</v>
      </c>
      <c r="M4" s="200" t="s">
        <v>172</v>
      </c>
    </row>
    <row r="5" spans="1:14" hidden="1">
      <c r="A5" s="135">
        <v>2018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4" hidden="1">
      <c r="A6" s="135">
        <f>A5+1</f>
        <v>2019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1:14" hidden="1">
      <c r="A7" s="135">
        <f t="shared" ref="A7:A46" si="0">A6+1</f>
        <v>2020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</row>
    <row r="8" spans="1:14" hidden="1">
      <c r="A8" s="135">
        <f t="shared" si="0"/>
        <v>2021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4" hidden="1">
      <c r="A9" s="135">
        <f t="shared" si="0"/>
        <v>2022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14" hidden="1">
      <c r="A10" s="135">
        <f t="shared" si="0"/>
        <v>2023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4">
      <c r="A11" s="135">
        <f t="shared" si="0"/>
        <v>2024</v>
      </c>
      <c r="B11" s="130">
        <f>INDEX('Table 3 WYAE Wind_2024'!$J$10:$J$36,MATCH($A11,'Table 3 WYAE Wind_2024'!$B$10:$B$36,0),1)</f>
        <v>23.315627401653863</v>
      </c>
      <c r="C11" s="130"/>
      <c r="D11" s="130">
        <f>INDEX('Table 3 PV wS YK_2024'!$I$10:$I$33,MATCH($A11,'Table 3 PV wS YK_2024'!$B$10:$B$33,0),1)</f>
        <v>41.129454355073626</v>
      </c>
      <c r="E11" s="130">
        <f>INDEX('Table 3 PV wS SO_2024'!$I$10:$I$33,MATCH($A11,'Table 3 PV wS SO_2024'!$B$10:$B$33,0),1)</f>
        <v>35.883813533353816</v>
      </c>
      <c r="F11" s="130">
        <f>INDEX('Table 3 PV wS UTN_2024'!$I$10:$I$33,MATCH($A11,'Table 3 PV wS UTN_2024'!$B$10:$B$33,0),1)</f>
        <v>35.103062221961899</v>
      </c>
      <c r="G11" s="130">
        <f>INDEX('Table 3 PV wS JB_2024'!$I$10:$I$33,MATCH($A11,'Table 3 PV wS JB_2024'!$B$10:$B$33,0),1)</f>
        <v>34.084229367526298</v>
      </c>
      <c r="H11" s="130"/>
      <c r="I11" s="130">
        <f>INDEX('Table 3 PV wS UTS_2024'!$I$10:$I$36,MATCH($A11,'Table 3 PV wS UTS_2024'!$B$10:$B$36,0),1)</f>
        <v>32.129957120151957</v>
      </c>
      <c r="J11" s="130"/>
      <c r="K11" s="130"/>
      <c r="L11" s="130"/>
      <c r="M11" s="130"/>
    </row>
    <row r="12" spans="1:14">
      <c r="A12" s="135">
        <f t="shared" si="0"/>
        <v>2025</v>
      </c>
      <c r="B12" s="130">
        <f>INDEX('Table 3 WYAE Wind_2024'!$J$10:$J$36,MATCH($A12,'Table 3 WYAE Wind_2024'!$B$10:$B$36,0),1)</f>
        <v>23.825298147682684</v>
      </c>
      <c r="C12" s="130"/>
      <c r="D12" s="130">
        <f>INDEX('Table 3 PV wS YK_2024'!$I$10:$I$33,MATCH($A12,'Table 3 PV wS YK_2024'!$B$10:$B$33,0),1)</f>
        <v>41.995960660344224</v>
      </c>
      <c r="E12" s="130">
        <f>INDEX('Table 3 PV wS SO_2024'!$I$10:$I$33,MATCH($A12,'Table 3 PV wS SO_2024'!$B$10:$B$33,0),1)</f>
        <v>36.637301477484129</v>
      </c>
      <c r="F12" s="130">
        <f>INDEX('Table 3 PV wS UTN_2024'!$I$10:$I$33,MATCH($A12,'Table 3 PV wS UTN_2024'!$B$10:$B$33,0),1)</f>
        <v>35.843231845143286</v>
      </c>
      <c r="G12" s="130">
        <f>INDEX('Table 3 PV wS JB_2024'!$I$10:$I$33,MATCH($A12,'Table 3 PV wS JB_2024'!$B$10:$B$33,0),1)</f>
        <v>34.800285198501193</v>
      </c>
      <c r="H12" s="130"/>
      <c r="I12" s="130">
        <f>INDEX('Table 3 PV wS UTS_2024'!$I$10:$I$36,MATCH($A12,'Table 3 PV wS UTS_2024'!$B$10:$B$36,0),1)</f>
        <v>32.806462943449247</v>
      </c>
      <c r="J12" s="130"/>
      <c r="K12" s="130"/>
      <c r="L12" s="130"/>
      <c r="M12" s="130"/>
    </row>
    <row r="13" spans="1:14">
      <c r="A13" s="135">
        <f t="shared" si="0"/>
        <v>2026</v>
      </c>
      <c r="B13" s="130">
        <f>INDEX('Table 3 WYAE Wind_2024'!$J$10:$J$36,MATCH($A13,'Table 3 WYAE Wind_2024'!$B$10:$B$36,0),1)</f>
        <v>24.354965482873222</v>
      </c>
      <c r="C13" s="130"/>
      <c r="D13" s="130">
        <f>INDEX('Table 3 PV wS YK_2024'!$I$10:$I$33,MATCH($A13,'Table 3 PV wS YK_2024'!$B$10:$B$33,0),1)</f>
        <v>42.922374429223737</v>
      </c>
      <c r="E13" s="130">
        <f>INDEX('Table 3 PV wS SO_2024'!$I$10:$I$33,MATCH($A13,'Table 3 PV wS SO_2024'!$B$10:$B$33,0),1)</f>
        <v>37.444459818889044</v>
      </c>
      <c r="F13" s="130">
        <f>INDEX('Table 3 PV wS UTN_2024'!$I$10:$I$33,MATCH($A13,'Table 3 PV wS UTN_2024'!$B$10:$B$33,0),1)</f>
        <v>36.63207876333076</v>
      </c>
      <c r="G13" s="130">
        <f>INDEX('Table 3 PV wS JB_2024'!$I$10:$I$33,MATCH($A13,'Table 3 PV wS JB_2024'!$B$10:$B$33,0),1)</f>
        <v>35.566376917125567</v>
      </c>
      <c r="H13" s="130"/>
      <c r="I13" s="130">
        <f>INDEX('Table 3 PV wS UTS_2024'!$I$10:$I$36,MATCH($A13,'Table 3 PV wS UTS_2024'!$B$10:$B$36,0),1)</f>
        <v>33.526519142957497</v>
      </c>
      <c r="J13" s="130"/>
      <c r="K13" s="130">
        <f>INDEX('Table 3 185 MW (NTN) 2026)'!$K$14:$K$41,MATCH($A13,'Table 3 185 MW (NTN) 2026)'!$B$14:$B$41,0),1)</f>
        <v>74.62</v>
      </c>
      <c r="L13" s="130"/>
      <c r="M13" s="130"/>
      <c r="N13" t="s">
        <v>169</v>
      </c>
    </row>
    <row r="14" spans="1:14">
      <c r="A14" s="135">
        <f t="shared" si="0"/>
        <v>2027</v>
      </c>
      <c r="B14" s="130">
        <f>INDEX('Table 3 WYAE Wind_2024'!$J$10:$J$36,MATCH($A14,'Table 3 WYAE Wind_2024'!$B$10:$B$36,0),1)</f>
        <v>25.914906877941164</v>
      </c>
      <c r="C14" s="130"/>
      <c r="D14" s="130">
        <f>INDEX('Table 3 PV wS YK_2024'!$I$10:$I$33,MATCH($A14,'Table 3 PV wS YK_2024'!$B$10:$B$33,0),1)</f>
        <v>43.910256410256409</v>
      </c>
      <c r="E14" s="130">
        <f>INDEX('Table 3 PV wS SO_2024'!$I$10:$I$33,MATCH($A14,'Table 3 PV wS SO_2024'!$B$10:$B$33,0),1)</f>
        <v>38.305428716387624</v>
      </c>
      <c r="F14" s="130">
        <f>INDEX('Table 3 PV wS UTN_2024'!$I$10:$I$33,MATCH($A14,'Table 3 PV wS UTN_2024'!$B$10:$B$33,0),1)</f>
        <v>37.474021147165473</v>
      </c>
      <c r="G14" s="130">
        <f>INDEX('Table 3 PV wS JB_2024'!$I$10:$I$33,MATCH($A14,'Table 3 PV wS JB_2024'!$B$10:$B$33,0),1)</f>
        <v>36.385564101397172</v>
      </c>
      <c r="H14" s="130"/>
      <c r="I14" s="130">
        <f>INDEX('Table 3 PV wS UTS_2024'!$I$10:$I$36,MATCH($A14,'Table 3 PV wS UTS_2024'!$B$10:$B$36,0),1)</f>
        <v>34.299262381454163</v>
      </c>
      <c r="J14" s="130"/>
      <c r="K14" s="130">
        <f>INDEX('Table 3 185 MW (NTN) 2026)'!$K$14:$K$41,MATCH($A14,'Table 3 185 MW (NTN) 2026)'!$B$14:$B$41,0),1)</f>
        <v>76.41</v>
      </c>
      <c r="L14" s="130"/>
      <c r="M14" s="130"/>
      <c r="N14" s="269">
        <v>2.2750000000000006E-2</v>
      </c>
    </row>
    <row r="15" spans="1:14">
      <c r="A15" s="135">
        <f t="shared" si="0"/>
        <v>2028</v>
      </c>
      <c r="B15" s="130">
        <f>INDEX('Table 3 WYAE Wind_2024'!$J$10:$J$36,MATCH($A15,'Table 3 WYAE Wind_2024'!$B$10:$B$36,0),1)</f>
        <v>26.490976123399378</v>
      </c>
      <c r="C15" s="130"/>
      <c r="D15" s="130">
        <f>INDEX('Table 3 PV wS YK_2024'!$I$10:$I$33,MATCH($A15,'Table 3 PV wS YK_2024'!$B$10:$B$33,0),1)</f>
        <v>44.920091324200911</v>
      </c>
      <c r="E15" s="130">
        <f>INDEX('Table 3 PV wS SO_2024'!$I$10:$I$33,MATCH($A15,'Table 3 PV wS SO_2024'!$B$10:$B$33,0),1)</f>
        <v>39.185615669633933</v>
      </c>
      <c r="F15" s="130">
        <f>INDEX('Table 3 PV wS UTN_2024'!$I$10:$I$33,MATCH($A15,'Table 3 PV wS UTN_2024'!$B$10:$B$33,0),1)</f>
        <v>38.33492619730275</v>
      </c>
      <c r="G15" s="130">
        <f>INDEX('Table 3 PV wS JB_2024'!$I$10:$I$33,MATCH($A15,'Table 3 PV wS JB_2024'!$B$10:$B$33,0),1)</f>
        <v>37.219921418710854</v>
      </c>
      <c r="H15" s="130"/>
      <c r="I15" s="130">
        <f>INDEX('Table 3 PV wS UTS_2024'!$I$10:$I$36,MATCH($A15,'Table 3 PV wS UTS_2024'!$B$10:$B$36,0),1)</f>
        <v>35.089567966280292</v>
      </c>
      <c r="J15" s="130"/>
      <c r="K15" s="130">
        <f>INDEX('Table 3 185 MW (NTN) 2026)'!$K$14:$K$41,MATCH($A15,'Table 3 185 MW (NTN) 2026)'!$B$14:$B$41,0),1)</f>
        <v>79.2</v>
      </c>
      <c r="L15" s="130"/>
      <c r="M15" s="130"/>
    </row>
    <row r="16" spans="1:14">
      <c r="A16" s="135">
        <f t="shared" si="0"/>
        <v>2029</v>
      </c>
      <c r="B16" s="130">
        <f>INDEX('Table 3 WYAE Wind_2024'!$J$10:$J$36,MATCH($A16,'Table 3 WYAE Wind_2024'!$B$10:$B$36,0),1)</f>
        <v>27.077964013167996</v>
      </c>
      <c r="C16" s="130"/>
      <c r="D16" s="130">
        <f>INDEX('Table 3 PV wS YK_2024'!$I$10:$I$33,MATCH($A16,'Table 3 PV wS YK_2024'!$B$10:$B$33,0),1)</f>
        <v>45.95187917105725</v>
      </c>
      <c r="E16" s="130">
        <f>INDEX('Table 3 PV wS SO_2024'!$I$10:$I$33,MATCH($A16,'Table 3 PV wS SO_2024'!$B$10:$B$33,0),1)</f>
        <v>40.08886428977754</v>
      </c>
      <c r="F16" s="130">
        <f>INDEX('Table 3 PV wS UTN_2024'!$I$10:$I$33,MATCH($A16,'Table 3 PV wS UTN_2024'!$B$10:$B$33,0),1)</f>
        <v>39.214793913742632</v>
      </c>
      <c r="G16" s="130">
        <f>INDEX('Table 3 PV wS JB_2024'!$I$10:$I$33,MATCH($A16,'Table 3 PV wS JB_2024'!$B$10:$B$33,0),1)</f>
        <v>38.077033935587622</v>
      </c>
      <c r="H16" s="130">
        <f>INDEX('Table 3 PV wS JB_2029'!$I$10:$I$33,MATCH($A16,'Table 3 PV wS JB_2029'!$B$10:$B$33,0),1)</f>
        <v>34.959163692345548</v>
      </c>
      <c r="I16" s="130">
        <f>INDEX('Table 3 PV wS UTS_2024'!$I$10:$I$36,MATCH($A16,'Table 3 PV wS UTS_2024'!$B$10:$B$36,0),1)</f>
        <v>35.897435897435905</v>
      </c>
      <c r="J16" s="130"/>
      <c r="K16" s="130">
        <f>INDEX('Table 3 185 MW (NTN) 2026)'!$K$14:$K$41,MATCH($A16,'Table 3 185 MW (NTN) 2026)'!$B$14:$B$41,0),1)</f>
        <v>82.8</v>
      </c>
      <c r="L16" s="130">
        <f>INDEX('Table 3 YK Wind wS_2029'!$I$10:$I$33,MATCH($A16,'Table 3 YK Wind wS_2029'!$B$10:$B$33,0),1)</f>
        <v>56.578924791790222</v>
      </c>
      <c r="M16" s="130"/>
    </row>
    <row r="17" spans="1:13">
      <c r="A17" s="135">
        <f t="shared" si="0"/>
        <v>2030</v>
      </c>
      <c r="B17" s="130">
        <f>INDEX('Table 3 WYAE Wind_2024'!$J$10:$J$36,MATCH($A17,'Table 3 WYAE Wind_2024'!$B$10:$B$36,0),1)</f>
        <v>27.671216119978212</v>
      </c>
      <c r="C17" s="130">
        <f>IF($A17&lt;C$3,0,INDEX('Table 3 ID Wind_2030'!$I$10:$I$33,MATCH($A17,'Table 3 ID Wind_2030'!$B$10:$B$33,0),1))</f>
        <v>41.937525924556674</v>
      </c>
      <c r="D17" s="130">
        <f>INDEX('Table 3 PV wS YK_2024'!$I$10:$I$33,MATCH($A17,'Table 3 PV wS YK_2024'!$B$10:$B$33,0),1)</f>
        <v>47.005619950825434</v>
      </c>
      <c r="E17" s="130">
        <f>INDEX('Table 3 PV wS SO_2024'!$I$10:$I$33,MATCH($A17,'Table 3 PV wS SO_2024'!$B$10:$B$33,0),1)</f>
        <v>41.00748735451932</v>
      </c>
      <c r="F17" s="130">
        <f>INDEX('Table 3 PV wS UTN_2024'!$I$10:$I$33,MATCH($A17,'Table 3 PV wS UTN_2024'!$B$10:$B$33,0),1)</f>
        <v>40.117416829745608</v>
      </c>
      <c r="G17" s="130">
        <f>INDEX('Table 3 PV wS JB_2024'!$I$10:$I$33,MATCH($A17,'Table 3 PV wS JB_2024'!$B$10:$B$33,0),1)</f>
        <v>38.949316585506452</v>
      </c>
      <c r="H17" s="130">
        <f>INDEX('Table 3 PV wS JB_2029'!$I$10:$I$33,MATCH($A17,'Table 3 PV wS JB_2029'!$B$10:$B$33,0),1)</f>
        <v>35.759796113411916</v>
      </c>
      <c r="I17" s="130">
        <f>INDEX('Table 3 PV wS UTS_2024'!$I$10:$I$36,MATCH($A17,'Table 3 PV wS UTS_2024'!$B$10:$B$36,0),1)</f>
        <v>36.722866174920973</v>
      </c>
      <c r="J17" s="130">
        <f>INDEX('Table 3 PV wS UTS_2030'!$I$10:$I$36,MATCH($A17,'Table 3 PV wS UTS_2030'!$B$10:$B$36,0),1)</f>
        <v>47.250192183350762</v>
      </c>
      <c r="K17" s="130">
        <f>INDEX('Table 3 185 MW (NTN) 2026)'!$K$14:$K$41,MATCH($A17,'Table 3 185 MW (NTN) 2026)'!$B$14:$B$41,0),1)</f>
        <v>86.71</v>
      </c>
      <c r="L17" s="130">
        <f>INDEX('Table 3 YK Wind wS_2029'!$I$10:$I$33,MATCH($A17,'Table 3 YK Wind wS_2029'!$B$10:$B$33,0),1)</f>
        <v>57.864464203138702</v>
      </c>
      <c r="M17" s="130"/>
    </row>
    <row r="18" spans="1:13">
      <c r="A18" s="135">
        <f t="shared" si="0"/>
        <v>2031</v>
      </c>
      <c r="B18" s="130">
        <f>INDEX('Table 3 WYAE Wind_2024'!$J$10:$J$36,MATCH($A18,'Table 3 WYAE Wind_2024'!$B$10:$B$36,0),1)</f>
        <v>28.280596077178725</v>
      </c>
      <c r="C18" s="130">
        <f>IF($A18&lt;C$3,0,INDEX('Table 3 ID Wind_2030'!$I$10:$I$33,MATCH($A18,'Table 3 ID Wind_2030'!$B$10:$B$33,0),1))</f>
        <v>42.902079509892665</v>
      </c>
      <c r="D18" s="130">
        <f>INDEX('Table 3 PV wS YK_2024'!$I$10:$I$33,MATCH($A18,'Table 3 PV wS YK_2024'!$B$10:$B$33,0),1)</f>
        <v>48.085704250087808</v>
      </c>
      <c r="E18" s="130">
        <f>INDEX('Table 3 PV wS SO_2024'!$I$10:$I$33,MATCH($A18,'Table 3 PV wS SO_2024'!$B$10:$B$33,0),1)</f>
        <v>41.949172086158384</v>
      </c>
      <c r="F18" s="130">
        <f>INDEX('Table 3 PV wS UTN_2024'!$I$10:$I$33,MATCH($A18,'Table 3 PV wS UTN_2024'!$B$10:$B$33,0),1)</f>
        <v>41.039002412051154</v>
      </c>
      <c r="G18" s="130">
        <f>INDEX('Table 3 PV wS JB_2024'!$I$10:$I$33,MATCH($A18,'Table 3 PV wS JB_2024'!$B$10:$B$33,0),1)</f>
        <v>39.844354434988396</v>
      </c>
      <c r="H18" s="130">
        <f>INDEX('Table 3 PV wS JB_2029'!$I$10:$I$33,MATCH($A18,'Table 3 PV wS JB_2029'!$B$10:$B$33,0),1)</f>
        <v>36.582775830944044</v>
      </c>
      <c r="I18" s="130">
        <f>INDEX('Table 3 PV wS UTS_2024'!$I$10:$I$36,MATCH($A18,'Table 3 PV wS UTS_2024'!$B$10:$B$36,0),1)</f>
        <v>37.565858798735512</v>
      </c>
      <c r="J18" s="130">
        <f>INDEX('Table 3 PV wS UTS_2030'!$I$10:$I$36,MATCH($A18,'Table 3 PV wS UTS_2030'!$B$10:$B$36,0),1)</f>
        <v>48.335089567966278</v>
      </c>
      <c r="K18" s="130">
        <f>INDEX('Table 3 185 MW (NTN) 2026)'!$K$14:$K$41,MATCH($A18,'Table 3 185 MW (NTN) 2026)'!$B$14:$B$41,0),1)</f>
        <v>89.56</v>
      </c>
      <c r="L18" s="130">
        <f>INDEX('Table 3 YK Wind wS_2029'!$I$10:$I$33,MATCH($A18,'Table 3 YK Wind wS_2029'!$B$10:$B$33,0),1)</f>
        <v>59.201321671525761</v>
      </c>
      <c r="M18" s="130"/>
    </row>
    <row r="19" spans="1:13">
      <c r="A19" s="135">
        <f t="shared" si="0"/>
        <v>2032</v>
      </c>
      <c r="B19" s="130">
        <f>INDEX('Table 3 WYAE Wind_2024'!$J$10:$J$36,MATCH($A19,'Table 3 WYAE Wind_2024'!$B$10:$B$36,0),1)</f>
        <v>28.906240251420829</v>
      </c>
      <c r="C19" s="130">
        <f>IF($A19&lt;C$3,0,INDEX('Table 3 ID Wind_2030'!$I$10:$I$33,MATCH($A19,'Table 3 ID Wind_2030'!$B$10:$B$33,0),1))</f>
        <v>43.883675040324057</v>
      </c>
      <c r="D19" s="130">
        <f>INDEX('Table 3 PV wS YK_2024'!$I$10:$I$33,MATCH($A19,'Table 3 PV wS YK_2024'!$B$10:$B$33,0),1)</f>
        <v>49.192132068844401</v>
      </c>
      <c r="E19" s="130">
        <f>INDEX('Table 3 PV wS SO_2024'!$I$10:$I$33,MATCH($A19,'Table 3 PV wS SO_2024'!$B$10:$B$33,0),1)</f>
        <v>42.913918484694747</v>
      </c>
      <c r="F19" s="130">
        <f>INDEX('Table 3 PV wS UTN_2024'!$I$10:$I$33,MATCH($A19,'Table 3 PV wS UTN_2024'!$B$10:$B$33,0),1)</f>
        <v>41.983343193919815</v>
      </c>
      <c r="G19" s="130">
        <f>INDEX('Table 3 PV wS JB_2024'!$I$10:$I$33,MATCH($A19,'Table 3 PV wS JB_2024'!$B$10:$B$33,0),1)</f>
        <v>40.762147484033441</v>
      </c>
      <c r="H19" s="130">
        <f>INDEX('Table 3 PV wS JB_2029'!$I$10:$I$33,MATCH($A19,'Table 3 PV wS JB_2029'!$B$10:$B$33,0),1)</f>
        <v>37.42471821477875</v>
      </c>
      <c r="I19" s="130">
        <f>INDEX('Table 3 PV wS UTS_2024'!$I$10:$I$36,MATCH($A19,'Table 3 PV wS UTS_2024'!$B$10:$B$36,0),1)</f>
        <v>38.429926238145413</v>
      </c>
      <c r="J19" s="130">
        <f>INDEX('Table 3 PV wS UTS_2030'!$I$10:$I$36,MATCH($A19,'Table 3 PV wS UTS_2030'!$B$10:$B$36,0),1)</f>
        <v>49.448542325254657</v>
      </c>
      <c r="K19" s="130">
        <f>INDEX('Table 3 185 MW (NTN) 2026)'!$K$14:$K$41,MATCH($A19,'Table 3 185 MW (NTN) 2026)'!$B$14:$B$41,0),1)</f>
        <v>90.97</v>
      </c>
      <c r="L19" s="130">
        <f>INDEX('Table 3 YK Wind wS_2029'!$I$10:$I$33,MATCH($A19,'Table 3 YK Wind wS_2029'!$B$10:$B$33,0),1)</f>
        <v>60.566640905596074</v>
      </c>
      <c r="M19" s="130">
        <f>INDEX('Table 3 ID Wind wS_2032'!$I$10:$I$33,MATCH($A19,'Table 3 ID Wind wS_2032'!$B$10:$B$33,0),1)</f>
        <v>47.608568784015191</v>
      </c>
    </row>
    <row r="20" spans="1:13">
      <c r="A20" s="135">
        <f t="shared" si="0"/>
        <v>2033</v>
      </c>
      <c r="B20" s="130">
        <f>INDEX('Table 3 WYAE Wind_2024'!$J$10:$J$36,MATCH($A20,'Table 3 WYAE Wind_2024'!$B$10:$B$36,0),1)</f>
        <v>29.550630515758311</v>
      </c>
      <c r="C20" s="130">
        <f>IF($A20&lt;C$3,0,INDEX('Table 3 ID Wind_2030'!$I$10:$I$33,MATCH($A20,'Table 3 ID Wind_2030'!$B$10:$B$33,0),1))</f>
        <v>44.889651845763858</v>
      </c>
      <c r="D20" s="130">
        <f>INDEX('Table 3 PV wS YK_2024'!$I$10:$I$33,MATCH($A20,'Table 3 PV wS YK_2024'!$B$10:$B$33,0),1)</f>
        <v>50.320512820512818</v>
      </c>
      <c r="E20" s="130">
        <f>INDEX('Table 3 PV wS SO_2024'!$I$10:$I$33,MATCH($A20,'Table 3 PV wS SO_2024'!$B$10:$B$33,0),1)</f>
        <v>43.897882938978839</v>
      </c>
      <c r="F20" s="130">
        <f>INDEX('Table 3 PV wS UTN_2024'!$I$10:$I$33,MATCH($A20,'Table 3 PV wS UTN_2024'!$B$10:$B$33,0),1)</f>
        <v>42.946646642091054</v>
      </c>
      <c r="G20" s="130">
        <f>INDEX('Table 3 PV wS JB_2024'!$I$10:$I$33,MATCH($A20,'Table 3 PV wS JB_2024'!$B$10:$B$33,0),1)</f>
        <v>41.698903199381064</v>
      </c>
      <c r="H20" s="130">
        <f>INDEX('Table 3 PV wS JB_2029'!$I$10:$I$33,MATCH($A20,'Table 3 PV wS JB_2029'!$B$10:$B$33,0),1)</f>
        <v>38.28562326491604</v>
      </c>
      <c r="I20" s="130">
        <f>INDEX('Table 3 PV wS UTS_2024'!$I$10:$I$36,MATCH($A20,'Table 3 PV wS UTS_2024'!$B$10:$B$36,0),1)</f>
        <v>39.311556023884791</v>
      </c>
      <c r="J20" s="130">
        <f>INDEX('Table 3 PV wS UTS_2030'!$I$10:$I$36,MATCH($A20,'Table 3 PV wS UTS_2030'!$B$10:$B$36,0),1)</f>
        <v>50.58306989813839</v>
      </c>
      <c r="K20" s="130">
        <f>INDEX('Table 3 185 MW (NTN) 2026)'!$K$14:$K$41,MATCH($A20,'Table 3 185 MW (NTN) 2026)'!$B$14:$B$41,0),1)</f>
        <v>93.28</v>
      </c>
      <c r="L20" s="130">
        <f>INDEX('Table 3 YK Wind wS_2029'!$I$10:$I$33,MATCH($A20,'Table 3 YK Wind wS_2029'!$B$10:$B$33,0),1)</f>
        <v>61.960421905349669</v>
      </c>
      <c r="M20" s="130">
        <f>INDEX('Table 3 ID Wind wS_2032'!$I$10:$I$33,MATCH($A20,'Table 3 ID Wind wS_2032'!$B$10:$B$33,0),1)</f>
        <v>48.701485801272014</v>
      </c>
    </row>
    <row r="21" spans="1:13">
      <c r="A21" s="135">
        <f t="shared" si="0"/>
        <v>2034</v>
      </c>
      <c r="B21" s="130">
        <f>INDEX('Table 3 WYAE Wind_2024'!$J$10:$J$36,MATCH($A21,'Table 3 WYAE Wind_2024'!$B$10:$B$36,0),1)</f>
        <v>55.831148630486084</v>
      </c>
      <c r="C21" s="130">
        <f>IF($A21&lt;C$3,0,INDEX('Table 3 ID Wind_2030'!$I$10:$I$33,MATCH($A21,'Table 3 ID Wind_2030'!$B$10:$B$33,0),1))</f>
        <v>45.920601877144605</v>
      </c>
      <c r="D21" s="130">
        <f>INDEX('Table 3 PV wS YK_2024'!$I$10:$I$33,MATCH($A21,'Table 3 PV wS YK_2024'!$B$10:$B$33,0),1)</f>
        <v>51.475237091675446</v>
      </c>
      <c r="E21" s="130">
        <f>INDEX('Table 3 PV wS SO_2024'!$I$10:$I$33,MATCH($A21,'Table 3 PV wS SO_2024'!$B$10:$B$33,0),1)</f>
        <v>44.904909060160207</v>
      </c>
      <c r="F21" s="130">
        <f>INDEX('Table 3 PV wS UTN_2024'!$I$10:$I$33,MATCH($A21,'Table 3 PV wS UTN_2024'!$B$10:$B$33,0),1)</f>
        <v>43.9327052898254</v>
      </c>
      <c r="G21" s="130">
        <f>INDEX('Table 3 PV wS JB_2024'!$I$10:$I$33,MATCH($A21,'Table 3 PV wS JB_2024'!$B$10:$B$33,0),1)</f>
        <v>42.658414114291787</v>
      </c>
      <c r="H21" s="130">
        <f>INDEX('Table 3 PV wS JB_2029'!$I$10:$I$33,MATCH($A21,'Table 3 PV wS JB_2029'!$B$10:$B$33,0),1)</f>
        <v>39.165490981355909</v>
      </c>
      <c r="I21" s="130">
        <f>INDEX('Table 3 PV wS UTS_2024'!$I$10:$I$36,MATCH($A21,'Table 3 PV wS UTS_2024'!$B$10:$B$36,0),1)</f>
        <v>40.214260625219531</v>
      </c>
      <c r="J21" s="130">
        <f>INDEX('Table 3 PV wS UTS_2030'!$I$10:$I$36,MATCH($A21,'Table 3 PV wS UTS_2030'!$B$10:$B$36,0),1)</f>
        <v>51.745697225149279</v>
      </c>
      <c r="K21" s="130">
        <f>INDEX('Table 3 185 MW (NTN) 2026)'!$K$14:$K$41,MATCH($A21,'Table 3 185 MW (NTN) 2026)'!$B$14:$B$41,0),1)</f>
        <v>95.92</v>
      </c>
      <c r="L21" s="130">
        <f>INDEX('Table 3 YK Wind wS_2029'!$I$10:$I$33,MATCH($A21,'Table 3 YK Wind wS_2029'!$B$10:$B$33,0),1)</f>
        <v>63.375741631733753</v>
      </c>
      <c r="M21" s="130">
        <f>INDEX('Table 3 ID Wind wS_2032'!$I$10:$I$33,MATCH($A21,'Table 3 ID Wind wS_2032'!$B$10:$B$33,0),1)</f>
        <v>49.821234682134452</v>
      </c>
    </row>
    <row r="22" spans="1:13">
      <c r="A22" s="135">
        <f t="shared" si="0"/>
        <v>2035</v>
      </c>
      <c r="B22" s="130">
        <f>INDEX('Table 3 WYAE Wind_2024'!$J$10:$J$36,MATCH($A22,'Table 3 WYAE Wind_2024'!$B$10:$B$36,0),1)</f>
        <v>57.090549201960535</v>
      </c>
      <c r="C22" s="130">
        <f>IF($A22&lt;C$3,0,INDEX('Table 3 ID Wind_2030'!$I$10:$I$33,MATCH($A22,'Table 3 ID Wind_2030'!$B$10:$B$33,0),1))</f>
        <v>46.972856222586557</v>
      </c>
      <c r="D22" s="130">
        <f>INDEX('Table 3 PV wS YK_2024'!$I$10:$I$33,MATCH($A22,'Table 3 PV wS YK_2024'!$B$10:$B$33,0),1)</f>
        <v>52.660695468914646</v>
      </c>
      <c r="E22" s="130">
        <f>INDEX('Table 3 PV wS SO_2024'!$I$10:$I$33,MATCH($A22,'Table 3 PV wS SO_2024'!$B$10:$B$33,0),1)</f>
        <v>45.938840459388409</v>
      </c>
      <c r="F22" s="130">
        <f>INDEX('Table 3 PV wS UTN_2024'!$I$10:$I$33,MATCH($A22,'Table 3 PV wS UTN_2024'!$B$10:$B$33,0),1)</f>
        <v>44.941519137122832</v>
      </c>
      <c r="G22" s="130">
        <f>INDEX('Table 3 PV wS JB_2024'!$I$10:$I$33,MATCH($A22,'Table 3 PV wS JB_2024'!$B$10:$B$33,0),1)</f>
        <v>43.640680228765611</v>
      </c>
      <c r="H22" s="130">
        <f>INDEX('Table 3 PV wS JB_2029'!$I$10:$I$33,MATCH($A22,'Table 3 PV wS JB_2029'!$B$10:$B$33,0),1)</f>
        <v>40.068113897358884</v>
      </c>
      <c r="I22" s="130">
        <f>INDEX('Table 3 PV wS UTS_2024'!$I$10:$I$36,MATCH($A22,'Table 3 PV wS UTS_2024'!$B$10:$B$36,0),1)</f>
        <v>41.138040042149626</v>
      </c>
      <c r="J22" s="130">
        <f>INDEX('Table 3 PV wS UTS_2030'!$I$10:$I$36,MATCH($A22,'Table 3 PV wS UTS_2030'!$B$10:$B$36,0),1)</f>
        <v>52.936424306287314</v>
      </c>
      <c r="K22" s="130">
        <f>INDEX('Table 3 185 MW (NTN) 2026)'!$K$14:$K$41,MATCH($A22,'Table 3 185 MW (NTN) 2026)'!$B$14:$B$41,0),1)</f>
        <v>98.28</v>
      </c>
      <c r="L22" s="130">
        <f>INDEX('Table 3 YK Wind wS_2029'!$I$10:$I$33,MATCH($A22,'Table 3 YK Wind wS_2029'!$B$10:$B$33,0),1)</f>
        <v>64.502600084748309</v>
      </c>
      <c r="M22" s="130">
        <f>INDEX('Table 3 ID Wind wS_2032'!$I$10:$I$33,MATCH($A22,'Table 3 ID Wind wS_2032'!$B$10:$B$33,0),1)</f>
        <v>50.96252228962738</v>
      </c>
    </row>
    <row r="23" spans="1:13">
      <c r="A23" s="135">
        <f t="shared" si="0"/>
        <v>2036</v>
      </c>
      <c r="B23" s="130">
        <f>INDEX('Table 3 WYAE Wind_2024'!$J$10:$J$36,MATCH($A23,'Table 3 WYAE Wind_2024'!$B$10:$B$36,0),1)</f>
        <v>58.381286829905179</v>
      </c>
      <c r="C23" s="130">
        <f>IF($A23&lt;C$3,0,INDEX('Table 3 ID Wind_2030'!$I$10:$I$33,MATCH($A23,'Table 3 ID Wind_2030'!$B$10:$B$33,0),1))</f>
        <v>48.052747573165739</v>
      </c>
      <c r="D23" s="130">
        <f>INDEX('Table 3 PV wS YK_2024'!$I$10:$I$33,MATCH($A23,'Table 3 PV wS YK_2024'!$B$10:$B$33,0),1)</f>
        <v>53.872497365648051</v>
      </c>
      <c r="E23" s="130">
        <f>INDEX('Table 3 PV wS SO_2024'!$I$10:$I$33,MATCH($A23,'Table 3 PV wS SO_2024'!$B$10:$B$33,0),1)</f>
        <v>46.995833525513895</v>
      </c>
      <c r="F23" s="130">
        <f>INDEX('Table 3 PV wS UTN_2024'!$I$10:$I$33,MATCH($A23,'Table 3 PV wS UTN_2024'!$B$10:$B$33,0),1)</f>
        <v>45.976880717243887</v>
      </c>
      <c r="G23" s="130">
        <f>INDEX('Table 3 PV wS JB_2024'!$I$10:$I$33,MATCH($A23,'Table 3 PV wS JB_2024'!$B$10:$B$33,0),1)</f>
        <v>44.645701542802534</v>
      </c>
      <c r="H23" s="130">
        <f>INDEX('Table 3 PV wS JB_2029'!$I$10:$I$33,MATCH($A23,'Table 3 PV wS JB_2029'!$B$10:$B$33,0),1)</f>
        <v>40.989699479664445</v>
      </c>
      <c r="I23" s="130">
        <f>INDEX('Table 3 PV wS UTS_2024'!$I$10:$I$36,MATCH($A23,'Table 3 PV wS UTS_2024'!$B$10:$B$36,0),1)</f>
        <v>42.082894274675091</v>
      </c>
      <c r="J23" s="130">
        <f>INDEX('Table 3 PV wS UTS_2030'!$I$10:$I$36,MATCH($A23,'Table 3 PV wS UTS_2030'!$B$10:$B$36,0),1)</f>
        <v>54.155251141552505</v>
      </c>
      <c r="K23" s="130">
        <f>INDEX('Table 3 185 MW (NTN) 2026)'!$K$14:$K$41,MATCH($A23,'Table 3 185 MW (NTN) 2026)'!$B$14:$B$41,0),1)</f>
        <v>100.95</v>
      </c>
      <c r="L23" s="130">
        <f>INDEX('Table 3 YK Wind wS_2029'!$I$10:$I$33,MATCH($A23,'Table 3 YK Wind wS_2029'!$B$10:$B$33,0),1)</f>
        <v>65.650997264393339</v>
      </c>
      <c r="M23" s="130">
        <f>INDEX('Table 3 ID Wind wS_2032'!$I$10:$I$33,MATCH($A23,'Table 3 ID Wind wS_2032'!$B$10:$B$33,0),1)</f>
        <v>52.130442929954761</v>
      </c>
    </row>
    <row r="24" spans="1:13">
      <c r="A24" s="135">
        <f t="shared" si="0"/>
        <v>2037</v>
      </c>
      <c r="B24" s="130">
        <f>INDEX('Table 3 WYAE Wind_2024'!$J$10:$J$36,MATCH($A24,'Table 3 WYAE Wind_2024'!$B$10:$B$36,0),1)</f>
        <v>59.695697708516612</v>
      </c>
      <c r="C24" s="130">
        <f>IF($A24&lt;C$3,0,INDEX('Table 3 ID Wind_2030'!$I$10:$I$33,MATCH($A24,'Table 3 ID Wind_2030'!$B$10:$B$33,0),1))</f>
        <v>49.154356419557047</v>
      </c>
      <c r="D24" s="130">
        <f>INDEX('Table 3 PV wS YK_2024'!$I$10:$I$33,MATCH($A24,'Table 3 PV wS YK_2024'!$B$10:$B$33,0),1)</f>
        <v>55.110642781875654</v>
      </c>
      <c r="E24" s="130">
        <f>INDEX('Table 3 PV wS SO_2024'!$I$10:$I$33,MATCH($A24,'Table 3 PV wS SO_2024'!$B$10:$B$33,0),1)</f>
        <v>48.079731869686213</v>
      </c>
      <c r="F24" s="130">
        <f>INDEX('Table 3 PV wS UTN_2024'!$I$10:$I$33,MATCH($A24,'Table 3 PV wS UTN_2024'!$B$10:$B$33,0),1)</f>
        <v>47.03499749692805</v>
      </c>
      <c r="G24" s="130">
        <f>INDEX('Table 3 PV wS JB_2024'!$I$10:$I$33,MATCH($A24,'Table 3 PV wS JB_2024'!$B$10:$B$33,0),1)</f>
        <v>45.673478056402558</v>
      </c>
      <c r="H24" s="130">
        <f>INDEX('Table 3 PV wS JB_2029'!$I$10:$I$33,MATCH($A24,'Table 3 PV wS JB_2029'!$B$10:$B$33,0),1)</f>
        <v>41.934040261533092</v>
      </c>
      <c r="I24" s="130">
        <f>INDEX('Table 3 PV wS UTS_2024'!$I$10:$I$36,MATCH($A24,'Table 3 PV wS UTS_2024'!$B$10:$B$36,0),1)</f>
        <v>43.052335792061825</v>
      </c>
      <c r="J24" s="130">
        <f>INDEX('Table 3 PV wS UTS_2030'!$I$10:$I$36,MATCH($A24,'Table 3 PV wS UTS_2030'!$B$10:$B$36,0),1)</f>
        <v>55.402177730944864</v>
      </c>
      <c r="K24" s="130">
        <f>INDEX('Table 3 185 MW (NTN) 2026)'!$K$14:$K$41,MATCH($A24,'Table 3 185 MW (NTN) 2026)'!$B$14:$B$41,0),1)</f>
        <v>102.28</v>
      </c>
      <c r="L24" s="130">
        <f>INDEX('Table 3 YK Wind wS_2029'!$I$10:$I$33,MATCH($A24,'Table 3 YK Wind wS_2029'!$B$10:$B$33,0),1)</f>
        <v>66.852330731354698</v>
      </c>
      <c r="M24" s="130">
        <f>INDEX('Table 3 ID Wind wS_2032'!$I$10:$I$33,MATCH($A24,'Table 3 ID Wind wS_2032'!$B$10:$B$33,0),1)</f>
        <v>53.333167870267836</v>
      </c>
    </row>
    <row r="25" spans="1:13">
      <c r="A25" s="135">
        <f t="shared" si="0"/>
        <v>2038</v>
      </c>
      <c r="B25" s="130">
        <f>INDEX('Table 3 WYAE Wind_2024'!$J$10:$J$36,MATCH($A25,'Table 3 WYAE Wind_2024'!$B$10:$B$36,0),1)</f>
        <v>61.044063883303309</v>
      </c>
      <c r="C25" s="130">
        <f>IF($A25&lt;C$3,0,INDEX('Table 3 ID Wind_2030'!$I$10:$I$33,MATCH($A25,'Table 3 ID Wind_2030'!$B$10:$B$33,0),1))</f>
        <v>50.283898246551836</v>
      </c>
      <c r="D25" s="130">
        <f>INDEX('Table 3 PV wS YK_2024'!$I$10:$I$33,MATCH($A25,'Table 3 PV wS YK_2024'!$B$10:$B$33,0),1)</f>
        <v>56.379522304179837</v>
      </c>
      <c r="E25" s="130">
        <f>INDEX('Table 3 PV wS SO_2024'!$I$10:$I$33,MATCH($A25,'Table 3 PV wS SO_2024'!$B$10:$B$33,0),1)</f>
        <v>49.186691880755809</v>
      </c>
      <c r="F25" s="130">
        <f>INDEX('Table 3 PV wS UTN_2024'!$I$10:$I$33,MATCH($A25,'Table 3 PV wS UTN_2024'!$B$10:$B$33,0),1)</f>
        <v>48.119662009435828</v>
      </c>
      <c r="G25" s="130">
        <f>INDEX('Table 3 PV wS JB_2024'!$I$10:$I$33,MATCH($A25,'Table 3 PV wS JB_2024'!$B$10:$B$33,0),1)</f>
        <v>46.724009769565683</v>
      </c>
      <c r="H25" s="130">
        <f>INDEX('Table 3 PV wS JB_2029'!$I$10:$I$33,MATCH($A25,'Table 3 PV wS JB_2029'!$B$10:$B$33,0),1)</f>
        <v>42.901136242964853</v>
      </c>
      <c r="I25" s="130">
        <f>INDEX('Table 3 PV wS UTS_2024'!$I$10:$I$36,MATCH($A25,'Table 3 PV wS UTS_2024'!$B$10:$B$36,0),1)</f>
        <v>44.0463645943098</v>
      </c>
      <c r="J25" s="130">
        <f>INDEX('Table 3 PV wS UTS_2030'!$I$10:$I$36,MATCH($A25,'Table 3 PV wS UTS_2030'!$B$10:$B$36,0),1)</f>
        <v>56.677204074464356</v>
      </c>
      <c r="K25" s="130">
        <f>INDEX('Table 3 185 MW (NTN) 2026)'!$K$14:$K$41,MATCH($A25,'Table 3 185 MW (NTN) 2026)'!$B$14:$B$41,0),1)</f>
        <v>107.27</v>
      </c>
      <c r="L25" s="130">
        <f>INDEX('Table 3 YK Wind wS_2029'!$I$10:$I$33,MATCH($A25,'Table 3 YK Wind wS_2029'!$B$10:$B$33,0),1)</f>
        <v>68.075202924946524</v>
      </c>
      <c r="M25" s="130">
        <f>INDEX('Table 3 ID Wind wS_2032'!$I$10:$I$33,MATCH($A25,'Table 3 ID Wind wS_2032'!$B$10:$B$33,0),1)</f>
        <v>54.557431537211379</v>
      </c>
    </row>
    <row r="26" spans="1:13">
      <c r="A26" s="135">
        <f t="shared" si="0"/>
        <v>2039</v>
      </c>
      <c r="B26" s="340">
        <f>B25*(1+$N$14)</f>
        <v>62.432816336648465</v>
      </c>
      <c r="C26" s="340">
        <f t="shared" ref="C26:C40" si="1">C25*(1+$N$14)</f>
        <v>51.427856931660891</v>
      </c>
      <c r="D26" s="340">
        <f t="shared" ref="D26:D40" si="2">D25*(1+$N$14)</f>
        <v>57.662156436599929</v>
      </c>
      <c r="E26" s="340">
        <f t="shared" ref="E26:E40" si="3">E25*(1+$N$14)</f>
        <v>50.305689121043009</v>
      </c>
      <c r="F26" s="340">
        <f t="shared" ref="F26:F40" si="4">F25*(1+$N$14)</f>
        <v>49.214384320150494</v>
      </c>
      <c r="G26" s="340">
        <f t="shared" ref="G26:G40" si="5">G25*(1+$N$14)</f>
        <v>47.786980991823306</v>
      </c>
      <c r="H26" s="340">
        <f t="shared" ref="H26:H40" si="6">H25*(1+$N$14)</f>
        <v>43.877137092492305</v>
      </c>
      <c r="I26" s="340">
        <f t="shared" ref="I26:I40" si="7">I25*(1+$N$14)</f>
        <v>45.048419388830354</v>
      </c>
      <c r="J26" s="340">
        <f t="shared" ref="J26:J40" si="8">J25*(1+$N$14)</f>
        <v>57.966610467158425</v>
      </c>
      <c r="K26" s="340">
        <f t="shared" ref="K26:K40" si="9">K25*(1+$N$14)</f>
        <v>109.7103925</v>
      </c>
      <c r="L26" s="340">
        <f t="shared" ref="L26:L40" si="10">L25*(1+$N$14)</f>
        <v>69.623913791489059</v>
      </c>
      <c r="M26" s="340">
        <f t="shared" ref="M26:M46" si="11">M25*(1+$N$14)</f>
        <v>55.798613104682943</v>
      </c>
    </row>
    <row r="27" spans="1:13">
      <c r="A27" s="135">
        <f t="shared" si="0"/>
        <v>2040</v>
      </c>
      <c r="B27" s="340">
        <f t="shared" ref="B27:B40" si="12">B26*(1+$N$14)</f>
        <v>63.853162908307219</v>
      </c>
      <c r="C27" s="340">
        <f t="shared" si="1"/>
        <v>52.59784067685618</v>
      </c>
      <c r="D27" s="340">
        <f t="shared" si="2"/>
        <v>58.973970495532583</v>
      </c>
      <c r="E27" s="340">
        <f t="shared" si="3"/>
        <v>51.450143548546741</v>
      </c>
      <c r="F27" s="340">
        <f t="shared" si="4"/>
        <v>50.334011563433918</v>
      </c>
      <c r="G27" s="340">
        <f t="shared" si="5"/>
        <v>48.874134809387286</v>
      </c>
      <c r="H27" s="340">
        <f t="shared" si="6"/>
        <v>44.875341961346507</v>
      </c>
      <c r="I27" s="340">
        <f t="shared" si="7"/>
        <v>46.073270929926245</v>
      </c>
      <c r="J27" s="340">
        <f t="shared" si="8"/>
        <v>59.285350855286282</v>
      </c>
      <c r="K27" s="340">
        <f t="shared" si="9"/>
        <v>112.206303929375</v>
      </c>
      <c r="L27" s="340">
        <f t="shared" si="10"/>
        <v>71.207857830245445</v>
      </c>
      <c r="M27" s="340">
        <f t="shared" si="11"/>
        <v>57.068031552814482</v>
      </c>
    </row>
    <row r="28" spans="1:13">
      <c r="A28" s="135">
        <f t="shared" si="0"/>
        <v>2041</v>
      </c>
      <c r="B28" s="340">
        <f t="shared" si="12"/>
        <v>65.305822364471211</v>
      </c>
      <c r="C28" s="340">
        <f t="shared" si="1"/>
        <v>53.794441552254661</v>
      </c>
      <c r="D28" s="340">
        <f t="shared" si="2"/>
        <v>60.315628324305955</v>
      </c>
      <c r="E28" s="340">
        <f t="shared" si="3"/>
        <v>52.620634314276181</v>
      </c>
      <c r="F28" s="340">
        <f t="shared" si="4"/>
        <v>51.479110326502045</v>
      </c>
      <c r="G28" s="340">
        <f t="shared" si="5"/>
        <v>49.986021376300847</v>
      </c>
      <c r="H28" s="340">
        <f t="shared" si="6"/>
        <v>45.896255990967141</v>
      </c>
      <c r="I28" s="340">
        <f t="shared" si="7"/>
        <v>47.121437843582072</v>
      </c>
      <c r="J28" s="340">
        <f t="shared" si="8"/>
        <v>60.634092587244048</v>
      </c>
      <c r="K28" s="340">
        <f t="shared" si="9"/>
        <v>114.75899734376829</v>
      </c>
      <c r="L28" s="340">
        <f t="shared" si="10"/>
        <v>72.827836595883525</v>
      </c>
      <c r="M28" s="340">
        <f t="shared" si="11"/>
        <v>58.36632927064101</v>
      </c>
    </row>
    <row r="29" spans="1:13">
      <c r="A29" s="135">
        <f t="shared" si="0"/>
        <v>2042</v>
      </c>
      <c r="B29" s="340">
        <f t="shared" si="12"/>
        <v>66.791529823262934</v>
      </c>
      <c r="C29" s="340">
        <f t="shared" si="1"/>
        <v>55.01826509756846</v>
      </c>
      <c r="D29" s="340">
        <f t="shared" si="2"/>
        <v>61.687808868683916</v>
      </c>
      <c r="E29" s="340">
        <f t="shared" si="3"/>
        <v>53.817753744925966</v>
      </c>
      <c r="F29" s="340">
        <f t="shared" si="4"/>
        <v>52.650260086429967</v>
      </c>
      <c r="G29" s="340">
        <f t="shared" si="5"/>
        <v>51.123203362611697</v>
      </c>
      <c r="H29" s="340">
        <f t="shared" si="6"/>
        <v>46.940395814761644</v>
      </c>
      <c r="I29" s="340">
        <f t="shared" si="7"/>
        <v>48.193450554523565</v>
      </c>
      <c r="J29" s="340">
        <f t="shared" si="8"/>
        <v>62.013518193603851</v>
      </c>
      <c r="K29" s="340">
        <f t="shared" si="9"/>
        <v>117.36976453333902</v>
      </c>
      <c r="L29" s="340">
        <f t="shared" si="10"/>
        <v>74.484669878439874</v>
      </c>
      <c r="M29" s="340">
        <f t="shared" si="11"/>
        <v>59.694163261548098</v>
      </c>
    </row>
    <row r="30" spans="1:13">
      <c r="A30" s="135">
        <f t="shared" si="0"/>
        <v>2043</v>
      </c>
      <c r="B30" s="340">
        <f t="shared" si="12"/>
        <v>68.311037126742164</v>
      </c>
      <c r="C30" s="340">
        <f t="shared" si="1"/>
        <v>56.269930628538141</v>
      </c>
      <c r="D30" s="340">
        <f t="shared" si="2"/>
        <v>63.091206520446477</v>
      </c>
      <c r="E30" s="340">
        <f t="shared" si="3"/>
        <v>55.042107642623037</v>
      </c>
      <c r="F30" s="340">
        <f t="shared" si="4"/>
        <v>53.848053503396251</v>
      </c>
      <c r="G30" s="340">
        <f t="shared" si="5"/>
        <v>52.286256239111118</v>
      </c>
      <c r="H30" s="340">
        <f t="shared" si="6"/>
        <v>48.008289819547471</v>
      </c>
      <c r="I30" s="340">
        <f t="shared" si="7"/>
        <v>49.289851554638979</v>
      </c>
      <c r="J30" s="340">
        <f t="shared" si="8"/>
        <v>63.424325732508343</v>
      </c>
      <c r="K30" s="340">
        <f t="shared" si="9"/>
        <v>120.03992667647249</v>
      </c>
      <c r="L30" s="340">
        <f t="shared" si="10"/>
        <v>76.179196118174389</v>
      </c>
      <c r="M30" s="340">
        <f t="shared" si="11"/>
        <v>61.052205475748323</v>
      </c>
    </row>
    <row r="31" spans="1:13">
      <c r="A31" s="135">
        <f t="shared" si="0"/>
        <v>2044</v>
      </c>
      <c r="B31" s="340">
        <f t="shared" si="12"/>
        <v>69.865113221375552</v>
      </c>
      <c r="C31" s="340">
        <f t="shared" si="1"/>
        <v>57.550071550337385</v>
      </c>
      <c r="D31" s="340">
        <f t="shared" si="2"/>
        <v>64.526531468786644</v>
      </c>
      <c r="E31" s="340">
        <f t="shared" si="3"/>
        <v>56.294315591492712</v>
      </c>
      <c r="F31" s="340">
        <f t="shared" si="4"/>
        <v>55.073096720598521</v>
      </c>
      <c r="G31" s="340">
        <f t="shared" si="5"/>
        <v>53.475768568550897</v>
      </c>
      <c r="H31" s="340">
        <f t="shared" si="6"/>
        <v>49.100478412942181</v>
      </c>
      <c r="I31" s="340">
        <f t="shared" si="7"/>
        <v>50.411195677507017</v>
      </c>
      <c r="J31" s="340">
        <f t="shared" si="8"/>
        <v>64.867229142922909</v>
      </c>
      <c r="K31" s="340">
        <f t="shared" si="9"/>
        <v>122.77083500836224</v>
      </c>
      <c r="L31" s="340">
        <f t="shared" si="10"/>
        <v>77.912272829862857</v>
      </c>
      <c r="M31" s="340">
        <f t="shared" si="11"/>
        <v>62.441143150321601</v>
      </c>
    </row>
    <row r="32" spans="1:13">
      <c r="A32" s="135">
        <f t="shared" si="0"/>
        <v>2045</v>
      </c>
      <c r="B32" s="340">
        <f t="shared" si="12"/>
        <v>71.454544547161845</v>
      </c>
      <c r="C32" s="340">
        <f t="shared" si="1"/>
        <v>58.859335678107563</v>
      </c>
      <c r="D32" s="340">
        <f t="shared" si="2"/>
        <v>65.99451005970154</v>
      </c>
      <c r="E32" s="340">
        <f t="shared" si="3"/>
        <v>57.575011271199173</v>
      </c>
      <c r="F32" s="340">
        <f t="shared" si="4"/>
        <v>56.326009670992143</v>
      </c>
      <c r="G32" s="340">
        <f t="shared" si="5"/>
        <v>54.692342303485432</v>
      </c>
      <c r="H32" s="340">
        <f t="shared" si="6"/>
        <v>50.217514296836619</v>
      </c>
      <c r="I32" s="340">
        <f t="shared" si="7"/>
        <v>51.558050379170304</v>
      </c>
      <c r="J32" s="340">
        <f t="shared" si="8"/>
        <v>66.342958605924409</v>
      </c>
      <c r="K32" s="340">
        <f t="shared" si="9"/>
        <v>125.56387150480249</v>
      </c>
      <c r="L32" s="340">
        <f t="shared" si="10"/>
        <v>79.684777036742247</v>
      </c>
      <c r="M32" s="340">
        <f t="shared" si="11"/>
        <v>63.861679156991421</v>
      </c>
    </row>
    <row r="33" spans="1:13">
      <c r="A33" s="135">
        <f t="shared" si="0"/>
        <v>2046</v>
      </c>
      <c r="B33" s="340">
        <f t="shared" si="12"/>
        <v>73.080135435609776</v>
      </c>
      <c r="C33" s="340">
        <f t="shared" si="1"/>
        <v>60.198385564784516</v>
      </c>
      <c r="D33" s="340">
        <f t="shared" si="2"/>
        <v>67.495885163559748</v>
      </c>
      <c r="E33" s="340">
        <f t="shared" si="3"/>
        <v>58.884842777618957</v>
      </c>
      <c r="F33" s="340">
        <f t="shared" si="4"/>
        <v>57.607426391007216</v>
      </c>
      <c r="G33" s="340">
        <f t="shared" si="5"/>
        <v>55.93659309088973</v>
      </c>
      <c r="H33" s="340">
        <f t="shared" si="6"/>
        <v>51.359962747089654</v>
      </c>
      <c r="I33" s="340">
        <f t="shared" si="7"/>
        <v>52.730996025296427</v>
      </c>
      <c r="J33" s="340">
        <f t="shared" si="8"/>
        <v>67.852260914209197</v>
      </c>
      <c r="K33" s="340">
        <f t="shared" si="9"/>
        <v>128.42044958153676</v>
      </c>
      <c r="L33" s="340">
        <f t="shared" si="10"/>
        <v>81.497605714328131</v>
      </c>
      <c r="M33" s="340">
        <f t="shared" si="11"/>
        <v>65.314532357812979</v>
      </c>
    </row>
    <row r="34" spans="1:13">
      <c r="A34" s="135">
        <f t="shared" si="0"/>
        <v>2047</v>
      </c>
      <c r="B34" s="340">
        <f t="shared" si="12"/>
        <v>74.742708516769909</v>
      </c>
      <c r="C34" s="340">
        <f t="shared" si="1"/>
        <v>61.567898836383364</v>
      </c>
      <c r="D34" s="340">
        <f t="shared" si="2"/>
        <v>69.03141655103073</v>
      </c>
      <c r="E34" s="340">
        <f t="shared" si="3"/>
        <v>60.22447295080979</v>
      </c>
      <c r="F34" s="340">
        <f t="shared" si="4"/>
        <v>58.91799534140263</v>
      </c>
      <c r="G34" s="340">
        <f t="shared" si="5"/>
        <v>57.209150583707476</v>
      </c>
      <c r="H34" s="340">
        <f t="shared" si="6"/>
        <v>52.528401899585944</v>
      </c>
      <c r="I34" s="340">
        <f t="shared" si="7"/>
        <v>53.930626184871926</v>
      </c>
      <c r="J34" s="340">
        <f t="shared" si="8"/>
        <v>69.395899850007453</v>
      </c>
      <c r="K34" s="340">
        <f t="shared" si="9"/>
        <v>131.34201480951671</v>
      </c>
      <c r="L34" s="340">
        <f t="shared" si="10"/>
        <v>83.351676244329099</v>
      </c>
      <c r="M34" s="340">
        <f t="shared" si="11"/>
        <v>66.800437968953233</v>
      </c>
    </row>
    <row r="35" spans="1:13">
      <c r="A35" s="135">
        <f t="shared" si="0"/>
        <v>2048</v>
      </c>
      <c r="B35" s="340">
        <f t="shared" si="12"/>
        <v>76.443105135526423</v>
      </c>
      <c r="C35" s="340">
        <f t="shared" si="1"/>
        <v>62.968568534911086</v>
      </c>
      <c r="D35" s="340">
        <f t="shared" si="2"/>
        <v>70.601881277566676</v>
      </c>
      <c r="E35" s="340">
        <f t="shared" si="3"/>
        <v>61.594579710440719</v>
      </c>
      <c r="F35" s="340">
        <f t="shared" si="4"/>
        <v>60.258379735419545</v>
      </c>
      <c r="G35" s="340">
        <f t="shared" si="5"/>
        <v>58.510658759486823</v>
      </c>
      <c r="H35" s="340">
        <f t="shared" si="6"/>
        <v>53.723423042801528</v>
      </c>
      <c r="I35" s="340">
        <f t="shared" si="7"/>
        <v>55.157547930577763</v>
      </c>
      <c r="J35" s="340">
        <f t="shared" si="8"/>
        <v>70.974656571595119</v>
      </c>
      <c r="K35" s="340">
        <f t="shared" si="9"/>
        <v>134.33004564643323</v>
      </c>
      <c r="L35" s="340">
        <f t="shared" si="10"/>
        <v>85.247926878887583</v>
      </c>
      <c r="M35" s="340">
        <f t="shared" si="11"/>
        <v>68.32014793274692</v>
      </c>
    </row>
    <row r="36" spans="1:13">
      <c r="A36" s="135">
        <f t="shared" si="0"/>
        <v>2049</v>
      </c>
      <c r="B36" s="340">
        <f t="shared" si="12"/>
        <v>78.182185777359649</v>
      </c>
      <c r="C36" s="340">
        <f t="shared" si="1"/>
        <v>64.401103469080311</v>
      </c>
      <c r="D36" s="340">
        <f t="shared" si="2"/>
        <v>72.20807407663132</v>
      </c>
      <c r="E36" s="340">
        <f t="shared" si="3"/>
        <v>62.995856398853249</v>
      </c>
      <c r="F36" s="340">
        <f t="shared" si="4"/>
        <v>61.629257874400345</v>
      </c>
      <c r="G36" s="340">
        <f t="shared" si="5"/>
        <v>59.841776246265148</v>
      </c>
      <c r="H36" s="340">
        <f t="shared" si="6"/>
        <v>54.945630917025262</v>
      </c>
      <c r="I36" s="340">
        <f t="shared" si="7"/>
        <v>56.412382145998407</v>
      </c>
      <c r="J36" s="340">
        <f t="shared" si="8"/>
        <v>72.589330008598907</v>
      </c>
      <c r="K36" s="340">
        <f t="shared" si="9"/>
        <v>137.38605418488959</v>
      </c>
      <c r="L36" s="340">
        <f t="shared" si="10"/>
        <v>87.187317215382279</v>
      </c>
      <c r="M36" s="340">
        <f t="shared" si="11"/>
        <v>69.874431298216919</v>
      </c>
    </row>
    <row r="37" spans="1:13">
      <c r="A37" s="135">
        <f t="shared" si="0"/>
        <v>2050</v>
      </c>
      <c r="B37" s="340">
        <f t="shared" si="12"/>
        <v>79.960830503794583</v>
      </c>
      <c r="C37" s="340">
        <f t="shared" si="1"/>
        <v>65.866228573001891</v>
      </c>
      <c r="D37" s="340">
        <f t="shared" si="2"/>
        <v>73.850807761874691</v>
      </c>
      <c r="E37" s="340">
        <f t="shared" si="3"/>
        <v>64.429012131927166</v>
      </c>
      <c r="F37" s="340">
        <f t="shared" si="4"/>
        <v>63.031323491042954</v>
      </c>
      <c r="G37" s="340">
        <f t="shared" si="5"/>
        <v>61.203176655867686</v>
      </c>
      <c r="H37" s="340">
        <f t="shared" si="6"/>
        <v>56.19564402038759</v>
      </c>
      <c r="I37" s="340">
        <f t="shared" si="7"/>
        <v>57.695763839819875</v>
      </c>
      <c r="J37" s="340">
        <f t="shared" si="8"/>
        <v>74.240737266294531</v>
      </c>
      <c r="K37" s="340">
        <f t="shared" si="9"/>
        <v>140.51158691759582</v>
      </c>
      <c r="L37" s="340">
        <f t="shared" si="10"/>
        <v>89.170828682032237</v>
      </c>
      <c r="M37" s="340">
        <f t="shared" si="11"/>
        <v>71.464074610251359</v>
      </c>
    </row>
    <row r="38" spans="1:13">
      <c r="A38" s="135">
        <f t="shared" si="0"/>
        <v>2051</v>
      </c>
      <c r="B38" s="340">
        <f t="shared" si="12"/>
        <v>81.779939397755911</v>
      </c>
      <c r="C38" s="340">
        <f t="shared" si="1"/>
        <v>67.364685273037693</v>
      </c>
      <c r="D38" s="340">
        <f t="shared" si="2"/>
        <v>75.530913638457349</v>
      </c>
      <c r="E38" s="340">
        <f t="shared" si="3"/>
        <v>65.894772157928514</v>
      </c>
      <c r="F38" s="340">
        <f t="shared" si="4"/>
        <v>64.465286100464184</v>
      </c>
      <c r="G38" s="340">
        <f t="shared" si="5"/>
        <v>62.59554892478868</v>
      </c>
      <c r="H38" s="340">
        <f t="shared" si="6"/>
        <v>57.47409492185141</v>
      </c>
      <c r="I38" s="340">
        <f t="shared" si="7"/>
        <v>59.00834246717578</v>
      </c>
      <c r="J38" s="340">
        <f t="shared" si="8"/>
        <v>75.929714039102734</v>
      </c>
      <c r="K38" s="340">
        <f t="shared" si="9"/>
        <v>143.70822551997114</v>
      </c>
      <c r="L38" s="340">
        <f t="shared" si="10"/>
        <v>91.199465034548481</v>
      </c>
      <c r="M38" s="340">
        <f t="shared" si="11"/>
        <v>73.089882307634582</v>
      </c>
    </row>
    <row r="39" spans="1:13">
      <c r="A39" s="135">
        <f t="shared" si="0"/>
        <v>2052</v>
      </c>
      <c r="B39" s="340">
        <f t="shared" si="12"/>
        <v>83.640433019054868</v>
      </c>
      <c r="C39" s="340">
        <f t="shared" si="1"/>
        <v>68.897231862999305</v>
      </c>
      <c r="D39" s="340">
        <f t="shared" si="2"/>
        <v>77.249241923732257</v>
      </c>
      <c r="E39" s="340">
        <f t="shared" si="3"/>
        <v>67.393878224521387</v>
      </c>
      <c r="F39" s="340">
        <f t="shared" si="4"/>
        <v>65.93187135924974</v>
      </c>
      <c r="G39" s="340">
        <f t="shared" si="5"/>
        <v>64.019597662827621</v>
      </c>
      <c r="H39" s="340">
        <f t="shared" si="6"/>
        <v>58.781630581323533</v>
      </c>
      <c r="I39" s="340">
        <f t="shared" si="7"/>
        <v>60.350782258304029</v>
      </c>
      <c r="J39" s="340">
        <f t="shared" si="8"/>
        <v>77.657115033492332</v>
      </c>
      <c r="K39" s="340">
        <f t="shared" si="9"/>
        <v>146.97758765055048</v>
      </c>
      <c r="L39" s="340">
        <f t="shared" si="10"/>
        <v>93.27425286408446</v>
      </c>
      <c r="M39" s="340">
        <f t="shared" si="11"/>
        <v>74.752677130133279</v>
      </c>
    </row>
    <row r="40" spans="1:13">
      <c r="A40" s="135">
        <f t="shared" si="0"/>
        <v>2053</v>
      </c>
      <c r="B40" s="340">
        <f t="shared" si="12"/>
        <v>85.543252870238376</v>
      </c>
      <c r="C40" s="340">
        <f t="shared" si="1"/>
        <v>70.464643887882545</v>
      </c>
      <c r="D40" s="340">
        <f t="shared" si="2"/>
        <v>79.006662177497162</v>
      </c>
      <c r="E40" s="340">
        <f t="shared" si="3"/>
        <v>68.927088954129246</v>
      </c>
      <c r="F40" s="340">
        <f t="shared" si="4"/>
        <v>67.431821432672677</v>
      </c>
      <c r="G40" s="340">
        <f t="shared" si="5"/>
        <v>65.476043509656947</v>
      </c>
      <c r="H40" s="340">
        <f t="shared" si="6"/>
        <v>60.118912677048648</v>
      </c>
      <c r="I40" s="340">
        <f t="shared" si="7"/>
        <v>61.723762554680448</v>
      </c>
      <c r="J40" s="340">
        <f t="shared" si="8"/>
        <v>79.423814400504284</v>
      </c>
      <c r="K40" s="340">
        <f t="shared" si="9"/>
        <v>150.32132776960052</v>
      </c>
      <c r="L40" s="340">
        <f t="shared" si="10"/>
        <v>95.396242116742386</v>
      </c>
      <c r="M40" s="340">
        <f t="shared" si="11"/>
        <v>76.453300534843819</v>
      </c>
    </row>
    <row r="41" spans="1:13">
      <c r="A41" s="135">
        <f t="shared" si="0"/>
        <v>2054</v>
      </c>
      <c r="B41" s="340"/>
      <c r="C41" s="340">
        <f t="shared" ref="C41:C46" si="13">C40*(1+$N$14)</f>
        <v>72.067714536331877</v>
      </c>
      <c r="D41" s="340"/>
      <c r="E41" s="340"/>
      <c r="F41" s="340"/>
      <c r="G41" s="340"/>
      <c r="H41" s="340">
        <f t="shared" ref="H41:H45" si="14">H40*(1+$N$14)</f>
        <v>61.486617940451509</v>
      </c>
      <c r="I41" s="340"/>
      <c r="J41" s="340">
        <f t="shared" ref="J41:J46" si="15">J40*(1+$N$14)</f>
        <v>81.230706178115767</v>
      </c>
      <c r="K41" s="340">
        <f>K40*(1+$N$14)</f>
        <v>153.74113797635894</v>
      </c>
      <c r="L41" s="340">
        <f>L40*(1+$N$14)</f>
        <v>97.566506624898281</v>
      </c>
      <c r="M41" s="340">
        <f t="shared" si="11"/>
        <v>78.192613122011522</v>
      </c>
    </row>
    <row r="42" spans="1:13">
      <c r="A42" s="135">
        <f t="shared" si="0"/>
        <v>2055</v>
      </c>
      <c r="B42" s="340"/>
      <c r="C42" s="340">
        <f t="shared" si="13"/>
        <v>73.707255042033424</v>
      </c>
      <c r="D42" s="340"/>
      <c r="E42" s="340"/>
      <c r="F42" s="340"/>
      <c r="G42" s="340"/>
      <c r="H42" s="340">
        <f t="shared" si="14"/>
        <v>62.885438498596784</v>
      </c>
      <c r="I42" s="340"/>
      <c r="J42" s="340">
        <f t="shared" si="15"/>
        <v>83.078704743667899</v>
      </c>
      <c r="K42" s="340">
        <f>K41*(1+$N$14)</f>
        <v>157.23874886532113</v>
      </c>
      <c r="L42" s="340">
        <f>L41*(1+$N$14)</f>
        <v>99.786144650614716</v>
      </c>
      <c r="M42" s="340">
        <f t="shared" si="11"/>
        <v>79.971495070537287</v>
      </c>
    </row>
    <row r="43" spans="1:13">
      <c r="A43" s="135">
        <f t="shared" si="0"/>
        <v>2056</v>
      </c>
      <c r="B43" s="340"/>
      <c r="C43" s="340">
        <f t="shared" si="13"/>
        <v>75.384095094239683</v>
      </c>
      <c r="D43" s="340"/>
      <c r="E43" s="340"/>
      <c r="F43" s="340"/>
      <c r="G43" s="340"/>
      <c r="H43" s="340">
        <f t="shared" si="14"/>
        <v>64.316082224439867</v>
      </c>
      <c r="I43" s="340"/>
      <c r="J43" s="340">
        <f t="shared" si="15"/>
        <v>84.968745276586347</v>
      </c>
      <c r="K43" s="345"/>
      <c r="L43" s="340">
        <f>L42*(1+$N$14)</f>
        <v>102.05627944141621</v>
      </c>
      <c r="M43" s="340">
        <f t="shared" si="11"/>
        <v>81.79084658339201</v>
      </c>
    </row>
    <row r="44" spans="1:13">
      <c r="A44" s="135">
        <f t="shared" si="0"/>
        <v>2057</v>
      </c>
      <c r="B44" s="340"/>
      <c r="C44" s="340">
        <f t="shared" si="13"/>
        <v>77.099083257633637</v>
      </c>
      <c r="D44" s="340"/>
      <c r="E44" s="340"/>
      <c r="F44" s="340"/>
      <c r="G44" s="340"/>
      <c r="H44" s="340">
        <f t="shared" si="14"/>
        <v>65.77927309504588</v>
      </c>
      <c r="I44" s="340"/>
      <c r="J44" s="340">
        <f t="shared" si="15"/>
        <v>86.901784231628696</v>
      </c>
      <c r="K44" s="345"/>
      <c r="L44" s="340">
        <f>L43*(1+$N$14)</f>
        <v>104.37805979870843</v>
      </c>
      <c r="M44" s="340">
        <f t="shared" si="11"/>
        <v>83.651588343164178</v>
      </c>
    </row>
    <row r="45" spans="1:13">
      <c r="A45" s="135">
        <f t="shared" si="0"/>
        <v>2058</v>
      </c>
      <c r="B45" s="340"/>
      <c r="C45" s="340">
        <f t="shared" si="13"/>
        <v>78.853087401744801</v>
      </c>
      <c r="D45" s="340"/>
      <c r="E45" s="340"/>
      <c r="F45" s="340"/>
      <c r="G45" s="340"/>
      <c r="H45" s="340">
        <f t="shared" si="14"/>
        <v>67.275751557958174</v>
      </c>
      <c r="I45" s="340"/>
      <c r="J45" s="340">
        <f t="shared" si="15"/>
        <v>88.878799822898259</v>
      </c>
      <c r="K45" s="345"/>
      <c r="L45" s="340">
        <f>L44*(1+$N$14)</f>
        <v>106.75266065912906</v>
      </c>
      <c r="M45" s="340">
        <f t="shared" si="11"/>
        <v>85.554661977971165</v>
      </c>
    </row>
    <row r="46" spans="1:13">
      <c r="A46" s="135">
        <f t="shared" si="0"/>
        <v>2059</v>
      </c>
      <c r="B46" s="340"/>
      <c r="C46" s="340">
        <f t="shared" si="13"/>
        <v>80.646995140134493</v>
      </c>
      <c r="D46" s="340"/>
      <c r="E46" s="340"/>
      <c r="F46" s="340"/>
      <c r="G46" s="340"/>
      <c r="H46" s="340"/>
      <c r="I46" s="340"/>
      <c r="J46" s="340">
        <f t="shared" si="15"/>
        <v>90.900792518869196</v>
      </c>
      <c r="K46" s="345"/>
      <c r="L46" s="345"/>
      <c r="M46" s="340">
        <f t="shared" si="11"/>
        <v>87.50103053797001</v>
      </c>
    </row>
    <row r="47" spans="1:13">
      <c r="A47" s="135">
        <f t="shared" ref="A47:A48" si="16">A46+1</f>
        <v>2060</v>
      </c>
      <c r="B47" s="340"/>
      <c r="C47" s="340">
        <f t="shared" ref="C47:C48" si="17">C46*(1+$N$14)</f>
        <v>82.481714279572557</v>
      </c>
      <c r="D47" s="340"/>
      <c r="E47" s="340"/>
      <c r="F47" s="340"/>
      <c r="G47" s="340"/>
      <c r="H47" s="340"/>
      <c r="I47" s="340"/>
      <c r="J47" s="340"/>
      <c r="K47" s="345"/>
      <c r="L47" s="345"/>
      <c r="M47" s="340">
        <f t="shared" ref="M47:M48" si="18">M46*(1+$N$14)</f>
        <v>89.491678982708834</v>
      </c>
    </row>
    <row r="48" spans="1:13">
      <c r="A48" s="135">
        <f t="shared" si="16"/>
        <v>2061</v>
      </c>
      <c r="B48" s="340"/>
      <c r="C48" s="340">
        <f t="shared" si="17"/>
        <v>84.358173279432833</v>
      </c>
      <c r="D48" s="340"/>
      <c r="E48" s="340"/>
      <c r="F48" s="340"/>
      <c r="G48" s="340"/>
      <c r="H48" s="340"/>
      <c r="I48" s="340"/>
      <c r="J48" s="340"/>
      <c r="K48" s="345"/>
      <c r="L48" s="345"/>
      <c r="M48" s="340">
        <f t="shared" si="18"/>
        <v>91.52761467956546</v>
      </c>
    </row>
    <row r="49" spans="1:13" ht="12" customHeight="1">
      <c r="A49" s="135"/>
    </row>
    <row r="50" spans="1:13" ht="12" customHeight="1">
      <c r="A50" s="341" t="s">
        <v>161</v>
      </c>
      <c r="B50" s="342">
        <f>PMT(Discount_Rate,30,-NPV(Discount_Rate,Table3ACsummary!B$11:B$40))</f>
        <v>43.686507074466398</v>
      </c>
      <c r="C50" s="342">
        <f>PMT(Discount_Rate,30,-NPV(Discount_Rate,Table3ACsummary!C$17:C$46))</f>
        <v>53.194647722737948</v>
      </c>
      <c r="D50" s="342">
        <f>PMT(Discount_Rate,30,-NPV(Discount_Rate,Table3ACsummary!D$11:D$40))</f>
        <v>52.080794283597058</v>
      </c>
      <c r="E50" s="342">
        <f>PMT(Discount_Rate,30,-NPV(Discount_Rate,Table3ACsummary!E$11:E$40))</f>
        <v>45.435184862133219</v>
      </c>
      <c r="F50" s="342">
        <f>PMT(Discount_Rate,30,-NPV(Discount_Rate,Table3ACsummary!F$11:F$40))</f>
        <v>44.449154776690477</v>
      </c>
      <c r="G50" s="342">
        <f>PMT(Discount_Rate,30,-NPV(Discount_Rate,Table3ACsummary!G$11:G$40))</f>
        <v>43.158745609169486</v>
      </c>
      <c r="H50" s="342">
        <f>PMT(Discount_Rate,30,-NPV(Discount_Rate,Table3ACsummary!H$16:H$45))</f>
        <v>44.363694686998954</v>
      </c>
      <c r="I50" s="342">
        <f>PMT(Discount_Rate,30,-NPV(Discount_Rate,Table3ACsummary!I$11:I$40))</f>
        <v>40.685959280557093</v>
      </c>
      <c r="J50" s="342">
        <f>PMT(Discount_Rate,30,-NPV(Discount_Rate,Table3ACsummary!J$11:J$40))</f>
        <v>53.387306555268196</v>
      </c>
      <c r="K50" s="342">
        <f>PMT(Discount_Rate,30,-NPV(Discount_Rate,Table3ACsummary!K$13:K$42))</f>
        <v>101.11497747082706</v>
      </c>
      <c r="L50" s="342">
        <f>PMT(Discount_Rate,30,-NPV(Discount_Rate,Table3ACsummary!L$16:L$45))</f>
        <v>70.927885315306554</v>
      </c>
      <c r="M50" s="342">
        <f>PMT(Discount_Rate,30,-NPV(Discount_Rate,Table3ACsummary!M$19:M$48))</f>
        <v>60.379073008290256</v>
      </c>
    </row>
    <row r="51" spans="1:13" ht="12" customHeight="1">
      <c r="A51" s="135"/>
    </row>
    <row r="52" spans="1:13">
      <c r="A52" s="135"/>
    </row>
    <row r="53" spans="1:13">
      <c r="A53" s="135"/>
    </row>
    <row r="54" spans="1:13">
      <c r="A54" s="135"/>
    </row>
    <row r="55" spans="1:13">
      <c r="A55" s="135"/>
    </row>
    <row r="56" spans="1:13">
      <c r="A56" s="135"/>
    </row>
    <row r="57" spans="1:13">
      <c r="A57" s="135"/>
    </row>
    <row r="58" spans="1:13">
      <c r="A58" s="135"/>
    </row>
    <row r="59" spans="1:13">
      <c r="A59" s="135"/>
    </row>
    <row r="60" spans="1:13">
      <c r="A60" s="135"/>
    </row>
    <row r="61" spans="1:13">
      <c r="A61" s="135"/>
    </row>
    <row r="62" spans="1:13">
      <c r="A62" s="135"/>
    </row>
    <row r="63" spans="1:13">
      <c r="A63" s="135"/>
    </row>
    <row r="64" spans="1:13">
      <c r="A64" s="135"/>
    </row>
  </sheetData>
  <mergeCells count="1">
    <mergeCell ref="B1:K1"/>
  </mergeCells>
  <pageMargins left="0.7" right="0.7" top="0.75" bottom="0.75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229"/>
  <sheetViews>
    <sheetView view="pageBreakPreview" topLeftCell="A2" zoomScale="60" zoomScaleNormal="70" workbookViewId="0">
      <pane xSplit="2" ySplit="11" topLeftCell="C13" activePane="bottomRight" state="frozen"/>
      <selection activeCell="A2" sqref="A2"/>
      <selection pane="topRight" activeCell="C2" sqref="C2"/>
      <selection pane="bottomLeft" activeCell="A13" sqref="A13"/>
      <selection pane="bottomRight" activeCell="D17" sqref="D17"/>
    </sheetView>
  </sheetViews>
  <sheetFormatPr defaultColWidth="9.33203125" defaultRowHeight="12.75" outlineLevelRow="1"/>
  <cols>
    <col min="1" max="1" width="18.5" style="56" customWidth="1"/>
    <col min="2" max="2" width="22.83203125" style="56" customWidth="1"/>
    <col min="3" max="3" width="18.1640625" style="56" customWidth="1"/>
    <col min="4" max="4" width="18.33203125" style="56" customWidth="1"/>
    <col min="5" max="5" width="18.5" style="56" customWidth="1"/>
    <col min="6" max="7" width="16.1640625" style="56" customWidth="1"/>
    <col min="8" max="8" width="3.83203125" style="56" customWidth="1"/>
    <col min="9" max="9" width="9.5" style="56" customWidth="1"/>
    <col min="10" max="11" width="10" style="56" customWidth="1"/>
    <col min="12" max="12" width="9.33203125" style="56" customWidth="1"/>
    <col min="13" max="13" width="21.1640625" style="56" customWidth="1"/>
    <col min="14" max="14" width="20" style="56" customWidth="1"/>
    <col min="15" max="15" width="14.6640625" style="56" customWidth="1"/>
    <col min="16" max="16" width="14.33203125" style="56" customWidth="1"/>
    <col min="17" max="17" width="14.6640625" style="56" customWidth="1"/>
    <col min="18" max="18" width="13.6640625" style="56" customWidth="1"/>
    <col min="19" max="19" width="16" style="56" customWidth="1"/>
    <col min="20" max="20" width="15.1640625" style="56" bestFit="1" customWidth="1"/>
    <col min="21" max="16384" width="9.33203125" style="56"/>
  </cols>
  <sheetData>
    <row r="1" spans="1:19" s="3" customFormat="1" ht="15.75" hidden="1">
      <c r="B1" s="1" t="s">
        <v>35</v>
      </c>
      <c r="C1" s="1"/>
      <c r="D1" s="11"/>
      <c r="E1" s="11"/>
      <c r="F1" s="11"/>
      <c r="G1" s="11"/>
      <c r="H1" s="32"/>
      <c r="I1" s="94"/>
      <c r="J1" s="94"/>
      <c r="K1" s="94"/>
    </row>
    <row r="2" spans="1:19" ht="5.25" customHeight="1"/>
    <row r="3" spans="1:19" ht="15.75">
      <c r="B3" s="1" t="str">
        <f>"Table "&amp;RIGHT('Table 4'!B3,1)+1</f>
        <v>Table 5</v>
      </c>
      <c r="C3" s="83"/>
      <c r="D3" s="83"/>
      <c r="E3" s="83"/>
      <c r="F3" s="83"/>
      <c r="G3" s="83"/>
      <c r="M3" s="56" t="s">
        <v>54</v>
      </c>
      <c r="O3" s="114"/>
    </row>
    <row r="4" spans="1:19" ht="38.25">
      <c r="B4" s="83" t="str">
        <f ca="1">'Table 1'!B5</f>
        <v>Utah 2020.Q4_Solar - 80.0 MW and 32.2% CF</v>
      </c>
      <c r="C4" s="83"/>
      <c r="D4" s="83"/>
      <c r="E4" s="83"/>
      <c r="F4" s="83"/>
      <c r="G4" s="83"/>
      <c r="K4" s="56">
        <f>MIN(K13:K24)</f>
        <v>44197</v>
      </c>
      <c r="M4" s="57" t="s">
        <v>264</v>
      </c>
      <c r="P4" s="206" t="s">
        <v>232</v>
      </c>
      <c r="Q4" s="206"/>
      <c r="R4" s="206"/>
      <c r="S4" s="206" t="s">
        <v>231</v>
      </c>
    </row>
    <row r="5" spans="1:19">
      <c r="B5" s="83" t="str">
        <f>TEXT($K$5,"MMMM YYYY")&amp;"  through  "&amp;TEXT($K$6,"MMMM YYYY")</f>
        <v>January 2021  through  December 2035</v>
      </c>
      <c r="C5" s="83"/>
      <c r="D5" s="83"/>
      <c r="E5" s="83"/>
      <c r="F5" s="83"/>
      <c r="G5" s="83"/>
      <c r="J5" s="56" t="s">
        <v>38</v>
      </c>
      <c r="K5" s="179">
        <f>MIN(K13:K24)</f>
        <v>44197</v>
      </c>
      <c r="M5" s="56" t="s">
        <v>39</v>
      </c>
      <c r="O5" s="3" t="s">
        <v>80</v>
      </c>
      <c r="P5" s="5">
        <f>13+12</f>
        <v>25</v>
      </c>
      <c r="Q5" s="5"/>
      <c r="R5" s="5"/>
      <c r="S5" s="5">
        <v>13</v>
      </c>
    </row>
    <row r="6" spans="1:19">
      <c r="B6" s="83" t="s">
        <v>40</v>
      </c>
      <c r="C6" s="83"/>
      <c r="D6" s="83"/>
      <c r="E6" s="83"/>
      <c r="F6" s="83"/>
      <c r="G6" s="83"/>
      <c r="J6" s="56" t="s">
        <v>41</v>
      </c>
      <c r="K6" s="179">
        <f>EDATE(K5,15*12-1)</f>
        <v>49644</v>
      </c>
      <c r="M6" s="57">
        <v>80</v>
      </c>
      <c r="N6" s="56" t="s">
        <v>32</v>
      </c>
      <c r="O6" s="5" t="s">
        <v>81</v>
      </c>
      <c r="P6">
        <f>P5+15*12-1</f>
        <v>204</v>
      </c>
      <c r="Q6"/>
      <c r="R6"/>
      <c r="S6">
        <f>S5+15*12-1</f>
        <v>192</v>
      </c>
    </row>
    <row r="7" spans="1:19">
      <c r="A7" s="107"/>
      <c r="C7" s="58"/>
      <c r="D7" s="58"/>
      <c r="E7" s="58"/>
      <c r="F7" s="376"/>
      <c r="G7" s="91"/>
      <c r="M7" s="377">
        <f ca="1">SUM(OFFSET(F12,MATCH(K5,B13:B24,0),0,12))/(EDATE(K5,12)-K5)/24/Study_MW</f>
        <v>0.32188227488944637</v>
      </c>
      <c r="N7" s="88" t="s">
        <v>34</v>
      </c>
    </row>
    <row r="8" spans="1:19">
      <c r="A8" s="107"/>
      <c r="B8" s="107" t="str">
        <f>"Nominal NPV at "&amp;TEXT(J9,"0.00%")&amp;" Discount Rate"</f>
        <v>Nominal NPV at 6.92% Discount Rate</v>
      </c>
      <c r="J8" s="56" t="str">
        <f>'Table 1'!I42</f>
        <v>Discount Rate - 2019 IRP Update</v>
      </c>
    </row>
    <row r="9" spans="1:19">
      <c r="A9" s="107" t="str">
        <f>S4</f>
        <v>15 Year</v>
      </c>
      <c r="C9" s="58">
        <f ca="1">NPV($K$9,INDIRECT("C"&amp;$S$5&amp;":C"&amp;$S$6))</f>
        <v>21179583.825682204</v>
      </c>
      <c r="D9" s="58">
        <f ca="1">NPV($K$9,INDIRECT("d"&amp;$S$5&amp;":d"&amp;$S$6))</f>
        <v>19665568.603717629</v>
      </c>
      <c r="E9" s="58">
        <f ca="1">NPV($K$9,INDIRECT("e"&amp;$S$5&amp;":e"&amp;$S$6))</f>
        <v>40845152.429399826</v>
      </c>
      <c r="F9" s="376">
        <f ca="1">NPV($K$9,INDIRECT("f"&amp;$S$5&amp;":f"&amp;$S$6))</f>
        <v>2070920.6098843375</v>
      </c>
      <c r="G9" s="91">
        <f ca="1">($C9+D9)/$F9</f>
        <v>19.723186023862628</v>
      </c>
      <c r="J9" s="110">
        <f>'Table 1'!I43</f>
        <v>6.9199999999999998E-2</v>
      </c>
      <c r="K9" s="93">
        <f>((1+J9)^(1/12))-1</f>
        <v>5.5914663265468345E-3</v>
      </c>
    </row>
    <row r="10" spans="1:19">
      <c r="A10" s="107"/>
      <c r="C10" s="58"/>
      <c r="D10" s="58"/>
      <c r="E10" s="58"/>
      <c r="F10" s="376"/>
      <c r="G10" s="91"/>
      <c r="N10" s="59"/>
    </row>
    <row r="11" spans="1:19">
      <c r="B11" s="92"/>
      <c r="C11" s="61" t="s">
        <v>18</v>
      </c>
      <c r="D11" s="62" t="s">
        <v>42</v>
      </c>
      <c r="E11" s="62" t="s">
        <v>43</v>
      </c>
      <c r="F11" s="62" t="s">
        <v>43</v>
      </c>
      <c r="G11" s="63" t="s">
        <v>51</v>
      </c>
    </row>
    <row r="12" spans="1:19">
      <c r="B12" s="67" t="s">
        <v>44</v>
      </c>
      <c r="C12" s="61" t="s">
        <v>45</v>
      </c>
      <c r="D12" s="65" t="str">
        <f>TEXT((SUM(F25:F72)/(8760*3+8784))/Study_MW,"0.0%")&amp;" CF"</f>
        <v>31.8% CF</v>
      </c>
      <c r="E12" s="66" t="s">
        <v>50</v>
      </c>
      <c r="F12" s="67" t="s">
        <v>46</v>
      </c>
      <c r="G12" s="65" t="str">
        <f>D12</f>
        <v>31.8% CF</v>
      </c>
      <c r="I12" s="62" t="s">
        <v>47</v>
      </c>
      <c r="J12" s="68" t="s">
        <v>0</v>
      </c>
      <c r="K12" s="68" t="s">
        <v>48</v>
      </c>
      <c r="L12" s="68" t="s">
        <v>47</v>
      </c>
      <c r="M12" s="68"/>
      <c r="N12" s="63"/>
      <c r="P12" s="56" t="s">
        <v>43</v>
      </c>
      <c r="Q12" s="56" t="s">
        <v>71</v>
      </c>
      <c r="R12" s="56" t="s">
        <v>72</v>
      </c>
    </row>
    <row r="13" spans="1:19">
      <c r="B13" s="74">
        <v>44197</v>
      </c>
      <c r="C13" s="69">
        <v>238884.76117558777</v>
      </c>
      <c r="D13" s="70">
        <f>IF(ISNUMBER($F13),VLOOKUP($J13,'Table 1'!$B$13:$C$33,2,FALSE)/12*1000*Study_MW,"")</f>
        <v>0</v>
      </c>
      <c r="E13" s="71">
        <f t="shared" ref="E13:E17" si="0">IF(ISNUMBER(C13+D13),C13+D13,"")</f>
        <v>238884.76117558777</v>
      </c>
      <c r="F13" s="69">
        <v>12454.06612107</v>
      </c>
      <c r="G13" s="72">
        <f t="shared" ref="G13:G17" si="1">IF(ISNUMBER($F13),E13/$F13,"")</f>
        <v>19.181266491867945</v>
      </c>
      <c r="I13" s="60">
        <v>1</v>
      </c>
      <c r="J13" s="73">
        <f>YEAR(B13)</f>
        <v>2021</v>
      </c>
      <c r="K13" s="74">
        <f t="shared" ref="K13:K24" si="2">IF(ISNUMBER(F13),B13,"")</f>
        <v>44197</v>
      </c>
      <c r="L13" s="56">
        <v>361</v>
      </c>
      <c r="M13" s="56" t="s">
        <v>49</v>
      </c>
    </row>
    <row r="14" spans="1:19">
      <c r="B14" s="78">
        <f t="shared" ref="B14:B77" si="3">EDATE(B13,1)</f>
        <v>44228</v>
      </c>
      <c r="C14" s="75">
        <v>187075.73033034801</v>
      </c>
      <c r="D14" s="71">
        <f>IF(ISNUMBER($F14),VLOOKUP($J14,'Table 1'!$B$13:$C$33,2,FALSE)/12*1000*Study_MW,"")</f>
        <v>0</v>
      </c>
      <c r="E14" s="71">
        <f t="shared" si="0"/>
        <v>187075.73033034801</v>
      </c>
      <c r="F14" s="75">
        <v>12147.1927727</v>
      </c>
      <c r="G14" s="76">
        <f t="shared" si="1"/>
        <v>15.400737753235312</v>
      </c>
      <c r="I14" s="77">
        <f>I13+1</f>
        <v>2</v>
      </c>
      <c r="J14" s="73">
        <f t="shared" ref="J14:J77" si="4">YEAR(B14)</f>
        <v>2021</v>
      </c>
      <c r="K14" s="78">
        <f t="shared" si="2"/>
        <v>44228</v>
      </c>
      <c r="L14" s="56">
        <v>462</v>
      </c>
      <c r="M14" s="90" t="s">
        <v>262</v>
      </c>
    </row>
    <row r="15" spans="1:19">
      <c r="B15" s="78">
        <f t="shared" si="3"/>
        <v>44256</v>
      </c>
      <c r="C15" s="75">
        <v>243330.06758067012</v>
      </c>
      <c r="D15" s="71">
        <f>IF(ISNUMBER($F15),VLOOKUP($J15,'Table 1'!$B$13:$C$33,2,FALSE)/12*1000*Study_MW,"")</f>
        <v>0</v>
      </c>
      <c r="E15" s="71">
        <f t="shared" si="0"/>
        <v>243330.06758067012</v>
      </c>
      <c r="F15" s="75">
        <v>16934.19331491</v>
      </c>
      <c r="G15" s="76">
        <f t="shared" si="1"/>
        <v>14.369156124279389</v>
      </c>
      <c r="I15" s="77">
        <f t="shared" ref="I15:I24" si="5">I14+1</f>
        <v>3</v>
      </c>
      <c r="J15" s="73">
        <f t="shared" si="4"/>
        <v>2021</v>
      </c>
      <c r="K15" s="78">
        <f t="shared" si="2"/>
        <v>44256</v>
      </c>
    </row>
    <row r="16" spans="1:19">
      <c r="B16" s="78">
        <f t="shared" si="3"/>
        <v>44287</v>
      </c>
      <c r="C16" s="75">
        <v>251475.4133541137</v>
      </c>
      <c r="D16" s="71">
        <f>IF(ISNUMBER($F16),VLOOKUP($J16,'Table 1'!$B$13:$C$33,2,FALSE)/12*1000*Study_MW,"")</f>
        <v>0</v>
      </c>
      <c r="E16" s="71">
        <f t="shared" si="0"/>
        <v>251475.4133541137</v>
      </c>
      <c r="F16" s="75">
        <v>20073.433628519</v>
      </c>
      <c r="G16" s="76">
        <f t="shared" si="1"/>
        <v>12.527772677457341</v>
      </c>
      <c r="I16" s="77">
        <f t="shared" si="5"/>
        <v>4</v>
      </c>
      <c r="J16" s="73">
        <f t="shared" si="4"/>
        <v>2021</v>
      </c>
      <c r="K16" s="78">
        <f t="shared" si="2"/>
        <v>44287</v>
      </c>
      <c r="L16" s="73">
        <f>YEAR(B13)</f>
        <v>2021</v>
      </c>
      <c r="M16" s="56">
        <f t="shared" ref="M16:M38" si="6">SUMIF($J$13:$J$228,L16,$C$13:$C$228)</f>
        <v>3805962.4125662297</v>
      </c>
      <c r="N16" s="56">
        <f t="shared" ref="N16:N38" si="7">SUMIF($J$13:$J$228,L16,$D$13:$D$228)</f>
        <v>0</v>
      </c>
      <c r="O16" s="56">
        <f t="shared" ref="O16:O38" si="8">SUMIF($J$13:$J$228,L16,$F$13:$F$228)</f>
        <v>225575.09824252399</v>
      </c>
      <c r="P16" s="113">
        <f t="shared" ref="P16:P25" si="9">(M16+N16)/O16</f>
        <v>16.87226312752971</v>
      </c>
      <c r="Q16" s="166">
        <f>M16/O16</f>
        <v>16.87226312752971</v>
      </c>
      <c r="R16" s="166">
        <f>IFERROR(N16/O16,0)</f>
        <v>0</v>
      </c>
    </row>
    <row r="17" spans="2:20">
      <c r="B17" s="78">
        <f t="shared" si="3"/>
        <v>44317</v>
      </c>
      <c r="C17" s="75">
        <v>343444.25919879973</v>
      </c>
      <c r="D17" s="71">
        <f>IF(ISNUMBER($F17),VLOOKUP($J17,'Table 1'!$B$13:$C$33,2,FALSE)/12*1000*Study_MW,"")</f>
        <v>0</v>
      </c>
      <c r="E17" s="71">
        <f t="shared" si="0"/>
        <v>343444.25919879973</v>
      </c>
      <c r="F17" s="75">
        <v>27469.954325530001</v>
      </c>
      <c r="G17" s="76">
        <f t="shared" si="1"/>
        <v>12.502542054815498</v>
      </c>
      <c r="I17" s="77">
        <f t="shared" si="5"/>
        <v>5</v>
      </c>
      <c r="J17" s="73">
        <f t="shared" si="4"/>
        <v>2021</v>
      </c>
      <c r="K17" s="78">
        <f t="shared" si="2"/>
        <v>44317</v>
      </c>
      <c r="L17" s="73">
        <f>L16+1</f>
        <v>2022</v>
      </c>
      <c r="M17" s="56">
        <f t="shared" si="6"/>
        <v>3916024.1781538427</v>
      </c>
      <c r="N17" s="56">
        <f t="shared" si="7"/>
        <v>0</v>
      </c>
      <c r="O17" s="56">
        <f t="shared" si="8"/>
        <v>224447.22200814396</v>
      </c>
      <c r="P17" s="113">
        <f t="shared" si="9"/>
        <v>17.447416560191382</v>
      </c>
      <c r="Q17" s="166">
        <f t="shared" ref="Q17:Q33" si="10">M17/O17</f>
        <v>17.447416560191382</v>
      </c>
      <c r="R17" s="166">
        <f t="shared" ref="R17:R33" si="11">IFERROR(N17/O17,0)</f>
        <v>0</v>
      </c>
    </row>
    <row r="18" spans="2:20">
      <c r="B18" s="78">
        <f t="shared" si="3"/>
        <v>44348</v>
      </c>
      <c r="C18" s="75">
        <v>368360.66401222348</v>
      </c>
      <c r="D18" s="71">
        <f>IF(ISNUMBER($F18),VLOOKUP($J18,'Table 1'!$B$13:$C$33,2,FALSE)/12*1000*Study_MW,"")</f>
        <v>0</v>
      </c>
      <c r="E18" s="71">
        <f t="shared" ref="E18:E19" si="12">IF(ISNUMBER(C18+D18),C18+D18,"")</f>
        <v>368360.66401222348</v>
      </c>
      <c r="F18" s="75">
        <v>25167.392688029999</v>
      </c>
      <c r="G18" s="76">
        <f t="shared" ref="G18:G19" si="13">IF(ISNUMBER($F18),E18/$F18,"")</f>
        <v>14.636425337274668</v>
      </c>
      <c r="I18" s="77">
        <f t="shared" si="5"/>
        <v>6</v>
      </c>
      <c r="J18" s="73">
        <f t="shared" si="4"/>
        <v>2021</v>
      </c>
      <c r="K18" s="78">
        <f t="shared" si="2"/>
        <v>44348</v>
      </c>
      <c r="L18" s="73">
        <f t="shared" ref="L18:L42" si="14">L17+1</f>
        <v>2023</v>
      </c>
      <c r="M18" s="56">
        <f t="shared" si="6"/>
        <v>3724343.2303003669</v>
      </c>
      <c r="N18" s="56">
        <f t="shared" si="7"/>
        <v>0</v>
      </c>
      <c r="O18" s="56">
        <f t="shared" si="8"/>
        <v>223324.98583873498</v>
      </c>
      <c r="P18" s="113">
        <f t="shared" si="9"/>
        <v>16.676787043388639</v>
      </c>
      <c r="Q18" s="166">
        <f t="shared" si="10"/>
        <v>16.676787043388639</v>
      </c>
      <c r="R18" s="166">
        <f t="shared" si="11"/>
        <v>0</v>
      </c>
    </row>
    <row r="19" spans="2:20">
      <c r="B19" s="78">
        <f t="shared" si="3"/>
        <v>44378</v>
      </c>
      <c r="C19" s="75">
        <v>626017.81475508213</v>
      </c>
      <c r="D19" s="71">
        <f>IF(ISNUMBER($F19),VLOOKUP($J19,'Table 1'!$B$13:$C$33,2,FALSE)/12*1000*Study_MW,"")</f>
        <v>0</v>
      </c>
      <c r="E19" s="71">
        <f t="shared" si="12"/>
        <v>626017.81475508213</v>
      </c>
      <c r="F19" s="75">
        <v>25671.212399520002</v>
      </c>
      <c r="G19" s="76">
        <f t="shared" si="13"/>
        <v>24.385985555040921</v>
      </c>
      <c r="I19" s="77">
        <f t="shared" si="5"/>
        <v>7</v>
      </c>
      <c r="J19" s="73">
        <f t="shared" si="4"/>
        <v>2021</v>
      </c>
      <c r="K19" s="78">
        <f t="shared" si="2"/>
        <v>44378</v>
      </c>
      <c r="L19" s="73">
        <f t="shared" si="14"/>
        <v>2024</v>
      </c>
      <c r="M19" s="56">
        <f t="shared" si="6"/>
        <v>890175.93557362258</v>
      </c>
      <c r="N19" s="56">
        <f t="shared" si="7"/>
        <v>2623691.4561394379</v>
      </c>
      <c r="O19" s="56">
        <f t="shared" si="8"/>
        <v>222806.82945516502</v>
      </c>
      <c r="P19" s="113">
        <f t="shared" si="9"/>
        <v>15.770914205393103</v>
      </c>
      <c r="Q19" s="166">
        <f t="shared" si="10"/>
        <v>3.9952811938053765</v>
      </c>
      <c r="R19" s="166">
        <f t="shared" si="11"/>
        <v>11.775633011587727</v>
      </c>
    </row>
    <row r="20" spans="2:20">
      <c r="B20" s="78">
        <f t="shared" si="3"/>
        <v>44409</v>
      </c>
      <c r="C20" s="75">
        <v>530134.52864448726</v>
      </c>
      <c r="D20" s="71">
        <f>IF(ISNUMBER($F20),VLOOKUP($J20,'Table 1'!$B$13:$C$33,2,FALSE)/12*1000*Study_MW,"")</f>
        <v>0</v>
      </c>
      <c r="E20" s="71">
        <f t="shared" ref="E20:E22" si="15">IF(ISNUMBER(C20+D20),C20+D20,"")</f>
        <v>530134.52864448726</v>
      </c>
      <c r="F20" s="75">
        <v>23041.309113399999</v>
      </c>
      <c r="G20" s="76">
        <f t="shared" ref="G20:G77" si="16">IF(ISNUMBER($F20),E20/$F20,"")</f>
        <v>23.00800384367831</v>
      </c>
      <c r="I20" s="77">
        <f t="shared" si="5"/>
        <v>8</v>
      </c>
      <c r="J20" s="73">
        <f t="shared" si="4"/>
        <v>2021</v>
      </c>
      <c r="K20" s="78">
        <f t="shared" si="2"/>
        <v>44409</v>
      </c>
      <c r="L20" s="73">
        <f t="shared" si="14"/>
        <v>2025</v>
      </c>
      <c r="M20" s="56">
        <f t="shared" si="6"/>
        <v>1174039.9008158743</v>
      </c>
      <c r="N20" s="56">
        <f t="shared" si="7"/>
        <v>2678934.0617232602</v>
      </c>
      <c r="O20" s="56">
        <f t="shared" si="8"/>
        <v>221097.31986352298</v>
      </c>
      <c r="P20" s="113">
        <f t="shared" si="9"/>
        <v>17.426597323375358</v>
      </c>
      <c r="Q20" s="166">
        <f t="shared" si="10"/>
        <v>5.3100593961997165</v>
      </c>
      <c r="R20" s="166">
        <f t="shared" si="11"/>
        <v>12.11653792717564</v>
      </c>
    </row>
    <row r="21" spans="2:20">
      <c r="B21" s="78">
        <f t="shared" si="3"/>
        <v>44440</v>
      </c>
      <c r="C21" s="75">
        <v>371642.96303996444</v>
      </c>
      <c r="D21" s="71">
        <f>IF(ISNUMBER($F21),VLOOKUP($J21,'Table 1'!$B$13:$C$33,2,FALSE)/12*1000*Study_MW,"")</f>
        <v>0</v>
      </c>
      <c r="E21" s="71">
        <f t="shared" si="15"/>
        <v>371642.96303996444</v>
      </c>
      <c r="F21" s="75">
        <v>21985.178324010001</v>
      </c>
      <c r="G21" s="76">
        <f t="shared" si="16"/>
        <v>16.904250562029482</v>
      </c>
      <c r="I21" s="77">
        <f t="shared" si="5"/>
        <v>9</v>
      </c>
      <c r="J21" s="73">
        <f t="shared" si="4"/>
        <v>2021</v>
      </c>
      <c r="K21" s="78">
        <f t="shared" si="2"/>
        <v>44440</v>
      </c>
      <c r="L21" s="73">
        <f t="shared" si="14"/>
        <v>2026</v>
      </c>
      <c r="M21" s="56">
        <f t="shared" si="6"/>
        <v>1144092.7665714025</v>
      </c>
      <c r="N21" s="56">
        <f t="shared" si="7"/>
        <v>2737732.9356690068</v>
      </c>
      <c r="O21" s="56">
        <f t="shared" si="8"/>
        <v>219991.83323326102</v>
      </c>
      <c r="P21" s="113">
        <f t="shared" si="9"/>
        <v>17.645317306504033</v>
      </c>
      <c r="Q21" s="166">
        <f t="shared" si="10"/>
        <v>5.2006147217215188</v>
      </c>
      <c r="R21" s="166">
        <f t="shared" si="11"/>
        <v>12.444702584782512</v>
      </c>
    </row>
    <row r="22" spans="2:20">
      <c r="B22" s="78">
        <f t="shared" si="3"/>
        <v>44470</v>
      </c>
      <c r="C22" s="75">
        <v>274707.06959198415</v>
      </c>
      <c r="D22" s="71">
        <f>IF(ISNUMBER($F22),VLOOKUP($J22,'Table 1'!$B$13:$C$33,2,FALSE)/12*1000*Study_MW,"")</f>
        <v>0</v>
      </c>
      <c r="E22" s="71">
        <f t="shared" si="15"/>
        <v>274707.06959198415</v>
      </c>
      <c r="F22" s="75">
        <v>18369.574849285</v>
      </c>
      <c r="G22" s="76">
        <f t="shared" si="16"/>
        <v>14.954459852546702</v>
      </c>
      <c r="I22" s="77">
        <f t="shared" si="5"/>
        <v>10</v>
      </c>
      <c r="J22" s="73">
        <f t="shared" si="4"/>
        <v>2021</v>
      </c>
      <c r="K22" s="78">
        <f t="shared" si="2"/>
        <v>44470</v>
      </c>
      <c r="L22" s="73">
        <f t="shared" si="14"/>
        <v>2027</v>
      </c>
      <c r="M22" s="56">
        <f t="shared" si="6"/>
        <v>1329479.7601053119</v>
      </c>
      <c r="N22" s="56">
        <f t="shared" si="7"/>
        <v>2800834.1662449297</v>
      </c>
      <c r="O22" s="56">
        <f t="shared" si="8"/>
        <v>218891.87344765302</v>
      </c>
      <c r="P22" s="113">
        <f t="shared" si="9"/>
        <v>18.869197203604671</v>
      </c>
      <c r="Q22" s="166">
        <f t="shared" si="10"/>
        <v>6.0736825865910955</v>
      </c>
      <c r="R22" s="166">
        <f t="shared" si="11"/>
        <v>12.795514617013573</v>
      </c>
    </row>
    <row r="23" spans="2:20">
      <c r="B23" s="78">
        <f t="shared" si="3"/>
        <v>44501</v>
      </c>
      <c r="C23" s="75">
        <v>203396.69523361325</v>
      </c>
      <c r="D23" s="71">
        <f>IF(ISNUMBER($F23),VLOOKUP($J23,'Table 1'!$B$13:$C$33,2,FALSE)/12*1000*Study_MW,"")</f>
        <v>0</v>
      </c>
      <c r="E23" s="71">
        <f t="shared" ref="E23" si="17">IF(ISNUMBER(C23+D23),C23+D23,"")</f>
        <v>203396.69523361325</v>
      </c>
      <c r="F23" s="75">
        <v>12982.604379099999</v>
      </c>
      <c r="G23" s="76">
        <f t="shared" ref="G23" si="18">IF(ISNUMBER($F23),E23/$F23,"")</f>
        <v>15.666863850603868</v>
      </c>
      <c r="I23" s="77">
        <f t="shared" si="5"/>
        <v>11</v>
      </c>
      <c r="J23" s="73">
        <f t="shared" si="4"/>
        <v>2021</v>
      </c>
      <c r="K23" s="78">
        <f t="shared" si="2"/>
        <v>44501</v>
      </c>
      <c r="L23" s="73">
        <f t="shared" si="14"/>
        <v>2028</v>
      </c>
      <c r="M23" s="56">
        <f t="shared" si="6"/>
        <v>1923404.4804259092</v>
      </c>
      <c r="N23" s="56">
        <f t="shared" si="7"/>
        <v>2865369.5156975761</v>
      </c>
      <c r="O23" s="56">
        <f t="shared" si="8"/>
        <v>218384.00168653904</v>
      </c>
      <c r="P23" s="113">
        <f t="shared" si="9"/>
        <v>21.928227155563935</v>
      </c>
      <c r="Q23" s="166">
        <f t="shared" si="10"/>
        <v>8.8074422373974919</v>
      </c>
      <c r="R23" s="166">
        <f t="shared" si="11"/>
        <v>13.120784918166441</v>
      </c>
      <c r="T23" s="41">
        <v>1.9E-2</v>
      </c>
    </row>
    <row r="24" spans="2:20">
      <c r="B24" s="82">
        <f t="shared" si="3"/>
        <v>44531</v>
      </c>
      <c r="C24" s="79">
        <v>167492.44564935565</v>
      </c>
      <c r="D24" s="80">
        <f>IF(F24&lt;&gt;0,VLOOKUP($J24,'Table 1'!$B$13:$C$33,2,FALSE)/12*1000*Study_MW,0)</f>
        <v>0</v>
      </c>
      <c r="E24" s="80">
        <f t="shared" ref="E24" si="19">IF(ISNUMBER(C24+D24),C24+D24,"")</f>
        <v>167492.44564935565</v>
      </c>
      <c r="F24" s="79">
        <v>9278.98632645</v>
      </c>
      <c r="G24" s="81">
        <f t="shared" ref="G24" si="20">IF(ISNUMBER($F24),E24/$F24,"")</f>
        <v>18.050726637231261</v>
      </c>
      <c r="I24" s="64">
        <f t="shared" si="5"/>
        <v>12</v>
      </c>
      <c r="J24" s="73">
        <f t="shared" si="4"/>
        <v>2021</v>
      </c>
      <c r="K24" s="82">
        <f t="shared" si="2"/>
        <v>44531</v>
      </c>
      <c r="L24" s="73">
        <f t="shared" si="14"/>
        <v>2029</v>
      </c>
      <c r="M24" s="56">
        <f t="shared" si="6"/>
        <v>2200902.793854177</v>
      </c>
      <c r="N24" s="56">
        <f t="shared" si="7"/>
        <v>2931338.9840269517</v>
      </c>
      <c r="O24" s="56">
        <f t="shared" si="8"/>
        <v>216708.42804061002</v>
      </c>
      <c r="P24" s="113">
        <f t="shared" si="9"/>
        <v>23.682705025756423</v>
      </c>
      <c r="Q24" s="166">
        <f t="shared" si="10"/>
        <v>10.156055367822333</v>
      </c>
      <c r="R24" s="166">
        <f t="shared" si="11"/>
        <v>13.52664965793409</v>
      </c>
    </row>
    <row r="25" spans="2:20">
      <c r="B25" s="74">
        <f t="shared" si="3"/>
        <v>44562</v>
      </c>
      <c r="C25" s="69">
        <v>277038.66033816338</v>
      </c>
      <c r="D25" s="70">
        <f>IF(F25&lt;&gt;0,VLOOKUP($J25,'Table 1'!$B$13:$C$33,2,FALSE)/12*1000*Study_MW,0)</f>
        <v>0</v>
      </c>
      <c r="E25" s="70">
        <f t="shared" ref="E25:E77" si="21">C25+D25</f>
        <v>277038.66033816338</v>
      </c>
      <c r="F25" s="69">
        <v>12391.79581136</v>
      </c>
      <c r="G25" s="72">
        <f t="shared" si="16"/>
        <v>22.35661921447997</v>
      </c>
      <c r="I25" s="60">
        <f>I13+13</f>
        <v>14</v>
      </c>
      <c r="J25" s="73">
        <f t="shared" si="4"/>
        <v>2022</v>
      </c>
      <c r="K25" s="74">
        <f>IF(ISNUMBER(F25),IF(F25&lt;&gt;0,B25,""),"")</f>
        <v>44562</v>
      </c>
      <c r="L25" s="73">
        <f t="shared" si="14"/>
        <v>2030</v>
      </c>
      <c r="M25" s="56">
        <f t="shared" si="6"/>
        <v>1660383.476528734</v>
      </c>
      <c r="N25" s="56">
        <f t="shared" si="7"/>
        <v>2998742.5712330509</v>
      </c>
      <c r="O25" s="56">
        <f t="shared" si="8"/>
        <v>215624.88621424901</v>
      </c>
      <c r="P25" s="113">
        <f t="shared" si="9"/>
        <v>21.607552493418538</v>
      </c>
      <c r="Q25" s="166">
        <f t="shared" si="10"/>
        <v>7.7003332299915757</v>
      </c>
      <c r="R25" s="166">
        <f t="shared" si="11"/>
        <v>13.907219263426963</v>
      </c>
    </row>
    <row r="26" spans="2:20">
      <c r="B26" s="78">
        <f t="shared" si="3"/>
        <v>44593</v>
      </c>
      <c r="C26" s="75">
        <v>201255.77958957851</v>
      </c>
      <c r="D26" s="71">
        <f>IF(F26&lt;&gt;0,VLOOKUP($J26,'Table 1'!$B$13:$C$33,2,FALSE)/12*1000*Study_MW,0)</f>
        <v>0</v>
      </c>
      <c r="E26" s="71">
        <f t="shared" si="21"/>
        <v>201255.77958957851</v>
      </c>
      <c r="F26" s="75">
        <v>12086.45678554</v>
      </c>
      <c r="G26" s="76">
        <f t="shared" si="16"/>
        <v>16.651346474870699</v>
      </c>
      <c r="I26" s="77">
        <f t="shared" ref="I26:I89" si="22">I14+13</f>
        <v>15</v>
      </c>
      <c r="J26" s="73">
        <f t="shared" si="4"/>
        <v>2022</v>
      </c>
      <c r="K26" s="78">
        <f t="shared" ref="K26:K89" si="23">IF(ISNUMBER(F26),IF(F26&lt;&gt;0,B26,""),"")</f>
        <v>44593</v>
      </c>
      <c r="L26" s="73">
        <f t="shared" si="14"/>
        <v>2031</v>
      </c>
      <c r="M26" s="56">
        <f t="shared" si="6"/>
        <v>1831133.0602225363</v>
      </c>
      <c r="N26" s="56">
        <f t="shared" si="7"/>
        <v>3067580.2773158741</v>
      </c>
      <c r="O26" s="56">
        <f t="shared" si="8"/>
        <v>214546.75980867096</v>
      </c>
      <c r="P26" s="113">
        <f>(M26+N26)/O26</f>
        <v>22.832846983599271</v>
      </c>
      <c r="Q26" s="166">
        <f t="shared" si="10"/>
        <v>8.5348903048244988</v>
      </c>
      <c r="R26" s="166">
        <f t="shared" si="11"/>
        <v>14.297956678774774</v>
      </c>
    </row>
    <row r="27" spans="2:20">
      <c r="B27" s="78">
        <f t="shared" si="3"/>
        <v>44621</v>
      </c>
      <c r="C27" s="75">
        <v>263257.52617163956</v>
      </c>
      <c r="D27" s="71">
        <f>IF(F27&lt;&gt;0,VLOOKUP($J27,'Table 1'!$B$13:$C$33,2,FALSE)/12*1000*Study_MW,0)</f>
        <v>0</v>
      </c>
      <c r="E27" s="71">
        <f t="shared" si="21"/>
        <v>263257.52617163956</v>
      </c>
      <c r="F27" s="75">
        <v>16849.522339380001</v>
      </c>
      <c r="G27" s="76">
        <f t="shared" si="16"/>
        <v>15.624034964858621</v>
      </c>
      <c r="I27" s="77">
        <f t="shared" si="22"/>
        <v>16</v>
      </c>
      <c r="J27" s="73">
        <f t="shared" si="4"/>
        <v>2022</v>
      </c>
      <c r="K27" s="78">
        <f t="shared" si="23"/>
        <v>44621</v>
      </c>
      <c r="L27" s="73">
        <f t="shared" si="14"/>
        <v>2032</v>
      </c>
      <c r="M27" s="56">
        <f t="shared" si="6"/>
        <v>1994018.3878187537</v>
      </c>
      <c r="N27" s="56">
        <f t="shared" si="7"/>
        <v>3138138.9260507692</v>
      </c>
      <c r="O27" s="56">
        <f t="shared" si="8"/>
        <v>214048.97111704201</v>
      </c>
      <c r="P27" s="113">
        <f t="shared" ref="P27:P31" si="24">(M27+N27)/O27</f>
        <v>23.976556799533778</v>
      </c>
      <c r="Q27" s="166">
        <f t="shared" si="10"/>
        <v>9.3157111543807627</v>
      </c>
      <c r="R27" s="166">
        <f t="shared" si="11"/>
        <v>14.660845645153017</v>
      </c>
    </row>
    <row r="28" spans="2:20">
      <c r="B28" s="78">
        <f t="shared" si="3"/>
        <v>44652</v>
      </c>
      <c r="C28" s="75">
        <v>247875.47915489972</v>
      </c>
      <c r="D28" s="71">
        <f>IF(F28&lt;&gt;0,VLOOKUP($J28,'Table 1'!$B$13:$C$33,2,FALSE)/12*1000*Study_MW,0)</f>
        <v>0</v>
      </c>
      <c r="E28" s="71">
        <f t="shared" si="21"/>
        <v>247875.47915489972</v>
      </c>
      <c r="F28" s="75">
        <v>19973.066258043</v>
      </c>
      <c r="G28" s="76">
        <f t="shared" si="16"/>
        <v>12.410487000466549</v>
      </c>
      <c r="I28" s="77">
        <f t="shared" si="22"/>
        <v>17</v>
      </c>
      <c r="J28" s="73">
        <f t="shared" si="4"/>
        <v>2022</v>
      </c>
      <c r="K28" s="78">
        <f t="shared" si="23"/>
        <v>44652</v>
      </c>
      <c r="L28" s="73">
        <f t="shared" si="14"/>
        <v>2033</v>
      </c>
      <c r="M28" s="56">
        <f t="shared" si="6"/>
        <v>1918439.0811744928</v>
      </c>
      <c r="N28" s="56">
        <f t="shared" si="7"/>
        <v>3210131.693662392</v>
      </c>
      <c r="O28" s="56">
        <f t="shared" si="8"/>
        <v>212406.65808452398</v>
      </c>
      <c r="P28" s="113">
        <f t="shared" si="24"/>
        <v>24.14505656784096</v>
      </c>
      <c r="Q28" s="166">
        <f t="shared" si="10"/>
        <v>9.0319159412181858</v>
      </c>
      <c r="R28" s="166">
        <f t="shared" si="11"/>
        <v>15.113140626622773</v>
      </c>
    </row>
    <row r="29" spans="2:20">
      <c r="B29" s="78">
        <f t="shared" si="3"/>
        <v>44682</v>
      </c>
      <c r="C29" s="75">
        <v>340029.29613891244</v>
      </c>
      <c r="D29" s="71">
        <f>IF(F29&lt;&gt;0,VLOOKUP($J29,'Table 1'!$B$13:$C$33,2,FALSE)/12*1000*Study_MW,0)</f>
        <v>0</v>
      </c>
      <c r="E29" s="71">
        <f t="shared" si="21"/>
        <v>340029.29613891244</v>
      </c>
      <c r="F29" s="75">
        <v>27332.604437409998</v>
      </c>
      <c r="G29" s="76">
        <f t="shared" si="16"/>
        <v>12.440427948151038</v>
      </c>
      <c r="I29" s="77">
        <f t="shared" si="22"/>
        <v>18</v>
      </c>
      <c r="J29" s="73">
        <f t="shared" si="4"/>
        <v>2022</v>
      </c>
      <c r="K29" s="78">
        <f t="shared" si="23"/>
        <v>44682</v>
      </c>
      <c r="L29" s="73">
        <f t="shared" si="14"/>
        <v>2034</v>
      </c>
      <c r="M29" s="56">
        <f t="shared" si="6"/>
        <v>2144688.1090309918</v>
      </c>
      <c r="N29" s="56">
        <f t="shared" si="7"/>
        <v>3283845.403926082</v>
      </c>
      <c r="O29" s="56">
        <f t="shared" si="8"/>
        <v>211344.62474938095</v>
      </c>
      <c r="P29" s="113">
        <f t="shared" si="24"/>
        <v>25.685694724407579</v>
      </c>
      <c r="Q29" s="166">
        <f t="shared" si="10"/>
        <v>10.147824254220943</v>
      </c>
      <c r="R29" s="166">
        <f t="shared" si="11"/>
        <v>15.537870470186636</v>
      </c>
    </row>
    <row r="30" spans="2:20">
      <c r="B30" s="78">
        <f t="shared" si="3"/>
        <v>44713</v>
      </c>
      <c r="C30" s="75">
        <v>390687.23708675802</v>
      </c>
      <c r="D30" s="71">
        <f>IF(F30&lt;&gt;0,VLOOKUP($J30,'Table 1'!$B$13:$C$33,2,FALSE)/12*1000*Study_MW,0)</f>
        <v>0</v>
      </c>
      <c r="E30" s="71">
        <f t="shared" si="21"/>
        <v>390687.23708675802</v>
      </c>
      <c r="F30" s="75">
        <v>25041.555742459001</v>
      </c>
      <c r="G30" s="76">
        <f t="shared" si="16"/>
        <v>15.601556113557734</v>
      </c>
      <c r="I30" s="77">
        <f t="shared" si="22"/>
        <v>19</v>
      </c>
      <c r="J30" s="73">
        <f t="shared" si="4"/>
        <v>2022</v>
      </c>
      <c r="K30" s="78">
        <f t="shared" si="23"/>
        <v>44713</v>
      </c>
      <c r="L30" s="73">
        <f t="shared" si="14"/>
        <v>2035</v>
      </c>
      <c r="M30" s="56">
        <f t="shared" si="6"/>
        <v>2229216.8433072269</v>
      </c>
      <c r="N30" s="56">
        <f t="shared" si="7"/>
        <v>3359280.0568418433</v>
      </c>
      <c r="O30" s="56">
        <f t="shared" si="8"/>
        <v>210287.90038148698</v>
      </c>
      <c r="P30" s="113">
        <f t="shared" si="24"/>
        <v>26.575456267388088</v>
      </c>
      <c r="Q30" s="166">
        <f t="shared" si="10"/>
        <v>10.600785110618183</v>
      </c>
      <c r="R30" s="166">
        <f t="shared" si="11"/>
        <v>15.974671156769906</v>
      </c>
    </row>
    <row r="31" spans="2:20">
      <c r="B31" s="78">
        <f t="shared" si="3"/>
        <v>44743</v>
      </c>
      <c r="C31" s="75">
        <v>647638.56311205029</v>
      </c>
      <c r="D31" s="71">
        <f>IF(F31&lt;&gt;0,VLOOKUP($J31,'Table 1'!$B$13:$C$33,2,FALSE)/12*1000*Study_MW,0)</f>
        <v>0</v>
      </c>
      <c r="E31" s="71">
        <f t="shared" si="21"/>
        <v>647638.56311205029</v>
      </c>
      <c r="F31" s="75">
        <v>25542.85618296</v>
      </c>
      <c r="G31" s="76">
        <f t="shared" si="16"/>
        <v>25.354978255881154</v>
      </c>
      <c r="I31" s="77">
        <f t="shared" si="22"/>
        <v>20</v>
      </c>
      <c r="J31" s="73">
        <f t="shared" si="4"/>
        <v>2022</v>
      </c>
      <c r="K31" s="78">
        <f t="shared" si="23"/>
        <v>44743</v>
      </c>
      <c r="L31" s="73">
        <f t="shared" si="14"/>
        <v>2036</v>
      </c>
      <c r="M31" s="56">
        <f t="shared" si="6"/>
        <v>2577376.1578795016</v>
      </c>
      <c r="N31" s="56">
        <f t="shared" si="7"/>
        <v>3436435.6524096765</v>
      </c>
      <c r="O31" s="56">
        <f t="shared" si="8"/>
        <v>209799.99288487999</v>
      </c>
      <c r="P31" s="113">
        <f t="shared" si="24"/>
        <v>28.664499591232282</v>
      </c>
      <c r="Q31" s="166">
        <f t="shared" si="10"/>
        <v>12.284920139600489</v>
      </c>
      <c r="R31" s="166">
        <f t="shared" si="11"/>
        <v>16.379579451631791</v>
      </c>
    </row>
    <row r="32" spans="2:20">
      <c r="B32" s="78">
        <f t="shared" si="3"/>
        <v>44774</v>
      </c>
      <c r="C32" s="75">
        <v>518227.71200202405</v>
      </c>
      <c r="D32" s="71">
        <f>IF(F32&lt;&gt;0,VLOOKUP($J32,'Table 1'!$B$13:$C$33,2,FALSE)/12*1000*Study_MW,0)</f>
        <v>0</v>
      </c>
      <c r="E32" s="71">
        <f t="shared" si="21"/>
        <v>518227.71200202405</v>
      </c>
      <c r="F32" s="75">
        <v>22926.102485751999</v>
      </c>
      <c r="G32" s="76">
        <f t="shared" si="16"/>
        <v>22.604265697760432</v>
      </c>
      <c r="I32" s="77">
        <f t="shared" si="22"/>
        <v>21</v>
      </c>
      <c r="J32" s="73">
        <f t="shared" si="4"/>
        <v>2022</v>
      </c>
      <c r="K32" s="78">
        <f t="shared" si="23"/>
        <v>44774</v>
      </c>
      <c r="L32" s="73">
        <f t="shared" si="14"/>
        <v>2037</v>
      </c>
      <c r="M32" s="56">
        <f t="shared" si="6"/>
        <v>2674584.003741309</v>
      </c>
      <c r="N32" s="56">
        <f t="shared" si="7"/>
        <v>3515599.0144049246</v>
      </c>
      <c r="O32" s="56">
        <f t="shared" si="8"/>
        <v>208190.27800826399</v>
      </c>
      <c r="P32" s="113">
        <f t="shared" ref="P32:P34" si="25">(M32+N32)/O32</f>
        <v>29.733295316991306</v>
      </c>
      <c r="Q32" s="166">
        <f t="shared" si="10"/>
        <v>12.846824690032562</v>
      </c>
      <c r="R32" s="166">
        <f t="shared" si="11"/>
        <v>16.886470626958744</v>
      </c>
    </row>
    <row r="33" spans="2:20">
      <c r="B33" s="78">
        <f t="shared" si="3"/>
        <v>44805</v>
      </c>
      <c r="C33" s="75">
        <v>378309.52461203933</v>
      </c>
      <c r="D33" s="71">
        <f>IF(F33&lt;&gt;0,VLOOKUP($J33,'Table 1'!$B$13:$C$33,2,FALSE)/12*1000*Study_MW,0)</f>
        <v>0</v>
      </c>
      <c r="E33" s="71">
        <f t="shared" si="21"/>
        <v>378309.52461203933</v>
      </c>
      <c r="F33" s="75">
        <v>21875.2524022</v>
      </c>
      <c r="G33" s="76">
        <f t="shared" si="16"/>
        <v>17.293950152273105</v>
      </c>
      <c r="I33" s="77">
        <f t="shared" si="22"/>
        <v>22</v>
      </c>
      <c r="J33" s="73">
        <f t="shared" si="4"/>
        <v>2022</v>
      </c>
      <c r="K33" s="78">
        <f t="shared" si="23"/>
        <v>44805</v>
      </c>
      <c r="L33" s="73">
        <f t="shared" si="14"/>
        <v>2038</v>
      </c>
      <c r="M33" s="56">
        <f t="shared" si="6"/>
        <v>2938693.0552368611</v>
      </c>
      <c r="N33" s="56">
        <f t="shared" si="7"/>
        <v>3596770.1428275886</v>
      </c>
      <c r="O33" s="56">
        <f t="shared" si="8"/>
        <v>207149.32712718498</v>
      </c>
      <c r="P33" s="113">
        <f t="shared" si="25"/>
        <v>31.549526559899586</v>
      </c>
      <c r="Q33" s="166">
        <f t="shared" si="10"/>
        <v>14.186350957503087</v>
      </c>
      <c r="R33" s="166">
        <f t="shared" si="11"/>
        <v>17.363175602396495</v>
      </c>
    </row>
    <row r="34" spans="2:20">
      <c r="B34" s="78">
        <f t="shared" si="3"/>
        <v>44835</v>
      </c>
      <c r="C34" s="75">
        <v>280207.52445726097</v>
      </c>
      <c r="D34" s="71">
        <f>IF(F34&lt;&gt;0,VLOOKUP($J34,'Table 1'!$B$13:$C$33,2,FALSE)/12*1000*Study_MW,0)</f>
        <v>0</v>
      </c>
      <c r="E34" s="71">
        <f t="shared" si="21"/>
        <v>280207.52445726097</v>
      </c>
      <c r="F34" s="75">
        <v>18277.726816980001</v>
      </c>
      <c r="G34" s="76">
        <f t="shared" si="16"/>
        <v>15.330545601379066</v>
      </c>
      <c r="I34" s="77">
        <f t="shared" si="22"/>
        <v>23</v>
      </c>
      <c r="J34" s="73">
        <f t="shared" si="4"/>
        <v>2022</v>
      </c>
      <c r="K34" s="78">
        <f t="shared" si="23"/>
        <v>44835</v>
      </c>
      <c r="L34" s="73">
        <f t="shared" si="14"/>
        <v>2039</v>
      </c>
      <c r="M34" s="56">
        <f t="shared" si="6"/>
        <v>0</v>
      </c>
      <c r="N34" s="56">
        <f t="shared" si="7"/>
        <v>0</v>
      </c>
      <c r="O34" s="56">
        <f t="shared" si="8"/>
        <v>0</v>
      </c>
      <c r="P34" s="113" t="e">
        <f t="shared" si="25"/>
        <v>#DIV/0!</v>
      </c>
      <c r="Q34" s="166" t="e">
        <f t="shared" ref="Q34" si="26">M34/O34</f>
        <v>#DIV/0!</v>
      </c>
      <c r="R34" s="166">
        <f t="shared" ref="R34" si="27">IFERROR(N34/O34,0)</f>
        <v>0</v>
      </c>
    </row>
    <row r="35" spans="2:20">
      <c r="B35" s="78">
        <f t="shared" si="3"/>
        <v>44866</v>
      </c>
      <c r="C35" s="75">
        <v>199677.80810151994</v>
      </c>
      <c r="D35" s="71">
        <f>IF(F35&lt;&gt;0,VLOOKUP($J35,'Table 1'!$B$13:$C$33,2,FALSE)/12*1000*Study_MW,0)</f>
        <v>0</v>
      </c>
      <c r="E35" s="71">
        <f t="shared" si="21"/>
        <v>199677.80810151994</v>
      </c>
      <c r="F35" s="75">
        <v>12917.691371000001</v>
      </c>
      <c r="G35" s="76">
        <f t="shared" si="16"/>
        <v>15.457700789306148</v>
      </c>
      <c r="I35" s="77">
        <f t="shared" si="22"/>
        <v>24</v>
      </c>
      <c r="J35" s="73">
        <f t="shared" si="4"/>
        <v>2022</v>
      </c>
      <c r="K35" s="78">
        <f t="shared" si="23"/>
        <v>44866</v>
      </c>
      <c r="L35" s="73">
        <f t="shared" si="14"/>
        <v>2040</v>
      </c>
      <c r="M35" s="56">
        <f t="shared" si="6"/>
        <v>0</v>
      </c>
      <c r="N35" s="56">
        <f t="shared" si="7"/>
        <v>0</v>
      </c>
      <c r="O35" s="56">
        <f t="shared" si="8"/>
        <v>0</v>
      </c>
      <c r="P35" s="113" t="e">
        <f t="shared" ref="P35" si="28">(M35+N35)/O35</f>
        <v>#DIV/0!</v>
      </c>
      <c r="Q35" s="166" t="e">
        <f t="shared" ref="Q35" si="29">M35/O35</f>
        <v>#DIV/0!</v>
      </c>
      <c r="R35" s="166">
        <f t="shared" ref="R35" si="30">IFERROR(N35/O35,0)</f>
        <v>0</v>
      </c>
    </row>
    <row r="36" spans="2:20">
      <c r="B36" s="82">
        <f t="shared" si="3"/>
        <v>44896</v>
      </c>
      <c r="C36" s="79">
        <v>171819.06738899648</v>
      </c>
      <c r="D36" s="80">
        <f>IF(F36&lt;&gt;0,VLOOKUP($J36,'Table 1'!$B$13:$C$33,2,FALSE)/12*1000*Study_MW,0)</f>
        <v>0</v>
      </c>
      <c r="E36" s="80">
        <f t="shared" si="21"/>
        <v>171819.06738899648</v>
      </c>
      <c r="F36" s="79">
        <v>9232.5913750599993</v>
      </c>
      <c r="G36" s="81">
        <f t="shared" si="16"/>
        <v>18.610058694152908</v>
      </c>
      <c r="I36" s="64">
        <f t="shared" si="22"/>
        <v>25</v>
      </c>
      <c r="J36" s="73">
        <f t="shared" si="4"/>
        <v>2022</v>
      </c>
      <c r="K36" s="82">
        <f t="shared" si="23"/>
        <v>44896</v>
      </c>
      <c r="L36" s="73">
        <f t="shared" si="14"/>
        <v>2041</v>
      </c>
      <c r="M36" s="56">
        <f t="shared" si="6"/>
        <v>0</v>
      </c>
      <c r="N36" s="56">
        <f t="shared" si="7"/>
        <v>0</v>
      </c>
      <c r="O36" s="56">
        <f t="shared" si="8"/>
        <v>0</v>
      </c>
      <c r="P36" s="113" t="e">
        <f t="shared" ref="P36" si="31">(M36+N36)/O36</f>
        <v>#DIV/0!</v>
      </c>
      <c r="Q36" s="166" t="e">
        <f t="shared" ref="Q36" si="32">M36/O36</f>
        <v>#DIV/0!</v>
      </c>
      <c r="R36" s="166">
        <f t="shared" ref="R36" si="33">IFERROR(N36/O36,0)</f>
        <v>0</v>
      </c>
    </row>
    <row r="37" spans="2:20" outlineLevel="1">
      <c r="B37" s="74">
        <f t="shared" si="3"/>
        <v>44927</v>
      </c>
      <c r="C37" s="69">
        <v>214255.4937466085</v>
      </c>
      <c r="D37" s="70">
        <f>IF(F37&lt;&gt;0,VLOOKUP($J37,'Table 1'!$B$13:$C$33,2,FALSE)/12*1000*Study_MW,0)</f>
        <v>0</v>
      </c>
      <c r="E37" s="70">
        <f t="shared" si="21"/>
        <v>214255.4937466085</v>
      </c>
      <c r="F37" s="69">
        <v>12329.83680427</v>
      </c>
      <c r="G37" s="72">
        <f t="shared" si="16"/>
        <v>17.376993479135809</v>
      </c>
      <c r="I37" s="60">
        <f>I25+13</f>
        <v>27</v>
      </c>
      <c r="J37" s="73">
        <f t="shared" si="4"/>
        <v>2023</v>
      </c>
      <c r="K37" s="74">
        <f t="shared" si="23"/>
        <v>44927</v>
      </c>
      <c r="L37" s="73">
        <f t="shared" si="14"/>
        <v>2042</v>
      </c>
      <c r="M37" s="56">
        <f t="shared" si="6"/>
        <v>0</v>
      </c>
      <c r="N37" s="56">
        <f t="shared" si="7"/>
        <v>0</v>
      </c>
      <c r="O37" s="56">
        <f t="shared" si="8"/>
        <v>0</v>
      </c>
      <c r="P37" s="113" t="e">
        <f t="shared" ref="P37" si="34">(M37+N37)/O37</f>
        <v>#DIV/0!</v>
      </c>
      <c r="Q37" s="166" t="e">
        <f t="shared" ref="Q37" si="35">M37/O37</f>
        <v>#DIV/0!</v>
      </c>
      <c r="R37" s="166">
        <f t="shared" ref="R37" si="36">IFERROR(N37/O37,0)</f>
        <v>0</v>
      </c>
    </row>
    <row r="38" spans="2:20" outlineLevel="1">
      <c r="B38" s="78">
        <f t="shared" si="3"/>
        <v>44958</v>
      </c>
      <c r="C38" s="75">
        <v>194605.38320492208</v>
      </c>
      <c r="D38" s="71">
        <f>IF(F38&lt;&gt;0,VLOOKUP($J38,'Table 1'!$B$13:$C$33,2,FALSE)/12*1000*Study_MW,0)</f>
        <v>0</v>
      </c>
      <c r="E38" s="71">
        <f t="shared" si="21"/>
        <v>194605.38320492208</v>
      </c>
      <c r="F38" s="75">
        <v>12026.0245118</v>
      </c>
      <c r="G38" s="76">
        <f t="shared" si="16"/>
        <v>16.182021167009449</v>
      </c>
      <c r="I38" s="77">
        <f t="shared" si="22"/>
        <v>28</v>
      </c>
      <c r="J38" s="73">
        <f t="shared" si="4"/>
        <v>2023</v>
      </c>
      <c r="K38" s="78">
        <f t="shared" si="23"/>
        <v>44958</v>
      </c>
      <c r="L38" s="73">
        <f t="shared" si="14"/>
        <v>2043</v>
      </c>
      <c r="M38" s="56">
        <f t="shared" si="6"/>
        <v>0</v>
      </c>
      <c r="N38" s="56">
        <f t="shared" si="7"/>
        <v>0</v>
      </c>
      <c r="O38" s="56">
        <f t="shared" si="8"/>
        <v>0</v>
      </c>
      <c r="P38" s="113" t="e">
        <f t="shared" ref="P38:P41" si="37">(M38+N38)/O38</f>
        <v>#DIV/0!</v>
      </c>
      <c r="Q38" s="166" t="e">
        <f t="shared" ref="Q38:Q41" si="38">M38/O38</f>
        <v>#DIV/0!</v>
      </c>
      <c r="R38" s="166">
        <f t="shared" ref="R38:R41" si="39">IFERROR(N38/O38,0)</f>
        <v>0</v>
      </c>
    </row>
    <row r="39" spans="2:20" outlineLevel="1">
      <c r="B39" s="78">
        <f t="shared" si="3"/>
        <v>44986</v>
      </c>
      <c r="C39" s="75">
        <v>247915.58379046619</v>
      </c>
      <c r="D39" s="71">
        <f>IF(F39&lt;&gt;0,VLOOKUP($J39,'Table 1'!$B$13:$C$33,2,FALSE)/12*1000*Study_MW,0)</f>
        <v>0</v>
      </c>
      <c r="E39" s="71">
        <f t="shared" si="21"/>
        <v>247915.58379046619</v>
      </c>
      <c r="F39" s="75">
        <v>16765.274775530001</v>
      </c>
      <c r="G39" s="76">
        <f t="shared" si="16"/>
        <v>14.787445306432732</v>
      </c>
      <c r="I39" s="77">
        <f t="shared" si="22"/>
        <v>29</v>
      </c>
      <c r="J39" s="73">
        <f t="shared" si="4"/>
        <v>2023</v>
      </c>
      <c r="K39" s="78">
        <f t="shared" si="23"/>
        <v>44986</v>
      </c>
      <c r="L39" s="73">
        <f t="shared" si="14"/>
        <v>2044</v>
      </c>
      <c r="M39" s="56">
        <f>SUMIF($J$13:$J$304,L39,$C$13:$C$304)</f>
        <v>0</v>
      </c>
      <c r="N39" s="56">
        <f>SUMIF($J$13:$J$304,L39,$D$13:$D$304)</f>
        <v>0</v>
      </c>
      <c r="O39" s="56">
        <f>SUMIF($J$13:$J$304,L39,$F$13:$F$304)</f>
        <v>0</v>
      </c>
      <c r="P39" s="113" t="e">
        <f t="shared" si="37"/>
        <v>#DIV/0!</v>
      </c>
      <c r="Q39" s="166" t="e">
        <f t="shared" si="38"/>
        <v>#DIV/0!</v>
      </c>
      <c r="R39" s="166">
        <f t="shared" si="39"/>
        <v>0</v>
      </c>
    </row>
    <row r="40" spans="2:20" outlineLevel="1">
      <c r="B40" s="78">
        <f t="shared" si="3"/>
        <v>45017</v>
      </c>
      <c r="C40" s="75">
        <v>239373.23575392365</v>
      </c>
      <c r="D40" s="71">
        <f>IF(F40&lt;&gt;0,VLOOKUP($J40,'Table 1'!$B$13:$C$33,2,FALSE)/12*1000*Study_MW,0)</f>
        <v>0</v>
      </c>
      <c r="E40" s="71">
        <f t="shared" si="21"/>
        <v>239373.23575392365</v>
      </c>
      <c r="F40" s="75">
        <v>19873.200924317</v>
      </c>
      <c r="G40" s="76">
        <f t="shared" si="16"/>
        <v>12.04502670030497</v>
      </c>
      <c r="I40" s="77">
        <f t="shared" si="22"/>
        <v>30</v>
      </c>
      <c r="J40" s="73">
        <f t="shared" si="4"/>
        <v>2023</v>
      </c>
      <c r="K40" s="78">
        <f t="shared" si="23"/>
        <v>45017</v>
      </c>
      <c r="L40" s="73">
        <f t="shared" si="14"/>
        <v>2045</v>
      </c>
      <c r="M40" s="56">
        <f>SUMIF($J$13:$J$304,L40,$C$13:$C$304)</f>
        <v>0</v>
      </c>
      <c r="N40" s="56">
        <f>SUMIF($J$13:$J$304,L40,$D$13:$D$304)</f>
        <v>0</v>
      </c>
      <c r="O40" s="56">
        <f>SUMIF($J$13:$J$304,L40,$F$13:$F$304)</f>
        <v>0</v>
      </c>
      <c r="P40" s="113" t="e">
        <f t="shared" si="37"/>
        <v>#DIV/0!</v>
      </c>
      <c r="Q40" s="166" t="e">
        <f t="shared" si="38"/>
        <v>#DIV/0!</v>
      </c>
      <c r="R40" s="166">
        <f t="shared" si="39"/>
        <v>0</v>
      </c>
      <c r="S40" s="58"/>
      <c r="T40" s="91"/>
    </row>
    <row r="41" spans="2:20" outlineLevel="1">
      <c r="B41" s="78">
        <f t="shared" si="3"/>
        <v>45047</v>
      </c>
      <c r="C41" s="75">
        <v>342662.23493801057</v>
      </c>
      <c r="D41" s="71">
        <f>IF(F41&lt;&gt;0,VLOOKUP($J41,'Table 1'!$B$13:$C$33,2,FALSE)/12*1000*Study_MW,0)</f>
        <v>0</v>
      </c>
      <c r="E41" s="71">
        <f t="shared" si="21"/>
        <v>342662.23493801057</v>
      </c>
      <c r="F41" s="75">
        <v>27195.941358249998</v>
      </c>
      <c r="G41" s="76">
        <f t="shared" si="16"/>
        <v>12.599756354234916</v>
      </c>
      <c r="I41" s="77">
        <f t="shared" si="22"/>
        <v>31</v>
      </c>
      <c r="J41" s="73">
        <f t="shared" si="4"/>
        <v>2023</v>
      </c>
      <c r="K41" s="78">
        <f t="shared" si="23"/>
        <v>45047</v>
      </c>
      <c r="L41" s="73">
        <f t="shared" si="14"/>
        <v>2046</v>
      </c>
      <c r="M41" s="56">
        <f>SUMIF($J$13:$J$304,L41,$C$13:$C$304)</f>
        <v>0</v>
      </c>
      <c r="N41" s="56">
        <f>SUMIF($J$13:$J$304,L41,$D$13:$D$304)</f>
        <v>0</v>
      </c>
      <c r="O41" s="56">
        <f>SUMIF($J$13:$J$304,L41,$F$13:$F$304)</f>
        <v>0</v>
      </c>
      <c r="P41" s="113" t="e">
        <f t="shared" si="37"/>
        <v>#DIV/0!</v>
      </c>
      <c r="Q41" s="166" t="e">
        <f t="shared" si="38"/>
        <v>#DIV/0!</v>
      </c>
      <c r="R41" s="166">
        <f t="shared" si="39"/>
        <v>0</v>
      </c>
      <c r="S41" s="58"/>
      <c r="T41" s="91"/>
    </row>
    <row r="42" spans="2:20" outlineLevel="1">
      <c r="B42" s="78">
        <f t="shared" si="3"/>
        <v>45078</v>
      </c>
      <c r="C42" s="75">
        <v>346501.66790340841</v>
      </c>
      <c r="D42" s="71">
        <f>IF(F42&lt;&gt;0,VLOOKUP($J42,'Table 1'!$B$13:$C$33,2,FALSE)/12*1000*Study_MW,0)</f>
        <v>0</v>
      </c>
      <c r="E42" s="71">
        <f t="shared" si="21"/>
        <v>346501.66790340841</v>
      </c>
      <c r="F42" s="75">
        <v>24916.347933233999</v>
      </c>
      <c r="G42" s="76">
        <f t="shared" si="16"/>
        <v>13.906599347219602</v>
      </c>
      <c r="I42" s="77">
        <f t="shared" si="22"/>
        <v>32</v>
      </c>
      <c r="J42" s="73">
        <f t="shared" si="4"/>
        <v>2023</v>
      </c>
      <c r="K42" s="78">
        <f t="shared" si="23"/>
        <v>45078</v>
      </c>
      <c r="L42" s="73">
        <f t="shared" si="14"/>
        <v>2047</v>
      </c>
      <c r="P42" s="113"/>
      <c r="Q42" s="166"/>
      <c r="R42" s="166"/>
    </row>
    <row r="43" spans="2:20" outlineLevel="1">
      <c r="B43" s="78">
        <f t="shared" si="3"/>
        <v>45108</v>
      </c>
      <c r="C43" s="75">
        <v>628888.24672484398</v>
      </c>
      <c r="D43" s="71">
        <f>IF(F43&lt;&gt;0,VLOOKUP($J43,'Table 1'!$B$13:$C$33,2,FALSE)/12*1000*Study_MW,0)</f>
        <v>0</v>
      </c>
      <c r="E43" s="71">
        <f t="shared" si="21"/>
        <v>628888.24672484398</v>
      </c>
      <c r="F43" s="75">
        <v>25415.141965334002</v>
      </c>
      <c r="G43" s="76">
        <f t="shared" si="16"/>
        <v>24.74462852037739</v>
      </c>
      <c r="I43" s="77">
        <f t="shared" si="22"/>
        <v>33</v>
      </c>
      <c r="J43" s="73">
        <f t="shared" si="4"/>
        <v>2023</v>
      </c>
      <c r="K43" s="78">
        <f t="shared" si="23"/>
        <v>45108</v>
      </c>
    </row>
    <row r="44" spans="2:20" outlineLevel="1">
      <c r="B44" s="78">
        <f t="shared" si="3"/>
        <v>45139</v>
      </c>
      <c r="C44" s="75">
        <v>501285.33216974139</v>
      </c>
      <c r="D44" s="71">
        <f>IF(F44&lt;&gt;0,VLOOKUP($J44,'Table 1'!$B$13:$C$33,2,FALSE)/12*1000*Study_MW,0)</f>
        <v>0</v>
      </c>
      <c r="E44" s="71">
        <f t="shared" si="21"/>
        <v>501285.33216974139</v>
      </c>
      <c r="F44" s="75">
        <v>22811.471804060999</v>
      </c>
      <c r="G44" s="76">
        <f t="shared" si="16"/>
        <v>21.975142002038655</v>
      </c>
      <c r="I44" s="77">
        <f t="shared" si="22"/>
        <v>34</v>
      </c>
      <c r="J44" s="73">
        <f t="shared" si="4"/>
        <v>2023</v>
      </c>
      <c r="K44" s="78">
        <f t="shared" si="23"/>
        <v>45139</v>
      </c>
    </row>
    <row r="45" spans="2:20" outlineLevel="1">
      <c r="B45" s="78">
        <f t="shared" si="3"/>
        <v>45170</v>
      </c>
      <c r="C45" s="75">
        <v>370691.12998177111</v>
      </c>
      <c r="D45" s="71">
        <f>IF(F45&lt;&gt;0,VLOOKUP($J45,'Table 1'!$B$13:$C$33,2,FALSE)/12*1000*Study_MW,0)</f>
        <v>0</v>
      </c>
      <c r="E45" s="71">
        <f t="shared" si="21"/>
        <v>370691.12998177111</v>
      </c>
      <c r="F45" s="75">
        <v>21765.876148079999</v>
      </c>
      <c r="G45" s="76">
        <f t="shared" si="16"/>
        <v>17.030838890189603</v>
      </c>
      <c r="I45" s="77">
        <f t="shared" si="22"/>
        <v>35</v>
      </c>
      <c r="J45" s="73">
        <f t="shared" si="4"/>
        <v>2023</v>
      </c>
      <c r="K45" s="78">
        <f t="shared" si="23"/>
        <v>45170</v>
      </c>
    </row>
    <row r="46" spans="2:20" outlineLevel="1">
      <c r="B46" s="78">
        <f t="shared" si="3"/>
        <v>45200</v>
      </c>
      <c r="C46" s="75">
        <v>265451.48867496848</v>
      </c>
      <c r="D46" s="71">
        <f>IF(F46&lt;&gt;0,VLOOKUP($J46,'Table 1'!$B$13:$C$33,2,FALSE)/12*1000*Study_MW,0)</f>
        <v>0</v>
      </c>
      <c r="E46" s="71">
        <f t="shared" si="21"/>
        <v>265451.48867496848</v>
      </c>
      <c r="F46" s="75">
        <v>18186.338355249001</v>
      </c>
      <c r="G46" s="76">
        <f t="shared" si="16"/>
        <v>14.596203121798457</v>
      </c>
      <c r="I46" s="77">
        <f t="shared" si="22"/>
        <v>36</v>
      </c>
      <c r="J46" s="73">
        <f t="shared" si="4"/>
        <v>2023</v>
      </c>
      <c r="K46" s="78">
        <f t="shared" si="23"/>
        <v>45200</v>
      </c>
    </row>
    <row r="47" spans="2:20" outlineLevel="1">
      <c r="B47" s="78">
        <f t="shared" si="3"/>
        <v>45231</v>
      </c>
      <c r="C47" s="75">
        <v>199553.12097653747</v>
      </c>
      <c r="D47" s="71">
        <f>IF(F47&lt;&gt;0,VLOOKUP($J47,'Table 1'!$B$13:$C$33,2,FALSE)/12*1000*Study_MW,0)</f>
        <v>0</v>
      </c>
      <c r="E47" s="71">
        <f t="shared" si="21"/>
        <v>199553.12097653747</v>
      </c>
      <c r="F47" s="75">
        <v>12853.1028738</v>
      </c>
      <c r="G47" s="76">
        <f t="shared" si="16"/>
        <v>15.525676790723445</v>
      </c>
      <c r="I47" s="77">
        <f t="shared" si="22"/>
        <v>37</v>
      </c>
      <c r="J47" s="73">
        <f t="shared" si="4"/>
        <v>2023</v>
      </c>
      <c r="K47" s="78">
        <f t="shared" si="23"/>
        <v>45231</v>
      </c>
    </row>
    <row r="48" spans="2:20" outlineLevel="1">
      <c r="B48" s="82">
        <f t="shared" si="3"/>
        <v>45261</v>
      </c>
      <c r="C48" s="79">
        <v>173160.31243516505</v>
      </c>
      <c r="D48" s="80">
        <f>IF(F48&lt;&gt;0,VLOOKUP($J48,'Table 1'!$B$13:$C$33,2,FALSE)/12*1000*Study_MW,0)</f>
        <v>0</v>
      </c>
      <c r="E48" s="80">
        <f t="shared" si="21"/>
        <v>173160.31243516505</v>
      </c>
      <c r="F48" s="79">
        <v>9186.4283848100004</v>
      </c>
      <c r="G48" s="81">
        <f t="shared" si="16"/>
        <v>18.849579529895443</v>
      </c>
      <c r="I48" s="64">
        <f t="shared" si="22"/>
        <v>38</v>
      </c>
      <c r="J48" s="73">
        <f t="shared" si="4"/>
        <v>2023</v>
      </c>
      <c r="K48" s="82">
        <f t="shared" si="23"/>
        <v>45261</v>
      </c>
    </row>
    <row r="49" spans="2:11" outlineLevel="1">
      <c r="B49" s="74">
        <f t="shared" si="3"/>
        <v>45292</v>
      </c>
      <c r="C49" s="69">
        <v>55793.655816704035</v>
      </c>
      <c r="D49" s="70">
        <f>IF(F49&lt;&gt;0,VLOOKUP($J49,'Table 1'!$B$13:$C$33,2,FALSE)/12*1000*Study_MW,0)</f>
        <v>218640.95467828648</v>
      </c>
      <c r="E49" s="70">
        <f t="shared" si="21"/>
        <v>274434.61049499048</v>
      </c>
      <c r="F49" s="69">
        <v>12268.187594479999</v>
      </c>
      <c r="G49" s="72">
        <f t="shared" si="16"/>
        <v>22.369613146319246</v>
      </c>
      <c r="I49" s="60">
        <f>I37+13</f>
        <v>40</v>
      </c>
      <c r="J49" s="73">
        <f t="shared" si="4"/>
        <v>2024</v>
      </c>
      <c r="K49" s="74">
        <f t="shared" si="23"/>
        <v>45292</v>
      </c>
    </row>
    <row r="50" spans="2:11" outlineLevel="1">
      <c r="B50" s="78">
        <f t="shared" si="3"/>
        <v>45323</v>
      </c>
      <c r="C50" s="75">
        <v>31050.155397132039</v>
      </c>
      <c r="D50" s="71">
        <f>IF(F50&lt;&gt;0,VLOOKUP($J50,'Table 1'!$B$13:$C$33,2,FALSE)/12*1000*Study_MW,0)</f>
        <v>218640.95467828648</v>
      </c>
      <c r="E50" s="71">
        <f t="shared" si="21"/>
        <v>249691.11007541852</v>
      </c>
      <c r="F50" s="75">
        <v>12564.362378940001</v>
      </c>
      <c r="G50" s="76">
        <f t="shared" si="16"/>
        <v>19.872963111438356</v>
      </c>
      <c r="I50" s="77">
        <f t="shared" si="22"/>
        <v>41</v>
      </c>
      <c r="J50" s="73">
        <f t="shared" si="4"/>
        <v>2024</v>
      </c>
      <c r="K50" s="78">
        <f t="shared" si="23"/>
        <v>45323</v>
      </c>
    </row>
    <row r="51" spans="2:11" outlineLevel="1">
      <c r="B51" s="78">
        <f t="shared" si="3"/>
        <v>45352</v>
      </c>
      <c r="C51" s="75">
        <v>2732.7164036929607</v>
      </c>
      <c r="D51" s="71">
        <f>IF(F51&lt;&gt;0,VLOOKUP($J51,'Table 1'!$B$13:$C$33,2,FALSE)/12*1000*Study_MW,0)</f>
        <v>218640.95467828648</v>
      </c>
      <c r="E51" s="71">
        <f t="shared" si="21"/>
        <v>221373.67108197944</v>
      </c>
      <c r="F51" s="75">
        <v>16681.44841451</v>
      </c>
      <c r="G51" s="76">
        <f t="shared" si="16"/>
        <v>13.270650460389417</v>
      </c>
      <c r="I51" s="77">
        <f t="shared" si="22"/>
        <v>42</v>
      </c>
      <c r="J51" s="73">
        <f t="shared" si="4"/>
        <v>2024</v>
      </c>
      <c r="K51" s="78">
        <f t="shared" si="23"/>
        <v>45352</v>
      </c>
    </row>
    <row r="52" spans="2:11" outlineLevel="1">
      <c r="B52" s="78">
        <f t="shared" si="3"/>
        <v>45383</v>
      </c>
      <c r="C52" s="75">
        <v>-21131.681253388524</v>
      </c>
      <c r="D52" s="71">
        <f>IF(F52&lt;&gt;0,VLOOKUP($J52,'Table 1'!$B$13:$C$33,2,FALSE)/12*1000*Study_MW,0)</f>
        <v>218640.95467828648</v>
      </c>
      <c r="E52" s="71">
        <f t="shared" si="21"/>
        <v>197509.27342489795</v>
      </c>
      <c r="F52" s="75">
        <v>19773.834961835</v>
      </c>
      <c r="G52" s="76">
        <f t="shared" si="16"/>
        <v>9.9884151863361765</v>
      </c>
      <c r="I52" s="77">
        <f t="shared" si="22"/>
        <v>43</v>
      </c>
      <c r="J52" s="73">
        <f t="shared" si="4"/>
        <v>2024</v>
      </c>
      <c r="K52" s="78">
        <f t="shared" si="23"/>
        <v>45383</v>
      </c>
    </row>
    <row r="53" spans="2:11" outlineLevel="1">
      <c r="B53" s="78">
        <f t="shared" si="3"/>
        <v>45413</v>
      </c>
      <c r="C53" s="75">
        <v>92124.995953142643</v>
      </c>
      <c r="D53" s="71">
        <f>IF(F53&lt;&gt;0,VLOOKUP($J53,'Table 1'!$B$13:$C$33,2,FALSE)/12*1000*Study_MW,0)</f>
        <v>218640.95467828648</v>
      </c>
      <c r="E53" s="71">
        <f t="shared" si="21"/>
        <v>310765.95063142909</v>
      </c>
      <c r="F53" s="75">
        <v>27059.961754169999</v>
      </c>
      <c r="G53" s="76">
        <f t="shared" si="16"/>
        <v>11.484345523272566</v>
      </c>
      <c r="I53" s="77">
        <f t="shared" si="22"/>
        <v>44</v>
      </c>
      <c r="J53" s="73">
        <f t="shared" si="4"/>
        <v>2024</v>
      </c>
      <c r="K53" s="78">
        <f t="shared" si="23"/>
        <v>45413</v>
      </c>
    </row>
    <row r="54" spans="2:11" outlineLevel="1">
      <c r="B54" s="78">
        <f t="shared" si="3"/>
        <v>45444</v>
      </c>
      <c r="C54" s="75">
        <v>98104.146260842681</v>
      </c>
      <c r="D54" s="71">
        <f>IF(F54&lt;&gt;0,VLOOKUP($J54,'Table 1'!$B$13:$C$33,2,FALSE)/12*1000*Study_MW,0)</f>
        <v>218640.95467828648</v>
      </c>
      <c r="E54" s="71">
        <f t="shared" si="21"/>
        <v>316745.10093912913</v>
      </c>
      <c r="F54" s="75">
        <v>24791.766135156999</v>
      </c>
      <c r="G54" s="76">
        <f t="shared" si="16"/>
        <v>12.776221718627601</v>
      </c>
      <c r="I54" s="77">
        <f t="shared" si="22"/>
        <v>45</v>
      </c>
      <c r="J54" s="73">
        <f t="shared" si="4"/>
        <v>2024</v>
      </c>
      <c r="K54" s="78">
        <f t="shared" si="23"/>
        <v>45444</v>
      </c>
    </row>
    <row r="55" spans="2:11" outlineLevel="1">
      <c r="B55" s="78">
        <f t="shared" si="3"/>
        <v>45474</v>
      </c>
      <c r="C55" s="75">
        <v>248470.93412435055</v>
      </c>
      <c r="D55" s="71">
        <f>IF(F55&lt;&gt;0,VLOOKUP($J55,'Table 1'!$B$13:$C$33,2,FALSE)/12*1000*Study_MW,0)</f>
        <v>218640.95467828648</v>
      </c>
      <c r="E55" s="71">
        <f t="shared" si="21"/>
        <v>467111.888802637</v>
      </c>
      <c r="F55" s="75">
        <v>25288.06627209</v>
      </c>
      <c r="G55" s="76">
        <f t="shared" si="16"/>
        <v>18.471633369538434</v>
      </c>
      <c r="I55" s="77">
        <f t="shared" si="22"/>
        <v>46</v>
      </c>
      <c r="J55" s="73">
        <f t="shared" si="4"/>
        <v>2024</v>
      </c>
      <c r="K55" s="78">
        <f t="shared" si="23"/>
        <v>45474</v>
      </c>
    </row>
    <row r="56" spans="2:11" outlineLevel="1">
      <c r="B56" s="78">
        <f t="shared" si="3"/>
        <v>45505</v>
      </c>
      <c r="C56" s="75">
        <v>198241.38123266399</v>
      </c>
      <c r="D56" s="71">
        <f>IF(F56&lt;&gt;0,VLOOKUP($J56,'Table 1'!$B$13:$C$33,2,FALSE)/12*1000*Study_MW,0)</f>
        <v>218640.95467828648</v>
      </c>
      <c r="E56" s="71">
        <f t="shared" si="21"/>
        <v>416882.33591095044</v>
      </c>
      <c r="F56" s="75">
        <v>22697.414629226001</v>
      </c>
      <c r="G56" s="76">
        <f t="shared" si="16"/>
        <v>18.366952479872218</v>
      </c>
      <c r="I56" s="77">
        <f t="shared" si="22"/>
        <v>47</v>
      </c>
      <c r="J56" s="73">
        <f t="shared" si="4"/>
        <v>2024</v>
      </c>
      <c r="K56" s="78">
        <f t="shared" si="23"/>
        <v>45505</v>
      </c>
    </row>
    <row r="57" spans="2:11" outlineLevel="1">
      <c r="B57" s="78">
        <f t="shared" si="3"/>
        <v>45536</v>
      </c>
      <c r="C57" s="75">
        <v>83330.499805539846</v>
      </c>
      <c r="D57" s="71">
        <f>IF(F57&lt;&gt;0,VLOOKUP($J57,'Table 1'!$B$13:$C$33,2,FALSE)/12*1000*Study_MW,0)</f>
        <v>218640.95467828648</v>
      </c>
      <c r="E57" s="71">
        <f t="shared" si="21"/>
        <v>301971.4544838263</v>
      </c>
      <c r="F57" s="75">
        <v>21657.046770519999</v>
      </c>
      <c r="G57" s="76">
        <f t="shared" si="16"/>
        <v>13.943334826929211</v>
      </c>
      <c r="I57" s="77">
        <f t="shared" si="22"/>
        <v>48</v>
      </c>
      <c r="J57" s="73">
        <f t="shared" si="4"/>
        <v>2024</v>
      </c>
      <c r="K57" s="78">
        <f t="shared" si="23"/>
        <v>45536</v>
      </c>
    </row>
    <row r="58" spans="2:11" outlineLevel="1">
      <c r="B58" s="78">
        <f t="shared" si="3"/>
        <v>45566</v>
      </c>
      <c r="C58" s="75">
        <v>11798.703621074557</v>
      </c>
      <c r="D58" s="71">
        <f>IF(F58&lt;&gt;0,VLOOKUP($J58,'Table 1'!$B$13:$C$33,2,FALSE)/12*1000*Study_MW,0)</f>
        <v>218640.95467828648</v>
      </c>
      <c r="E58" s="71">
        <f t="shared" si="21"/>
        <v>230439.65829936104</v>
      </c>
      <c r="F58" s="75">
        <v>18095.406816196999</v>
      </c>
      <c r="G58" s="76">
        <f t="shared" si="16"/>
        <v>12.734704482747359</v>
      </c>
      <c r="I58" s="77">
        <f t="shared" si="22"/>
        <v>49</v>
      </c>
      <c r="J58" s="73">
        <f t="shared" si="4"/>
        <v>2024</v>
      </c>
      <c r="K58" s="78">
        <f t="shared" si="23"/>
        <v>45566</v>
      </c>
    </row>
    <row r="59" spans="2:11" outlineLevel="1">
      <c r="B59" s="78">
        <f t="shared" si="3"/>
        <v>45597</v>
      </c>
      <c r="C59" s="75">
        <v>27860.356468066573</v>
      </c>
      <c r="D59" s="71">
        <f>IF(F59&lt;&gt;0,VLOOKUP($J59,'Table 1'!$B$13:$C$33,2,FALSE)/12*1000*Study_MW,0)</f>
        <v>218640.95467828648</v>
      </c>
      <c r="E59" s="71">
        <f t="shared" si="21"/>
        <v>246501.31114635305</v>
      </c>
      <c r="F59" s="75">
        <v>12788.8374518</v>
      </c>
      <c r="G59" s="76">
        <f t="shared" si="16"/>
        <v>19.274723920402831</v>
      </c>
      <c r="I59" s="77">
        <f t="shared" si="22"/>
        <v>50</v>
      </c>
      <c r="J59" s="73">
        <f t="shared" si="4"/>
        <v>2024</v>
      </c>
      <c r="K59" s="78">
        <f t="shared" si="23"/>
        <v>45597</v>
      </c>
    </row>
    <row r="60" spans="2:11" outlineLevel="1">
      <c r="B60" s="82">
        <f t="shared" si="3"/>
        <v>45627</v>
      </c>
      <c r="C60" s="79">
        <v>61800.071743801236</v>
      </c>
      <c r="D60" s="80">
        <f>IF(F60&lt;&gt;0,VLOOKUP($J60,'Table 1'!$B$13:$C$33,2,FALSE)/12*1000*Study_MW,0)</f>
        <v>218640.95467828648</v>
      </c>
      <c r="E60" s="80">
        <f t="shared" si="21"/>
        <v>280441.02642208769</v>
      </c>
      <c r="F60" s="79">
        <v>9140.4962762399991</v>
      </c>
      <c r="G60" s="81">
        <f t="shared" si="16"/>
        <v>30.681159747427728</v>
      </c>
      <c r="I60" s="64">
        <f t="shared" si="22"/>
        <v>51</v>
      </c>
      <c r="J60" s="73">
        <f t="shared" si="4"/>
        <v>2024</v>
      </c>
      <c r="K60" s="82">
        <f t="shared" si="23"/>
        <v>45627</v>
      </c>
    </row>
    <row r="61" spans="2:11" hidden="1" outlineLevel="1">
      <c r="B61" s="74">
        <f t="shared" si="3"/>
        <v>45658</v>
      </c>
      <c r="C61" s="69">
        <v>65103.503830954432</v>
      </c>
      <c r="D61" s="70">
        <f>IF(F61&lt;&gt;0,VLOOKUP($J61,'Table 1'!$B$13:$C$33,2,FALSE)/12*1000*Study_MW,0)</f>
        <v>223244.50514360503</v>
      </c>
      <c r="E61" s="70">
        <f t="shared" si="21"/>
        <v>288348.00897455949</v>
      </c>
      <c r="F61" s="69">
        <v>12206.846692589999</v>
      </c>
      <c r="G61" s="72">
        <f t="shared" si="16"/>
        <v>23.621826032237895</v>
      </c>
      <c r="I61" s="60">
        <f>I49+13</f>
        <v>53</v>
      </c>
      <c r="J61" s="73">
        <f t="shared" si="4"/>
        <v>2025</v>
      </c>
      <c r="K61" s="74">
        <f t="shared" si="23"/>
        <v>45658</v>
      </c>
    </row>
    <row r="62" spans="2:11" hidden="1" outlineLevel="1">
      <c r="B62" s="78">
        <f t="shared" si="3"/>
        <v>45689</v>
      </c>
      <c r="C62" s="75">
        <v>57933.600664272904</v>
      </c>
      <c r="D62" s="71">
        <f>IF(F62&lt;&gt;0,VLOOKUP($J62,'Table 1'!$B$13:$C$33,2,FALSE)/12*1000*Study_MW,0)</f>
        <v>223244.50514360503</v>
      </c>
      <c r="E62" s="71">
        <f t="shared" si="21"/>
        <v>281178.10580787796</v>
      </c>
      <c r="F62" s="75">
        <v>11906.064928199999</v>
      </c>
      <c r="G62" s="76">
        <f t="shared" si="16"/>
        <v>23.616375981781871</v>
      </c>
      <c r="I62" s="77">
        <f t="shared" si="22"/>
        <v>54</v>
      </c>
      <c r="J62" s="73">
        <f t="shared" si="4"/>
        <v>2025</v>
      </c>
      <c r="K62" s="78">
        <f t="shared" si="23"/>
        <v>45689</v>
      </c>
    </row>
    <row r="63" spans="2:11" hidden="1" outlineLevel="1">
      <c r="B63" s="78">
        <f t="shared" si="3"/>
        <v>45717</v>
      </c>
      <c r="C63" s="75">
        <v>41977.592598363757</v>
      </c>
      <c r="D63" s="71">
        <f>IF(F63&lt;&gt;0,VLOOKUP($J63,'Table 1'!$B$13:$C$33,2,FALSE)/12*1000*Study_MW,0)</f>
        <v>223244.50514360503</v>
      </c>
      <c r="E63" s="71">
        <f t="shared" si="21"/>
        <v>265222.09774196881</v>
      </c>
      <c r="F63" s="75">
        <v>16598.041413660001</v>
      </c>
      <c r="G63" s="76">
        <f t="shared" si="16"/>
        <v>15.979120134240297</v>
      </c>
      <c r="I63" s="77">
        <f t="shared" si="22"/>
        <v>55</v>
      </c>
      <c r="J63" s="73">
        <f t="shared" si="4"/>
        <v>2025</v>
      </c>
      <c r="K63" s="78">
        <f t="shared" si="23"/>
        <v>45717</v>
      </c>
    </row>
    <row r="64" spans="2:11" hidden="1" outlineLevel="1">
      <c r="B64" s="78">
        <f t="shared" si="3"/>
        <v>45748</v>
      </c>
      <c r="C64" s="75">
        <v>18916.364088475704</v>
      </c>
      <c r="D64" s="71">
        <f>IF(F64&lt;&gt;0,VLOOKUP($J64,'Table 1'!$B$13:$C$33,2,FALSE)/12*1000*Study_MW,0)</f>
        <v>223244.50514360503</v>
      </c>
      <c r="E64" s="71">
        <f t="shared" si="21"/>
        <v>242160.86923208073</v>
      </c>
      <c r="F64" s="75">
        <v>19674.965664561001</v>
      </c>
      <c r="G64" s="76">
        <f t="shared" si="16"/>
        <v>12.308070741300781</v>
      </c>
      <c r="I64" s="77">
        <f t="shared" si="22"/>
        <v>56</v>
      </c>
      <c r="J64" s="73">
        <f t="shared" si="4"/>
        <v>2025</v>
      </c>
      <c r="K64" s="78">
        <f t="shared" si="23"/>
        <v>45748</v>
      </c>
    </row>
    <row r="65" spans="2:11" hidden="1" outlineLevel="1">
      <c r="B65" s="78">
        <f t="shared" si="3"/>
        <v>45778</v>
      </c>
      <c r="C65" s="75">
        <v>103457.15719005466</v>
      </c>
      <c r="D65" s="71">
        <f>IF(F65&lt;&gt;0,VLOOKUP($J65,'Table 1'!$B$13:$C$33,2,FALSE)/12*1000*Study_MW,0)</f>
        <v>223244.50514360503</v>
      </c>
      <c r="E65" s="71">
        <f t="shared" si="21"/>
        <v>326701.66233365971</v>
      </c>
      <c r="F65" s="75">
        <v>26924.66196682</v>
      </c>
      <c r="G65" s="76">
        <f t="shared" si="16"/>
        <v>12.133918811543971</v>
      </c>
      <c r="I65" s="77">
        <f t="shared" si="22"/>
        <v>57</v>
      </c>
      <c r="J65" s="73">
        <f t="shared" si="4"/>
        <v>2025</v>
      </c>
      <c r="K65" s="78">
        <f t="shared" si="23"/>
        <v>45778</v>
      </c>
    </row>
    <row r="66" spans="2:11" hidden="1" outlineLevel="1">
      <c r="B66" s="78">
        <f t="shared" si="3"/>
        <v>45809</v>
      </c>
      <c r="C66" s="75">
        <v>138247.52779123187</v>
      </c>
      <c r="D66" s="71">
        <f>IF(F66&lt;&gt;0,VLOOKUP($J66,'Table 1'!$B$13:$C$33,2,FALSE)/12*1000*Study_MW,0)</f>
        <v>223244.50514360503</v>
      </c>
      <c r="E66" s="71">
        <f t="shared" si="21"/>
        <v>361492.03293483693</v>
      </c>
      <c r="F66" s="75">
        <v>24667.807382125</v>
      </c>
      <c r="G66" s="76">
        <f t="shared" si="16"/>
        <v>14.65440472008811</v>
      </c>
      <c r="I66" s="77">
        <f t="shared" si="22"/>
        <v>58</v>
      </c>
      <c r="J66" s="73">
        <f t="shared" si="4"/>
        <v>2025</v>
      </c>
      <c r="K66" s="78">
        <f t="shared" si="23"/>
        <v>45809</v>
      </c>
    </row>
    <row r="67" spans="2:11" hidden="1" outlineLevel="1">
      <c r="B67" s="78">
        <f t="shared" si="3"/>
        <v>45839</v>
      </c>
      <c r="C67" s="75">
        <v>263722.46027037501</v>
      </c>
      <c r="D67" s="71">
        <f>IF(F67&lt;&gt;0,VLOOKUP($J67,'Table 1'!$B$13:$C$33,2,FALSE)/12*1000*Study_MW,0)</f>
        <v>223244.50514360503</v>
      </c>
      <c r="E67" s="71">
        <f t="shared" si="21"/>
        <v>486966.96541398007</v>
      </c>
      <c r="F67" s="75">
        <v>25161.62593735</v>
      </c>
      <c r="G67" s="76">
        <f t="shared" si="16"/>
        <v>19.353557143981092</v>
      </c>
      <c r="I67" s="77">
        <f t="shared" si="22"/>
        <v>59</v>
      </c>
      <c r="J67" s="73">
        <f t="shared" si="4"/>
        <v>2025</v>
      </c>
      <c r="K67" s="78">
        <f t="shared" si="23"/>
        <v>45839</v>
      </c>
    </row>
    <row r="68" spans="2:11" hidden="1" outlineLevel="1">
      <c r="B68" s="78">
        <f t="shared" si="3"/>
        <v>45870</v>
      </c>
      <c r="C68" s="75">
        <v>228046.17206026614</v>
      </c>
      <c r="D68" s="71">
        <f>IF(F68&lt;&gt;0,VLOOKUP($J68,'Table 1'!$B$13:$C$33,2,FALSE)/12*1000*Study_MW,0)</f>
        <v>223244.50514360503</v>
      </c>
      <c r="E68" s="71">
        <f t="shared" si="21"/>
        <v>451290.67720387119</v>
      </c>
      <c r="F68" s="75">
        <v>22583.927771565999</v>
      </c>
      <c r="G68" s="76">
        <f t="shared" si="16"/>
        <v>19.982825032413665</v>
      </c>
      <c r="I68" s="77">
        <f t="shared" si="22"/>
        <v>60</v>
      </c>
      <c r="J68" s="73">
        <f t="shared" si="4"/>
        <v>2025</v>
      </c>
      <c r="K68" s="78">
        <f t="shared" si="23"/>
        <v>45870</v>
      </c>
    </row>
    <row r="69" spans="2:11" hidden="1" outlineLevel="1">
      <c r="B69" s="78">
        <f t="shared" si="3"/>
        <v>45901</v>
      </c>
      <c r="C69" s="75">
        <v>108537.39314191043</v>
      </c>
      <c r="D69" s="71">
        <f>IF(F69&lt;&gt;0,VLOOKUP($J69,'Table 1'!$B$13:$C$33,2,FALSE)/12*1000*Study_MW,0)</f>
        <v>223244.50514360503</v>
      </c>
      <c r="E69" s="71">
        <f t="shared" si="21"/>
        <v>331781.89828551549</v>
      </c>
      <c r="F69" s="75">
        <v>21548.76155585</v>
      </c>
      <c r="G69" s="76">
        <f t="shared" si="16"/>
        <v>15.396796582745807</v>
      </c>
      <c r="I69" s="77">
        <f t="shared" si="22"/>
        <v>61</v>
      </c>
      <c r="J69" s="73">
        <f t="shared" si="4"/>
        <v>2025</v>
      </c>
      <c r="K69" s="78">
        <f t="shared" si="23"/>
        <v>45901</v>
      </c>
    </row>
    <row r="70" spans="2:11" hidden="1" outlineLevel="1">
      <c r="B70" s="78">
        <f t="shared" si="3"/>
        <v>45931</v>
      </c>
      <c r="C70" s="75">
        <v>30158.91946606338</v>
      </c>
      <c r="D70" s="71">
        <f>IF(F70&lt;&gt;0,VLOOKUP($J70,'Table 1'!$B$13:$C$33,2,FALSE)/12*1000*Study_MW,0)</f>
        <v>223244.50514360503</v>
      </c>
      <c r="E70" s="71">
        <f t="shared" si="21"/>
        <v>253403.42460966841</v>
      </c>
      <c r="F70" s="75">
        <v>18004.929516371001</v>
      </c>
      <c r="G70" s="76">
        <f t="shared" si="16"/>
        <v>14.074113668662855</v>
      </c>
      <c r="I70" s="77">
        <f t="shared" si="22"/>
        <v>62</v>
      </c>
      <c r="J70" s="73">
        <f t="shared" si="4"/>
        <v>2025</v>
      </c>
      <c r="K70" s="78">
        <f t="shared" si="23"/>
        <v>45931</v>
      </c>
    </row>
    <row r="71" spans="2:11" hidden="1" outlineLevel="1">
      <c r="B71" s="78">
        <f t="shared" si="3"/>
        <v>45962</v>
      </c>
      <c r="C71" s="75">
        <v>46398.186634346843</v>
      </c>
      <c r="D71" s="71">
        <f>IF(F71&lt;&gt;0,VLOOKUP($J71,'Table 1'!$B$13:$C$33,2,FALSE)/12*1000*Study_MW,0)</f>
        <v>223244.50514360503</v>
      </c>
      <c r="E71" s="71">
        <f t="shared" si="21"/>
        <v>269642.6917779519</v>
      </c>
      <c r="F71" s="75">
        <v>12724.893231</v>
      </c>
      <c r="G71" s="76">
        <f t="shared" si="16"/>
        <v>21.190173220554538</v>
      </c>
      <c r="I71" s="77">
        <f t="shared" si="22"/>
        <v>63</v>
      </c>
      <c r="J71" s="73">
        <f t="shared" si="4"/>
        <v>2025</v>
      </c>
      <c r="K71" s="78">
        <f t="shared" si="23"/>
        <v>45962</v>
      </c>
    </row>
    <row r="72" spans="2:11" hidden="1" outlineLevel="1">
      <c r="B72" s="82">
        <f t="shared" si="3"/>
        <v>45992</v>
      </c>
      <c r="C72" s="79">
        <v>71541.023079559207</v>
      </c>
      <c r="D72" s="80">
        <f>IF(F72&lt;&gt;0,VLOOKUP($J72,'Table 1'!$B$13:$C$33,2,FALSE)/12*1000*Study_MW,0)</f>
        <v>223244.50514360503</v>
      </c>
      <c r="E72" s="80">
        <f t="shared" si="21"/>
        <v>294785.52822316426</v>
      </c>
      <c r="F72" s="79">
        <v>9094.7938034300005</v>
      </c>
      <c r="G72" s="81">
        <f t="shared" si="16"/>
        <v>32.412557623020454</v>
      </c>
      <c r="I72" s="64">
        <f t="shared" si="22"/>
        <v>64</v>
      </c>
      <c r="J72" s="73">
        <f t="shared" si="4"/>
        <v>2025</v>
      </c>
      <c r="K72" s="82">
        <f t="shared" si="23"/>
        <v>45992</v>
      </c>
    </row>
    <row r="73" spans="2:11" hidden="1" outlineLevel="1">
      <c r="B73" s="74">
        <f t="shared" si="3"/>
        <v>46023</v>
      </c>
      <c r="C73" s="69">
        <v>54695.545739501715</v>
      </c>
      <c r="D73" s="70">
        <f>IF(F73&lt;&gt;0,VLOOKUP($J73,'Table 1'!$B$13:$C$33,2,FALSE)/12*1000*Study_MW,0)</f>
        <v>228144.41130575052</v>
      </c>
      <c r="E73" s="70">
        <f t="shared" si="21"/>
        <v>282839.9570452522</v>
      </c>
      <c r="F73" s="69">
        <v>12145.812450629999</v>
      </c>
      <c r="G73" s="72">
        <f t="shared" si="16"/>
        <v>23.287034786263426</v>
      </c>
      <c r="I73" s="60">
        <f>I61+13</f>
        <v>66</v>
      </c>
      <c r="J73" s="73">
        <f t="shared" si="4"/>
        <v>2026</v>
      </c>
      <c r="K73" s="74">
        <f t="shared" si="23"/>
        <v>46023</v>
      </c>
    </row>
    <row r="74" spans="2:11" hidden="1" outlineLevel="1">
      <c r="B74" s="78">
        <f t="shared" si="3"/>
        <v>46054</v>
      </c>
      <c r="C74" s="75">
        <v>50455.652385413647</v>
      </c>
      <c r="D74" s="71">
        <f>IF(F74&lt;&gt;0,VLOOKUP($J74,'Table 1'!$B$13:$C$33,2,FALSE)/12*1000*Study_MW,0)</f>
        <v>228144.41130575052</v>
      </c>
      <c r="E74" s="71">
        <f t="shared" si="21"/>
        <v>278600.06369116413</v>
      </c>
      <c r="F74" s="75">
        <v>11846.5346059</v>
      </c>
      <c r="G74" s="76">
        <f t="shared" si="16"/>
        <v>23.517431296103357</v>
      </c>
      <c r="I74" s="77">
        <f t="shared" si="22"/>
        <v>67</v>
      </c>
      <c r="J74" s="73">
        <f t="shared" si="4"/>
        <v>2026</v>
      </c>
      <c r="K74" s="78">
        <f t="shared" si="23"/>
        <v>46054</v>
      </c>
    </row>
    <row r="75" spans="2:11" hidden="1" outlineLevel="1">
      <c r="B75" s="78">
        <f t="shared" si="3"/>
        <v>46082</v>
      </c>
      <c r="C75" s="75">
        <v>48737.929195135832</v>
      </c>
      <c r="D75" s="71">
        <f>IF(F75&lt;&gt;0,VLOOKUP($J75,'Table 1'!$B$13:$C$33,2,FALSE)/12*1000*Study_MW,0)</f>
        <v>228144.41130575052</v>
      </c>
      <c r="E75" s="71">
        <f t="shared" si="21"/>
        <v>276882.34050088632</v>
      </c>
      <c r="F75" s="75">
        <v>16515.05102291</v>
      </c>
      <c r="G75" s="76">
        <f t="shared" si="16"/>
        <v>16.765454742876045</v>
      </c>
      <c r="I75" s="77">
        <f t="shared" si="22"/>
        <v>68</v>
      </c>
      <c r="J75" s="73">
        <f t="shared" si="4"/>
        <v>2026</v>
      </c>
      <c r="K75" s="78">
        <f t="shared" si="23"/>
        <v>46082</v>
      </c>
    </row>
    <row r="76" spans="2:11" hidden="1" outlineLevel="1">
      <c r="B76" s="78">
        <f t="shared" si="3"/>
        <v>46113</v>
      </c>
      <c r="C76" s="75">
        <v>-16214.015377923846</v>
      </c>
      <c r="D76" s="71">
        <f>IF(F76&lt;&gt;0,VLOOKUP($J76,'Table 1'!$B$13:$C$33,2,FALSE)/12*1000*Study_MW,0)</f>
        <v>228144.41130575052</v>
      </c>
      <c r="E76" s="71">
        <f t="shared" si="21"/>
        <v>211930.39592782667</v>
      </c>
      <c r="F76" s="75">
        <v>19576.590852276</v>
      </c>
      <c r="G76" s="76">
        <f t="shared" si="16"/>
        <v>10.825704921099037</v>
      </c>
      <c r="I76" s="77">
        <f t="shared" si="22"/>
        <v>69</v>
      </c>
      <c r="J76" s="73">
        <f t="shared" si="4"/>
        <v>2026</v>
      </c>
      <c r="K76" s="78">
        <f t="shared" si="23"/>
        <v>46113</v>
      </c>
    </row>
    <row r="77" spans="2:11" hidden="1" outlineLevel="1">
      <c r="B77" s="78">
        <f t="shared" si="3"/>
        <v>46143</v>
      </c>
      <c r="C77" s="75">
        <v>107735.00013439357</v>
      </c>
      <c r="D77" s="71">
        <f>IF(F77&lt;&gt;0,VLOOKUP($J77,'Table 1'!$B$13:$C$33,2,FALSE)/12*1000*Study_MW,0)</f>
        <v>228144.41130575052</v>
      </c>
      <c r="E77" s="71">
        <f t="shared" si="21"/>
        <v>335879.41144014406</v>
      </c>
      <c r="F77" s="75">
        <v>26790.038652030002</v>
      </c>
      <c r="G77" s="76">
        <f t="shared" si="16"/>
        <v>12.537473939579142</v>
      </c>
      <c r="I77" s="77">
        <f t="shared" si="22"/>
        <v>70</v>
      </c>
      <c r="J77" s="73">
        <f t="shared" si="4"/>
        <v>2026</v>
      </c>
      <c r="K77" s="78">
        <f t="shared" si="23"/>
        <v>46143</v>
      </c>
    </row>
    <row r="78" spans="2:11" hidden="1" outlineLevel="1">
      <c r="B78" s="78">
        <f t="shared" ref="B78:B141" si="40">EDATE(B77,1)</f>
        <v>46174</v>
      </c>
      <c r="C78" s="75">
        <v>149973.3477024287</v>
      </c>
      <c r="D78" s="71">
        <f>IF(F78&lt;&gt;0,VLOOKUP($J78,'Table 1'!$B$13:$C$33,2,FALSE)/12*1000*Study_MW,0)</f>
        <v>228144.41130575052</v>
      </c>
      <c r="E78" s="71">
        <f t="shared" ref="E78:E141" si="41">C78+D78</f>
        <v>378117.75900817919</v>
      </c>
      <c r="F78" s="75">
        <v>24544.468252539999</v>
      </c>
      <c r="G78" s="76">
        <f t="shared" ref="G78:G141" si="42">IF(ISNUMBER($F78),E78/$F78,"")</f>
        <v>15.405416614354619</v>
      </c>
      <c r="I78" s="77">
        <f t="shared" si="22"/>
        <v>71</v>
      </c>
      <c r="J78" s="73">
        <f t="shared" ref="J78:J141" si="43">YEAR(B78)</f>
        <v>2026</v>
      </c>
      <c r="K78" s="78">
        <f t="shared" si="23"/>
        <v>46174</v>
      </c>
    </row>
    <row r="79" spans="2:11" hidden="1" outlineLevel="1">
      <c r="B79" s="78">
        <f t="shared" si="40"/>
        <v>46204</v>
      </c>
      <c r="C79" s="75">
        <v>251386.91366174817</v>
      </c>
      <c r="D79" s="71">
        <f>IF(F79&lt;&gt;0,VLOOKUP($J79,'Table 1'!$B$13:$C$33,2,FALSE)/12*1000*Study_MW,0)</f>
        <v>228144.41130575052</v>
      </c>
      <c r="E79" s="71">
        <f t="shared" si="41"/>
        <v>479531.32496749866</v>
      </c>
      <c r="F79" s="75">
        <v>25035.81805672</v>
      </c>
      <c r="G79" s="76">
        <f t="shared" si="42"/>
        <v>19.1538109072807</v>
      </c>
      <c r="I79" s="77">
        <f t="shared" si="22"/>
        <v>72</v>
      </c>
      <c r="J79" s="73">
        <f t="shared" si="43"/>
        <v>2026</v>
      </c>
      <c r="K79" s="78">
        <f t="shared" si="23"/>
        <v>46204</v>
      </c>
    </row>
    <row r="80" spans="2:11" hidden="1" outlineLevel="1">
      <c r="B80" s="78">
        <f t="shared" si="40"/>
        <v>46235</v>
      </c>
      <c r="C80" s="75">
        <v>219459.00507852435</v>
      </c>
      <c r="D80" s="71">
        <f>IF(F80&lt;&gt;0,VLOOKUP($J80,'Table 1'!$B$13:$C$33,2,FALSE)/12*1000*Study_MW,0)</f>
        <v>228144.41130575052</v>
      </c>
      <c r="E80" s="71">
        <f t="shared" si="41"/>
        <v>447603.41638427484</v>
      </c>
      <c r="F80" s="75">
        <v>22471.007949047002</v>
      </c>
      <c r="G80" s="76">
        <f t="shared" si="42"/>
        <v>19.919151708691277</v>
      </c>
      <c r="I80" s="77">
        <f t="shared" si="22"/>
        <v>73</v>
      </c>
      <c r="J80" s="73">
        <f t="shared" si="43"/>
        <v>2026</v>
      </c>
      <c r="K80" s="78">
        <f t="shared" si="23"/>
        <v>46235</v>
      </c>
    </row>
    <row r="81" spans="2:11" hidden="1" outlineLevel="1">
      <c r="B81" s="78">
        <f t="shared" si="40"/>
        <v>46266</v>
      </c>
      <c r="C81" s="75">
        <v>93638.587559208274</v>
      </c>
      <c r="D81" s="71">
        <f>IF(F81&lt;&gt;0,VLOOKUP($J81,'Table 1'!$B$13:$C$33,2,FALSE)/12*1000*Study_MW,0)</f>
        <v>228144.41130575052</v>
      </c>
      <c r="E81" s="71">
        <f t="shared" si="41"/>
        <v>321782.99886495876</v>
      </c>
      <c r="F81" s="75">
        <v>21441.01769787</v>
      </c>
      <c r="G81" s="76">
        <f t="shared" si="42"/>
        <v>15.007823014712843</v>
      </c>
      <c r="I81" s="77">
        <f t="shared" si="22"/>
        <v>74</v>
      </c>
      <c r="J81" s="73">
        <f t="shared" si="43"/>
        <v>2026</v>
      </c>
      <c r="K81" s="78">
        <f t="shared" si="23"/>
        <v>46266</v>
      </c>
    </row>
    <row r="82" spans="2:11" hidden="1" outlineLevel="1">
      <c r="B82" s="78">
        <f t="shared" si="40"/>
        <v>46296</v>
      </c>
      <c r="C82" s="75">
        <v>44774.698174700141</v>
      </c>
      <c r="D82" s="71">
        <f>IF(F82&lt;&gt;0,VLOOKUP($J82,'Table 1'!$B$13:$C$33,2,FALSE)/12*1000*Study_MW,0)</f>
        <v>228144.41130575052</v>
      </c>
      <c r="E82" s="71">
        <f t="shared" si="41"/>
        <v>272919.10948045063</v>
      </c>
      <c r="F82" s="75">
        <v>17914.905165322001</v>
      </c>
      <c r="G82" s="76">
        <f t="shared" si="42"/>
        <v>15.234192252870081</v>
      </c>
      <c r="I82" s="77">
        <f t="shared" si="22"/>
        <v>75</v>
      </c>
      <c r="J82" s="73">
        <f t="shared" si="43"/>
        <v>2026</v>
      </c>
      <c r="K82" s="78">
        <f t="shared" si="23"/>
        <v>46296</v>
      </c>
    </row>
    <row r="83" spans="2:11" hidden="1" outlineLevel="1">
      <c r="B83" s="78">
        <f t="shared" si="40"/>
        <v>46327</v>
      </c>
      <c r="C83" s="75">
        <v>67842.984905585647</v>
      </c>
      <c r="D83" s="71">
        <f>IF(F83&lt;&gt;0,VLOOKUP($J83,'Table 1'!$B$13:$C$33,2,FALSE)/12*1000*Study_MW,0)</f>
        <v>228144.41130575052</v>
      </c>
      <c r="E83" s="71">
        <f t="shared" si="41"/>
        <v>295987.39621133613</v>
      </c>
      <c r="F83" s="75">
        <v>12661.2687121</v>
      </c>
      <c r="G83" s="76">
        <f t="shared" si="42"/>
        <v>23.37738839145478</v>
      </c>
      <c r="I83" s="77">
        <f t="shared" si="22"/>
        <v>76</v>
      </c>
      <c r="J83" s="73">
        <f t="shared" si="43"/>
        <v>2026</v>
      </c>
      <c r="K83" s="78">
        <f t="shared" si="23"/>
        <v>46327</v>
      </c>
    </row>
    <row r="84" spans="2:11" hidden="1" outlineLevel="1">
      <c r="B84" s="82">
        <f t="shared" si="40"/>
        <v>46357</v>
      </c>
      <c r="C84" s="79">
        <v>71607.117412686348</v>
      </c>
      <c r="D84" s="80">
        <f>IF(F84&lt;&gt;0,VLOOKUP($J84,'Table 1'!$B$13:$C$33,2,FALSE)/12*1000*Study_MW,0)</f>
        <v>228144.41130575052</v>
      </c>
      <c r="E84" s="80">
        <f t="shared" si="41"/>
        <v>299751.52871843684</v>
      </c>
      <c r="F84" s="79">
        <v>9049.3198159160002</v>
      </c>
      <c r="G84" s="81">
        <f t="shared" si="42"/>
        <v>33.124205444837081</v>
      </c>
      <c r="I84" s="64">
        <f t="shared" si="22"/>
        <v>77</v>
      </c>
      <c r="J84" s="73">
        <f t="shared" si="43"/>
        <v>2026</v>
      </c>
      <c r="K84" s="82">
        <f t="shared" si="23"/>
        <v>46357</v>
      </c>
    </row>
    <row r="85" spans="2:11" hidden="1" outlineLevel="1">
      <c r="B85" s="74">
        <f t="shared" si="40"/>
        <v>46388</v>
      </c>
      <c r="C85" s="69">
        <v>55315.687452092767</v>
      </c>
      <c r="D85" s="70">
        <f>IF(F85&lt;&gt;0,VLOOKUP($J85,'Table 1'!$B$13:$C$33,2,FALSE)/12*1000*Study_MW,0)</f>
        <v>233402.84718707739</v>
      </c>
      <c r="E85" s="70">
        <f t="shared" si="41"/>
        <v>288718.53463917016</v>
      </c>
      <c r="F85" s="69">
        <v>12085.083379015001</v>
      </c>
      <c r="G85" s="72">
        <f t="shared" si="42"/>
        <v>23.890487602304177</v>
      </c>
      <c r="I85" s="60">
        <f>I73+13</f>
        <v>79</v>
      </c>
      <c r="J85" s="73">
        <f t="shared" si="43"/>
        <v>2027</v>
      </c>
      <c r="K85" s="74">
        <f t="shared" si="23"/>
        <v>46388</v>
      </c>
    </row>
    <row r="86" spans="2:11" hidden="1" outlineLevel="1">
      <c r="B86" s="78">
        <f t="shared" si="40"/>
        <v>46419</v>
      </c>
      <c r="C86" s="75">
        <v>57931.176335930824</v>
      </c>
      <c r="D86" s="71">
        <f>IF(F86&lt;&gt;0,VLOOKUP($J86,'Table 1'!$B$13:$C$33,2,FALSE)/12*1000*Study_MW,0)</f>
        <v>233402.84718707739</v>
      </c>
      <c r="E86" s="71">
        <f t="shared" si="41"/>
        <v>291334.02352300822</v>
      </c>
      <c r="F86" s="75">
        <v>11787.3019078</v>
      </c>
      <c r="G86" s="76">
        <f t="shared" si="42"/>
        <v>24.715921065042377</v>
      </c>
      <c r="I86" s="77">
        <f t="shared" si="22"/>
        <v>80</v>
      </c>
      <c r="J86" s="73">
        <f t="shared" si="43"/>
        <v>2027</v>
      </c>
      <c r="K86" s="78">
        <f t="shared" si="23"/>
        <v>46419</v>
      </c>
    </row>
    <row r="87" spans="2:11" hidden="1" outlineLevel="1">
      <c r="B87" s="78">
        <f t="shared" si="40"/>
        <v>46447</v>
      </c>
      <c r="C87" s="75">
        <v>86080.516024500132</v>
      </c>
      <c r="D87" s="71">
        <f>IF(F87&lt;&gt;0,VLOOKUP($J87,'Table 1'!$B$13:$C$33,2,FALSE)/12*1000*Study_MW,0)</f>
        <v>233402.84718707739</v>
      </c>
      <c r="E87" s="71">
        <f t="shared" si="41"/>
        <v>319483.36321157753</v>
      </c>
      <c r="F87" s="75">
        <v>16432.475882089999</v>
      </c>
      <c r="G87" s="76">
        <f t="shared" si="42"/>
        <v>19.442192734923605</v>
      </c>
      <c r="I87" s="77">
        <f t="shared" si="22"/>
        <v>81</v>
      </c>
      <c r="J87" s="73">
        <f t="shared" si="43"/>
        <v>2027</v>
      </c>
      <c r="K87" s="78">
        <f t="shared" si="23"/>
        <v>46447</v>
      </c>
    </row>
    <row r="88" spans="2:11" hidden="1" outlineLevel="1">
      <c r="B88" s="78">
        <f t="shared" si="40"/>
        <v>46478</v>
      </c>
      <c r="C88" s="75">
        <v>40550.749053299427</v>
      </c>
      <c r="D88" s="71">
        <f>IF(F88&lt;&gt;0,VLOOKUP($J88,'Table 1'!$B$13:$C$33,2,FALSE)/12*1000*Study_MW,0)</f>
        <v>233402.84718707739</v>
      </c>
      <c r="E88" s="71">
        <f t="shared" si="41"/>
        <v>273953.59624037682</v>
      </c>
      <c r="F88" s="75">
        <v>19478.707732817002</v>
      </c>
      <c r="G88" s="76">
        <f t="shared" si="42"/>
        <v>14.064259292664985</v>
      </c>
      <c r="I88" s="77">
        <f t="shared" si="22"/>
        <v>82</v>
      </c>
      <c r="J88" s="73">
        <f t="shared" si="43"/>
        <v>2027</v>
      </c>
      <c r="K88" s="78">
        <f t="shared" si="23"/>
        <v>46478</v>
      </c>
    </row>
    <row r="89" spans="2:11" hidden="1" outlineLevel="1">
      <c r="B89" s="78">
        <f t="shared" si="40"/>
        <v>46508</v>
      </c>
      <c r="C89" s="75">
        <v>133868.98344787955</v>
      </c>
      <c r="D89" s="71">
        <f>IF(F89&lt;&gt;0,VLOOKUP($J89,'Table 1'!$B$13:$C$33,2,FALSE)/12*1000*Study_MW,0)</f>
        <v>233402.84718707739</v>
      </c>
      <c r="E89" s="71">
        <f t="shared" si="41"/>
        <v>367271.83063495695</v>
      </c>
      <c r="F89" s="75">
        <v>26656.088482499999</v>
      </c>
      <c r="G89" s="76">
        <f t="shared" si="42"/>
        <v>13.778159195265079</v>
      </c>
      <c r="I89" s="77">
        <f t="shared" si="22"/>
        <v>83</v>
      </c>
      <c r="J89" s="73">
        <f t="shared" si="43"/>
        <v>2027</v>
      </c>
      <c r="K89" s="78">
        <f t="shared" si="23"/>
        <v>46508</v>
      </c>
    </row>
    <row r="90" spans="2:11" hidden="1" outlineLevel="1">
      <c r="B90" s="78">
        <f t="shared" si="40"/>
        <v>46539</v>
      </c>
      <c r="C90" s="75">
        <v>145973.36358761787</v>
      </c>
      <c r="D90" s="71">
        <f>IF(F90&lt;&gt;0,VLOOKUP($J90,'Table 1'!$B$13:$C$33,2,FALSE)/12*1000*Study_MW,0)</f>
        <v>233402.84718707739</v>
      </c>
      <c r="E90" s="71">
        <f t="shared" si="41"/>
        <v>379376.21077469527</v>
      </c>
      <c r="F90" s="75">
        <v>24421.745959800999</v>
      </c>
      <c r="G90" s="76">
        <f t="shared" si="42"/>
        <v>15.534360704560642</v>
      </c>
      <c r="I90" s="77">
        <f t="shared" ref="I90:I96" si="44">I78+13</f>
        <v>84</v>
      </c>
      <c r="J90" s="73">
        <f t="shared" si="43"/>
        <v>2027</v>
      </c>
      <c r="K90" s="78">
        <f t="shared" ref="K90:K153" si="45">IF(ISNUMBER(F90),IF(F90&lt;&gt;0,B90,""),"")</f>
        <v>46539</v>
      </c>
    </row>
    <row r="91" spans="2:11" hidden="1" outlineLevel="1">
      <c r="B91" s="78">
        <f t="shared" si="40"/>
        <v>46569</v>
      </c>
      <c r="C91" s="75">
        <v>252691.41143199801</v>
      </c>
      <c r="D91" s="71">
        <f>IF(F91&lt;&gt;0,VLOOKUP($J91,'Table 1'!$B$13:$C$33,2,FALSE)/12*1000*Study_MW,0)</f>
        <v>233402.84718707739</v>
      </c>
      <c r="E91" s="71">
        <f t="shared" si="41"/>
        <v>486094.25861907541</v>
      </c>
      <c r="F91" s="75">
        <v>24910.63865524</v>
      </c>
      <c r="G91" s="76">
        <f t="shared" si="42"/>
        <v>19.513520522157492</v>
      </c>
      <c r="I91" s="77">
        <f t="shared" si="44"/>
        <v>85</v>
      </c>
      <c r="J91" s="73">
        <f t="shared" si="43"/>
        <v>2027</v>
      </c>
      <c r="K91" s="78">
        <f t="shared" si="45"/>
        <v>46569</v>
      </c>
    </row>
    <row r="92" spans="2:11" hidden="1" outlineLevel="1">
      <c r="B92" s="78">
        <f t="shared" si="40"/>
        <v>46600</v>
      </c>
      <c r="C92" s="75">
        <v>271492.85964360833</v>
      </c>
      <c r="D92" s="71">
        <f>IF(F92&lt;&gt;0,VLOOKUP($J92,'Table 1'!$B$13:$C$33,2,FALSE)/12*1000*Study_MW,0)</f>
        <v>233402.84718707739</v>
      </c>
      <c r="E92" s="71">
        <f t="shared" si="41"/>
        <v>504895.70683068573</v>
      </c>
      <c r="F92" s="75">
        <v>22358.652856344001</v>
      </c>
      <c r="G92" s="76">
        <f t="shared" si="42"/>
        <v>22.581669391026285</v>
      </c>
      <c r="I92" s="77">
        <f t="shared" si="44"/>
        <v>86</v>
      </c>
      <c r="J92" s="73">
        <f t="shared" si="43"/>
        <v>2027</v>
      </c>
      <c r="K92" s="78">
        <f t="shared" si="45"/>
        <v>46600</v>
      </c>
    </row>
    <row r="93" spans="2:11" hidden="1" outlineLevel="1">
      <c r="B93" s="78">
        <f t="shared" si="40"/>
        <v>46631</v>
      </c>
      <c r="C93" s="75">
        <v>91823.762594476342</v>
      </c>
      <c r="D93" s="71">
        <f>IF(F93&lt;&gt;0,VLOOKUP($J93,'Table 1'!$B$13:$C$33,2,FALSE)/12*1000*Study_MW,0)</f>
        <v>233402.84718707739</v>
      </c>
      <c r="E93" s="71">
        <f t="shared" si="41"/>
        <v>325226.60978155374</v>
      </c>
      <c r="F93" s="75">
        <v>21333.812679480001</v>
      </c>
      <c r="G93" s="76">
        <f t="shared" si="42"/>
        <v>15.244654796016562</v>
      </c>
      <c r="I93" s="77">
        <f t="shared" si="44"/>
        <v>87</v>
      </c>
      <c r="J93" s="73">
        <f t="shared" si="43"/>
        <v>2027</v>
      </c>
      <c r="K93" s="78">
        <f t="shared" si="45"/>
        <v>46631</v>
      </c>
    </row>
    <row r="94" spans="2:11" hidden="1" outlineLevel="1">
      <c r="B94" s="78">
        <f t="shared" si="40"/>
        <v>46661</v>
      </c>
      <c r="C94" s="75">
        <v>47749.607175707817</v>
      </c>
      <c r="D94" s="71">
        <f>IF(F94&lt;&gt;0,VLOOKUP($J94,'Table 1'!$B$13:$C$33,2,FALSE)/12*1000*Study_MW,0)</f>
        <v>233402.84718707739</v>
      </c>
      <c r="E94" s="71">
        <f t="shared" si="41"/>
        <v>281152.45436278521</v>
      </c>
      <c r="F94" s="75">
        <v>17825.330290230999</v>
      </c>
      <c r="G94" s="76">
        <f t="shared" si="42"/>
        <v>15.7726364552621</v>
      </c>
      <c r="I94" s="77">
        <f t="shared" si="44"/>
        <v>88</v>
      </c>
      <c r="J94" s="73">
        <f t="shared" si="43"/>
        <v>2027</v>
      </c>
      <c r="K94" s="78">
        <f t="shared" si="45"/>
        <v>46661</v>
      </c>
    </row>
    <row r="95" spans="2:11" hidden="1" outlineLevel="1">
      <c r="B95" s="78">
        <f t="shared" si="40"/>
        <v>46692</v>
      </c>
      <c r="C95" s="75">
        <v>72499.973952591419</v>
      </c>
      <c r="D95" s="71">
        <f>IF(F95&lt;&gt;0,VLOOKUP($J95,'Table 1'!$B$13:$C$33,2,FALSE)/12*1000*Study_MW,0)</f>
        <v>233402.84718707739</v>
      </c>
      <c r="E95" s="71">
        <f t="shared" si="41"/>
        <v>305902.82113966881</v>
      </c>
      <c r="F95" s="75">
        <v>12597.962383</v>
      </c>
      <c r="G95" s="76">
        <f t="shared" si="42"/>
        <v>24.281928445227109</v>
      </c>
      <c r="I95" s="77">
        <f t="shared" si="44"/>
        <v>89</v>
      </c>
      <c r="J95" s="73">
        <f t="shared" si="43"/>
        <v>2027</v>
      </c>
      <c r="K95" s="78">
        <f t="shared" si="45"/>
        <v>46692</v>
      </c>
    </row>
    <row r="96" spans="2:11" hidden="1" outlineLevel="1">
      <c r="B96" s="82">
        <f t="shared" si="40"/>
        <v>46722</v>
      </c>
      <c r="C96" s="79">
        <v>73501.669405609369</v>
      </c>
      <c r="D96" s="80">
        <f>IF(F96&lt;&gt;0,VLOOKUP($J96,'Table 1'!$B$13:$C$33,2,FALSE)/12*1000*Study_MW,0)</f>
        <v>233402.84718707739</v>
      </c>
      <c r="E96" s="80">
        <f t="shared" si="41"/>
        <v>306904.51659268676</v>
      </c>
      <c r="F96" s="79">
        <v>9004.0732393350008</v>
      </c>
      <c r="G96" s="81">
        <f t="shared" si="42"/>
        <v>34.08507554691473</v>
      </c>
      <c r="I96" s="64">
        <f t="shared" si="44"/>
        <v>90</v>
      </c>
      <c r="J96" s="73">
        <f t="shared" si="43"/>
        <v>2027</v>
      </c>
      <c r="K96" s="82">
        <f t="shared" si="45"/>
        <v>46722</v>
      </c>
    </row>
    <row r="97" spans="2:11" hidden="1" outlineLevel="1">
      <c r="B97" s="74">
        <f t="shared" si="40"/>
        <v>46753</v>
      </c>
      <c r="C97" s="69">
        <v>104162.85684001446</v>
      </c>
      <c r="D97" s="70">
        <f>IF(F97&lt;&gt;0,VLOOKUP($J97,'Table 1'!$B$13:$C$33,2,FALSE)/12*1000*Study_MW,0)</f>
        <v>238780.79297479801</v>
      </c>
      <c r="E97" s="70">
        <f t="shared" si="41"/>
        <v>342943.64981481247</v>
      </c>
      <c r="F97" s="69">
        <v>12024.657922603999</v>
      </c>
      <c r="G97" s="72">
        <f t="shared" si="42"/>
        <v>28.520033752490011</v>
      </c>
      <c r="I97" s="60">
        <f>I85+13</f>
        <v>92</v>
      </c>
      <c r="J97" s="73">
        <f t="shared" si="43"/>
        <v>2028</v>
      </c>
      <c r="K97" s="74">
        <f t="shared" si="45"/>
        <v>46753</v>
      </c>
    </row>
    <row r="98" spans="2:11" hidden="1" outlineLevel="1">
      <c r="B98" s="78">
        <f t="shared" si="40"/>
        <v>46784</v>
      </c>
      <c r="C98" s="75">
        <v>104161.01620823145</v>
      </c>
      <c r="D98" s="71">
        <f>IF(F98&lt;&gt;0,VLOOKUP($J98,'Table 1'!$B$13:$C$33,2,FALSE)/12*1000*Study_MW,0)</f>
        <v>238780.79297479801</v>
      </c>
      <c r="E98" s="71">
        <f t="shared" si="41"/>
        <v>342941.80918302946</v>
      </c>
      <c r="F98" s="75">
        <v>12314.953508543</v>
      </c>
      <c r="G98" s="76">
        <f t="shared" si="42"/>
        <v>27.847592680323761</v>
      </c>
      <c r="I98" s="77">
        <f t="shared" ref="I98:I120" si="46">I86+13</f>
        <v>93</v>
      </c>
      <c r="J98" s="73">
        <f t="shared" si="43"/>
        <v>2028</v>
      </c>
      <c r="K98" s="78">
        <f t="shared" si="45"/>
        <v>46784</v>
      </c>
    </row>
    <row r="99" spans="2:11" hidden="1" outlineLevel="1">
      <c r="B99" s="78">
        <f t="shared" si="40"/>
        <v>46813</v>
      </c>
      <c r="C99" s="75">
        <v>102510.14899422228</v>
      </c>
      <c r="D99" s="71">
        <f>IF(F99&lt;&gt;0,VLOOKUP($J99,'Table 1'!$B$13:$C$33,2,FALSE)/12*1000*Study_MW,0)</f>
        <v>238780.79297479801</v>
      </c>
      <c r="E99" s="71">
        <f t="shared" si="41"/>
        <v>341290.94196902029</v>
      </c>
      <c r="F99" s="75">
        <v>16350.31314276</v>
      </c>
      <c r="G99" s="76">
        <f t="shared" si="42"/>
        <v>20.873663946928481</v>
      </c>
      <c r="I99" s="77">
        <f t="shared" si="46"/>
        <v>94</v>
      </c>
      <c r="J99" s="73">
        <f t="shared" si="43"/>
        <v>2028</v>
      </c>
      <c r="K99" s="78">
        <f t="shared" si="45"/>
        <v>46813</v>
      </c>
    </row>
    <row r="100" spans="2:11" hidden="1" outlineLevel="1">
      <c r="B100" s="78">
        <f t="shared" si="40"/>
        <v>46844</v>
      </c>
      <c r="C100" s="75">
        <v>67777.3323982656</v>
      </c>
      <c r="D100" s="71">
        <f>IF(F100&lt;&gt;0,VLOOKUP($J100,'Table 1'!$B$13:$C$33,2,FALSE)/12*1000*Study_MW,0)</f>
        <v>238780.79297479801</v>
      </c>
      <c r="E100" s="71">
        <f t="shared" si="41"/>
        <v>306558.12537306361</v>
      </c>
      <c r="F100" s="75">
        <v>19381.314442555999</v>
      </c>
      <c r="G100" s="76">
        <f t="shared" si="42"/>
        <v>15.817199926334556</v>
      </c>
      <c r="I100" s="77">
        <f t="shared" si="46"/>
        <v>95</v>
      </c>
      <c r="J100" s="73">
        <f t="shared" si="43"/>
        <v>2028</v>
      </c>
      <c r="K100" s="78">
        <f t="shared" si="45"/>
        <v>46844</v>
      </c>
    </row>
    <row r="101" spans="2:11" hidden="1" outlineLevel="1">
      <c r="B101" s="78">
        <f t="shared" si="40"/>
        <v>46874</v>
      </c>
      <c r="C101" s="75">
        <v>175672.02365002036</v>
      </c>
      <c r="D101" s="71">
        <f>IF(F101&lt;&gt;0,VLOOKUP($J101,'Table 1'!$B$13:$C$33,2,FALSE)/12*1000*Study_MW,0)</f>
        <v>238780.79297479801</v>
      </c>
      <c r="E101" s="71">
        <f t="shared" si="41"/>
        <v>414452.81662481837</v>
      </c>
      <c r="F101" s="75">
        <v>26522.807739020001</v>
      </c>
      <c r="G101" s="76">
        <f t="shared" si="42"/>
        <v>15.626279868367062</v>
      </c>
      <c r="I101" s="77">
        <f t="shared" si="46"/>
        <v>96</v>
      </c>
      <c r="J101" s="73">
        <f t="shared" si="43"/>
        <v>2028</v>
      </c>
      <c r="K101" s="78">
        <f t="shared" si="45"/>
        <v>46874</v>
      </c>
    </row>
    <row r="102" spans="2:11" hidden="1" outlineLevel="1">
      <c r="B102" s="78">
        <f t="shared" si="40"/>
        <v>46905</v>
      </c>
      <c r="C102" s="75">
        <v>211535.2534841001</v>
      </c>
      <c r="D102" s="71">
        <f>IF(F102&lt;&gt;0,VLOOKUP($J102,'Table 1'!$B$13:$C$33,2,FALSE)/12*1000*Study_MW,0)</f>
        <v>238780.79297479801</v>
      </c>
      <c r="E102" s="71">
        <f t="shared" si="41"/>
        <v>450316.04645889811</v>
      </c>
      <c r="F102" s="75">
        <v>24299.637252707998</v>
      </c>
      <c r="G102" s="76">
        <f t="shared" si="42"/>
        <v>18.531801185991533</v>
      </c>
      <c r="I102" s="77">
        <f t="shared" si="46"/>
        <v>97</v>
      </c>
      <c r="J102" s="73">
        <f t="shared" si="43"/>
        <v>2028</v>
      </c>
      <c r="K102" s="78">
        <f t="shared" si="45"/>
        <v>46905</v>
      </c>
    </row>
    <row r="103" spans="2:11" hidden="1" outlineLevel="1">
      <c r="B103" s="78">
        <f t="shared" si="40"/>
        <v>46935</v>
      </c>
      <c r="C103" s="75">
        <v>378614.8003950119</v>
      </c>
      <c r="D103" s="71">
        <f>IF(F103&lt;&gt;0,VLOOKUP($J103,'Table 1'!$B$13:$C$33,2,FALSE)/12*1000*Study_MW,0)</f>
        <v>238780.79297479801</v>
      </c>
      <c r="E103" s="71">
        <f t="shared" si="41"/>
        <v>617395.59336980991</v>
      </c>
      <c r="F103" s="75">
        <v>24786.085363589998</v>
      </c>
      <c r="G103" s="76">
        <f t="shared" si="42"/>
        <v>24.908959374308665</v>
      </c>
      <c r="I103" s="77">
        <f t="shared" si="46"/>
        <v>98</v>
      </c>
      <c r="J103" s="73">
        <f t="shared" si="43"/>
        <v>2028</v>
      </c>
      <c r="K103" s="78">
        <f t="shared" si="45"/>
        <v>46935</v>
      </c>
    </row>
    <row r="104" spans="2:11" hidden="1" outlineLevel="1">
      <c r="B104" s="78">
        <f t="shared" si="40"/>
        <v>46966</v>
      </c>
      <c r="C104" s="75">
        <v>327412.32796865702</v>
      </c>
      <c r="D104" s="71">
        <f>IF(F104&lt;&gt;0,VLOOKUP($J104,'Table 1'!$B$13:$C$33,2,FALSE)/12*1000*Study_MW,0)</f>
        <v>238780.79297479801</v>
      </c>
      <c r="E104" s="71">
        <f t="shared" si="41"/>
        <v>566193.12094345503</v>
      </c>
      <c r="F104" s="75">
        <v>22246.859472111999</v>
      </c>
      <c r="G104" s="76">
        <f t="shared" si="42"/>
        <v>25.450474106388718</v>
      </c>
      <c r="I104" s="77">
        <f t="shared" si="46"/>
        <v>99</v>
      </c>
      <c r="J104" s="73">
        <f t="shared" si="43"/>
        <v>2028</v>
      </c>
      <c r="K104" s="78">
        <f t="shared" si="45"/>
        <v>46966</v>
      </c>
    </row>
    <row r="105" spans="2:11" hidden="1" outlineLevel="1">
      <c r="B105" s="78">
        <f t="shared" si="40"/>
        <v>46997</v>
      </c>
      <c r="C105" s="75">
        <v>151652.52899567783</v>
      </c>
      <c r="D105" s="71">
        <f>IF(F105&lt;&gt;0,VLOOKUP($J105,'Table 1'!$B$13:$C$33,2,FALSE)/12*1000*Study_MW,0)</f>
        <v>238780.79297479801</v>
      </c>
      <c r="E105" s="71">
        <f t="shared" si="41"/>
        <v>390433.32197047584</v>
      </c>
      <c r="F105" s="75">
        <v>21227.143606950001</v>
      </c>
      <c r="G105" s="76">
        <f t="shared" si="42"/>
        <v>18.393116341976583</v>
      </c>
      <c r="I105" s="77">
        <f t="shared" si="46"/>
        <v>100</v>
      </c>
      <c r="J105" s="73">
        <f t="shared" si="43"/>
        <v>2028</v>
      </c>
      <c r="K105" s="78">
        <f t="shared" si="45"/>
        <v>46997</v>
      </c>
    </row>
    <row r="106" spans="2:11" hidden="1" outlineLevel="1">
      <c r="B106" s="78">
        <f t="shared" si="40"/>
        <v>47027</v>
      </c>
      <c r="C106" s="75">
        <v>94378.512024730444</v>
      </c>
      <c r="D106" s="71">
        <f>IF(F106&lt;&gt;0,VLOOKUP($J106,'Table 1'!$B$13:$C$33,2,FALSE)/12*1000*Study_MW,0)</f>
        <v>238780.79297479801</v>
      </c>
      <c r="E106" s="71">
        <f t="shared" si="41"/>
        <v>333159.30499952845</v>
      </c>
      <c r="F106" s="75">
        <v>17736.203772736</v>
      </c>
      <c r="G106" s="76">
        <f t="shared" si="42"/>
        <v>18.784138323425175</v>
      </c>
      <c r="I106" s="77">
        <f t="shared" si="46"/>
        <v>101</v>
      </c>
      <c r="J106" s="73">
        <f t="shared" si="43"/>
        <v>2028</v>
      </c>
      <c r="K106" s="78">
        <f t="shared" si="45"/>
        <v>47027</v>
      </c>
    </row>
    <row r="107" spans="2:11" hidden="1" outlineLevel="1">
      <c r="B107" s="78">
        <f t="shared" si="40"/>
        <v>47058</v>
      </c>
      <c r="C107" s="75">
        <v>100026.78251616657</v>
      </c>
      <c r="D107" s="71">
        <f>IF(F107&lt;&gt;0,VLOOKUP($J107,'Table 1'!$B$13:$C$33,2,FALSE)/12*1000*Study_MW,0)</f>
        <v>238780.79297479801</v>
      </c>
      <c r="E107" s="71">
        <f t="shared" si="41"/>
        <v>338807.57549096458</v>
      </c>
      <c r="F107" s="75">
        <v>12534.9725796</v>
      </c>
      <c r="G107" s="76">
        <f t="shared" si="42"/>
        <v>27.028984175231134</v>
      </c>
      <c r="I107" s="77">
        <f t="shared" si="46"/>
        <v>102</v>
      </c>
      <c r="J107" s="73">
        <f t="shared" si="43"/>
        <v>2028</v>
      </c>
      <c r="K107" s="78">
        <f t="shared" si="45"/>
        <v>47058</v>
      </c>
    </row>
    <row r="108" spans="2:11" hidden="1" outlineLevel="1">
      <c r="B108" s="82">
        <f t="shared" si="40"/>
        <v>47088</v>
      </c>
      <c r="C108" s="79">
        <v>105500.89695081115</v>
      </c>
      <c r="D108" s="80">
        <f>IF(F108&lt;&gt;0,VLOOKUP($J108,'Table 1'!$B$13:$C$33,2,FALSE)/12*1000*Study_MW,0)</f>
        <v>238780.79297479801</v>
      </c>
      <c r="E108" s="80">
        <f t="shared" si="41"/>
        <v>344281.68992560916</v>
      </c>
      <c r="F108" s="79">
        <v>8959.0528833600001</v>
      </c>
      <c r="G108" s="81">
        <f t="shared" si="42"/>
        <v>38.428357819503113</v>
      </c>
      <c r="I108" s="64">
        <f t="shared" si="46"/>
        <v>103</v>
      </c>
      <c r="J108" s="73">
        <f t="shared" si="43"/>
        <v>2028</v>
      </c>
      <c r="K108" s="82">
        <f t="shared" si="45"/>
        <v>47088</v>
      </c>
    </row>
    <row r="109" spans="2:11" hidden="1" outlineLevel="1">
      <c r="B109" s="74">
        <f t="shared" si="40"/>
        <v>47119</v>
      </c>
      <c r="C109" s="69">
        <v>114065.40452712774</v>
      </c>
      <c r="D109" s="70">
        <f>IF(F109&lt;&gt;0,VLOOKUP($J109,'Table 1'!$B$13:$C$33,2,FALSE)/12*1000*Study_MW,0)</f>
        <v>244278.24866891257</v>
      </c>
      <c r="E109" s="70">
        <f t="shared" si="41"/>
        <v>358343.65319604031</v>
      </c>
      <c r="F109" s="69">
        <v>11964.534679619999</v>
      </c>
      <c r="G109" s="72">
        <f t="shared" si="42"/>
        <v>29.950488070917732</v>
      </c>
      <c r="I109" s="60">
        <f>I97+13</f>
        <v>105</v>
      </c>
      <c r="J109" s="73">
        <f t="shared" si="43"/>
        <v>2029</v>
      </c>
      <c r="K109" s="74">
        <f t="shared" si="45"/>
        <v>47119</v>
      </c>
    </row>
    <row r="110" spans="2:11" hidden="1" outlineLevel="1">
      <c r="B110" s="78">
        <f t="shared" si="40"/>
        <v>47150</v>
      </c>
      <c r="C110" s="75">
        <v>105492.86452122033</v>
      </c>
      <c r="D110" s="71">
        <f>IF(F110&lt;&gt;0,VLOOKUP($J110,'Table 1'!$B$13:$C$33,2,FALSE)/12*1000*Study_MW,0)</f>
        <v>244278.24866891257</v>
      </c>
      <c r="E110" s="71">
        <f t="shared" si="41"/>
        <v>349771.11319013289</v>
      </c>
      <c r="F110" s="75">
        <v>11669.72359433</v>
      </c>
      <c r="G110" s="76">
        <f t="shared" si="42"/>
        <v>29.972527657816773</v>
      </c>
      <c r="I110" s="77">
        <f t="shared" si="46"/>
        <v>106</v>
      </c>
      <c r="J110" s="73">
        <f t="shared" si="43"/>
        <v>2029</v>
      </c>
      <c r="K110" s="78">
        <f t="shared" si="45"/>
        <v>47150</v>
      </c>
    </row>
    <row r="111" spans="2:11" hidden="1" outlineLevel="1">
      <c r="B111" s="78">
        <f t="shared" si="40"/>
        <v>47178</v>
      </c>
      <c r="C111" s="75">
        <v>101366.23290130496</v>
      </c>
      <c r="D111" s="71">
        <f>IF(F111&lt;&gt;0,VLOOKUP($J111,'Table 1'!$B$13:$C$33,2,FALSE)/12*1000*Study_MW,0)</f>
        <v>244278.24866891257</v>
      </c>
      <c r="E111" s="71">
        <f t="shared" si="41"/>
        <v>345644.48157021753</v>
      </c>
      <c r="F111" s="75">
        <v>16268.561881595</v>
      </c>
      <c r="G111" s="76">
        <f t="shared" si="42"/>
        <v>21.246160790724417</v>
      </c>
      <c r="I111" s="77">
        <f t="shared" si="46"/>
        <v>107</v>
      </c>
      <c r="J111" s="73">
        <f t="shared" si="43"/>
        <v>2029</v>
      </c>
      <c r="K111" s="78">
        <f t="shared" si="45"/>
        <v>47178</v>
      </c>
    </row>
    <row r="112" spans="2:11" hidden="1" outlineLevel="1">
      <c r="B112" s="78">
        <f t="shared" si="40"/>
        <v>47209</v>
      </c>
      <c r="C112" s="75">
        <v>93569.996644675732</v>
      </c>
      <c r="D112" s="71">
        <f>IF(F112&lt;&gt;0,VLOOKUP($J112,'Table 1'!$B$13:$C$33,2,FALSE)/12*1000*Study_MW,0)</f>
        <v>244278.24866891257</v>
      </c>
      <c r="E112" s="71">
        <f t="shared" si="41"/>
        <v>337848.2453135883</v>
      </c>
      <c r="F112" s="75">
        <v>19284.407818602998</v>
      </c>
      <c r="G112" s="76">
        <f t="shared" si="42"/>
        <v>17.519243965981566</v>
      </c>
      <c r="I112" s="77">
        <f t="shared" si="46"/>
        <v>108</v>
      </c>
      <c r="J112" s="73">
        <f t="shared" si="43"/>
        <v>2029</v>
      </c>
      <c r="K112" s="78">
        <f t="shared" si="45"/>
        <v>47209</v>
      </c>
    </row>
    <row r="113" spans="2:11" hidden="1" outlineLevel="1">
      <c r="B113" s="78">
        <f t="shared" si="40"/>
        <v>47239</v>
      </c>
      <c r="C113" s="75">
        <v>164415.54426054657</v>
      </c>
      <c r="D113" s="71">
        <f>IF(F113&lt;&gt;0,VLOOKUP($J113,'Table 1'!$B$13:$C$33,2,FALSE)/12*1000*Study_MW,0)</f>
        <v>244278.24866891257</v>
      </c>
      <c r="E113" s="71">
        <f t="shared" si="41"/>
        <v>408693.79292945913</v>
      </c>
      <c r="F113" s="75">
        <v>26390.194385539999</v>
      </c>
      <c r="G113" s="76">
        <f t="shared" si="42"/>
        <v>15.486577588583245</v>
      </c>
      <c r="I113" s="77">
        <f t="shared" si="46"/>
        <v>109</v>
      </c>
      <c r="J113" s="73">
        <f t="shared" si="43"/>
        <v>2029</v>
      </c>
      <c r="K113" s="78">
        <f t="shared" si="45"/>
        <v>47239</v>
      </c>
    </row>
    <row r="114" spans="2:11" hidden="1" outlineLevel="1">
      <c r="B114" s="78">
        <f t="shared" si="40"/>
        <v>47270</v>
      </c>
      <c r="C114" s="75">
        <v>219991.33724783361</v>
      </c>
      <c r="D114" s="71">
        <f>IF(F114&lt;&gt;0,VLOOKUP($J114,'Table 1'!$B$13:$C$33,2,FALSE)/12*1000*Study_MW,0)</f>
        <v>244278.24866891257</v>
      </c>
      <c r="E114" s="71">
        <f t="shared" si="41"/>
        <v>464269.58591674617</v>
      </c>
      <c r="F114" s="75">
        <v>24178.139073558999</v>
      </c>
      <c r="G114" s="76">
        <f t="shared" si="42"/>
        <v>19.202039681559583</v>
      </c>
      <c r="I114" s="77">
        <f t="shared" si="46"/>
        <v>110</v>
      </c>
      <c r="J114" s="73">
        <f t="shared" si="43"/>
        <v>2029</v>
      </c>
      <c r="K114" s="78">
        <f t="shared" si="45"/>
        <v>47270</v>
      </c>
    </row>
    <row r="115" spans="2:11" hidden="1" outlineLevel="1">
      <c r="B115" s="78">
        <f t="shared" si="40"/>
        <v>47300</v>
      </c>
      <c r="C115" s="75">
        <v>449537.08920300007</v>
      </c>
      <c r="D115" s="71">
        <f>IF(F115&lt;&gt;0,VLOOKUP($J115,'Table 1'!$B$13:$C$33,2,FALSE)/12*1000*Study_MW,0)</f>
        <v>244278.24866891257</v>
      </c>
      <c r="E115" s="71">
        <f t="shared" si="41"/>
        <v>693815.33787191263</v>
      </c>
      <c r="F115" s="75">
        <v>24662.155299244001</v>
      </c>
      <c r="G115" s="76">
        <f t="shared" si="42"/>
        <v>28.132794131467538</v>
      </c>
      <c r="I115" s="77">
        <f t="shared" si="46"/>
        <v>111</v>
      </c>
      <c r="J115" s="73">
        <f t="shared" si="43"/>
        <v>2029</v>
      </c>
      <c r="K115" s="78">
        <f t="shared" si="45"/>
        <v>47300</v>
      </c>
    </row>
    <row r="116" spans="2:11" hidden="1" outlineLevel="1">
      <c r="B116" s="78">
        <f t="shared" si="40"/>
        <v>47331</v>
      </c>
      <c r="C116" s="75">
        <v>425180.80026713014</v>
      </c>
      <c r="D116" s="71">
        <f>IF(F116&lt;&gt;0,VLOOKUP($J116,'Table 1'!$B$13:$C$33,2,FALSE)/12*1000*Study_MW,0)</f>
        <v>244278.24866891257</v>
      </c>
      <c r="E116" s="71">
        <f t="shared" si="41"/>
        <v>669459.0489360427</v>
      </c>
      <c r="F116" s="75">
        <v>22135.625562562</v>
      </c>
      <c r="G116" s="76">
        <f t="shared" si="42"/>
        <v>30.243511620846139</v>
      </c>
      <c r="I116" s="77">
        <f t="shared" si="46"/>
        <v>112</v>
      </c>
      <c r="J116" s="73">
        <f t="shared" si="43"/>
        <v>2029</v>
      </c>
      <c r="K116" s="78">
        <f t="shared" si="45"/>
        <v>47331</v>
      </c>
    </row>
    <row r="117" spans="2:11" hidden="1" outlineLevel="1">
      <c r="B117" s="78">
        <f t="shared" si="40"/>
        <v>47362</v>
      </c>
      <c r="C117" s="75">
        <v>187585.25455328822</v>
      </c>
      <c r="D117" s="71">
        <f>IF(F117&lt;&gt;0,VLOOKUP($J117,'Table 1'!$B$13:$C$33,2,FALSE)/12*1000*Study_MW,0)</f>
        <v>244278.24866891257</v>
      </c>
      <c r="E117" s="71">
        <f t="shared" si="41"/>
        <v>431863.50322220079</v>
      </c>
      <c r="F117" s="75">
        <v>21121.00792321</v>
      </c>
      <c r="G117" s="76">
        <f t="shared" si="42"/>
        <v>20.447106728634076</v>
      </c>
      <c r="I117" s="77">
        <f t="shared" si="46"/>
        <v>113</v>
      </c>
      <c r="J117" s="73">
        <f t="shared" si="43"/>
        <v>2029</v>
      </c>
      <c r="K117" s="78">
        <f t="shared" si="45"/>
        <v>47362</v>
      </c>
    </row>
    <row r="118" spans="2:11" hidden="1" outlineLevel="1">
      <c r="B118" s="78">
        <f t="shared" si="40"/>
        <v>47392</v>
      </c>
      <c r="C118" s="75">
        <v>109164.76175945997</v>
      </c>
      <c r="D118" s="71">
        <f>IF(F118&lt;&gt;0,VLOOKUP($J118,'Table 1'!$B$13:$C$33,2,FALSE)/12*1000*Study_MW,0)</f>
        <v>244278.24866891257</v>
      </c>
      <c r="E118" s="71">
        <f t="shared" si="41"/>
        <v>353443.01042837254</v>
      </c>
      <c r="F118" s="75">
        <v>17647.522461617002</v>
      </c>
      <c r="G118" s="76">
        <f t="shared" si="42"/>
        <v>20.02791106780591</v>
      </c>
      <c r="I118" s="77">
        <f t="shared" si="46"/>
        <v>114</v>
      </c>
      <c r="J118" s="73">
        <f t="shared" si="43"/>
        <v>2029</v>
      </c>
      <c r="K118" s="78">
        <f t="shared" si="45"/>
        <v>47392</v>
      </c>
    </row>
    <row r="119" spans="2:11" hidden="1" outlineLevel="1">
      <c r="B119" s="78">
        <f t="shared" si="40"/>
        <v>47423</v>
      </c>
      <c r="C119" s="75">
        <v>120167.31951262057</v>
      </c>
      <c r="D119" s="71">
        <f>IF(F119&lt;&gt;0,VLOOKUP($J119,'Table 1'!$B$13:$C$33,2,FALSE)/12*1000*Study_MW,0)</f>
        <v>244278.24866891257</v>
      </c>
      <c r="E119" s="71">
        <f t="shared" si="41"/>
        <v>364445.56818153313</v>
      </c>
      <c r="F119" s="75">
        <v>12472.297755400001</v>
      </c>
      <c r="G119" s="76">
        <f t="shared" si="42"/>
        <v>29.220403114874557</v>
      </c>
      <c r="I119" s="77">
        <f t="shared" si="46"/>
        <v>115</v>
      </c>
      <c r="J119" s="73">
        <f t="shared" si="43"/>
        <v>2029</v>
      </c>
      <c r="K119" s="78">
        <f t="shared" si="45"/>
        <v>47423</v>
      </c>
    </row>
    <row r="120" spans="2:11" hidden="1" outlineLevel="1">
      <c r="B120" s="82">
        <f t="shared" si="40"/>
        <v>47453</v>
      </c>
      <c r="C120" s="79">
        <v>110366.1884559691</v>
      </c>
      <c r="D120" s="80">
        <f>IF(F120&lt;&gt;0,VLOOKUP($J120,'Table 1'!$B$13:$C$33,2,FALSE)/12*1000*Study_MW,0)</f>
        <v>244278.24866891257</v>
      </c>
      <c r="E120" s="80">
        <f t="shared" si="41"/>
        <v>354644.43712488166</v>
      </c>
      <c r="F120" s="79">
        <v>8914.2576053299999</v>
      </c>
      <c r="G120" s="81">
        <f t="shared" si="42"/>
        <v>39.783956536417925</v>
      </c>
      <c r="I120" s="64">
        <f t="shared" si="46"/>
        <v>116</v>
      </c>
      <c r="J120" s="73">
        <f t="shared" si="43"/>
        <v>2029</v>
      </c>
      <c r="K120" s="82">
        <f t="shared" si="45"/>
        <v>47453</v>
      </c>
    </row>
    <row r="121" spans="2:11" hidden="1" outlineLevel="1">
      <c r="B121" s="74">
        <f t="shared" si="40"/>
        <v>47484</v>
      </c>
      <c r="C121" s="69">
        <v>90127.92894589901</v>
      </c>
      <c r="D121" s="70">
        <f>IF(F121&lt;&gt;0,VLOOKUP($J121,'Table 1'!$B$13:$C$33,2,FALSE)/12*1000*Study_MW,0)</f>
        <v>249895.21426942086</v>
      </c>
      <c r="E121" s="70">
        <f t="shared" si="41"/>
        <v>340023.14321531984</v>
      </c>
      <c r="F121" s="69">
        <v>11904.7120192</v>
      </c>
      <c r="G121" s="72">
        <f t="shared" si="42"/>
        <v>28.562063716193069</v>
      </c>
      <c r="I121" s="60">
        <f>I109+13</f>
        <v>118</v>
      </c>
      <c r="J121" s="73">
        <f t="shared" si="43"/>
        <v>2030</v>
      </c>
      <c r="K121" s="74">
        <f t="shared" si="45"/>
        <v>47484</v>
      </c>
    </row>
    <row r="122" spans="2:11" hidden="1" outlineLevel="1">
      <c r="B122" s="78">
        <f t="shared" si="40"/>
        <v>47515</v>
      </c>
      <c r="C122" s="75">
        <v>78312.812597811222</v>
      </c>
      <c r="D122" s="71">
        <f>IF(F122&lt;&gt;0,VLOOKUP($J122,'Table 1'!$B$13:$C$33,2,FALSE)/12*1000*Study_MW,0)</f>
        <v>249895.21426942086</v>
      </c>
      <c r="E122" s="71">
        <f t="shared" si="41"/>
        <v>328208.02686723205</v>
      </c>
      <c r="F122" s="75">
        <v>11611.3749484</v>
      </c>
      <c r="G122" s="76">
        <f t="shared" si="42"/>
        <v>28.266077732031018</v>
      </c>
      <c r="I122" s="77">
        <f t="shared" ref="I122:I132" si="47">I110+13</f>
        <v>119</v>
      </c>
      <c r="J122" s="73">
        <f t="shared" si="43"/>
        <v>2030</v>
      </c>
      <c r="K122" s="78">
        <f t="shared" si="45"/>
        <v>47515</v>
      </c>
    </row>
    <row r="123" spans="2:11" hidden="1" outlineLevel="1">
      <c r="B123" s="78">
        <f t="shared" si="40"/>
        <v>47543</v>
      </c>
      <c r="C123" s="75">
        <v>102404.22535249591</v>
      </c>
      <c r="D123" s="71">
        <f>IF(F123&lt;&gt;0,VLOOKUP($J123,'Table 1'!$B$13:$C$33,2,FALSE)/12*1000*Study_MW,0)</f>
        <v>249895.21426942086</v>
      </c>
      <c r="E123" s="71">
        <f t="shared" si="41"/>
        <v>352299.43962191674</v>
      </c>
      <c r="F123" s="75">
        <v>16187.218935139999</v>
      </c>
      <c r="G123" s="76">
        <f t="shared" si="42"/>
        <v>21.764049836697275</v>
      </c>
      <c r="I123" s="77">
        <f t="shared" si="47"/>
        <v>120</v>
      </c>
      <c r="J123" s="73">
        <f t="shared" si="43"/>
        <v>2030</v>
      </c>
      <c r="K123" s="78">
        <f t="shared" si="45"/>
        <v>47543</v>
      </c>
    </row>
    <row r="124" spans="2:11" hidden="1" outlineLevel="1">
      <c r="B124" s="78">
        <f t="shared" si="40"/>
        <v>47574</v>
      </c>
      <c r="C124" s="75">
        <v>68690.462917745113</v>
      </c>
      <c r="D124" s="71">
        <f>IF(F124&lt;&gt;0,VLOOKUP($J124,'Table 1'!$B$13:$C$33,2,FALSE)/12*1000*Study_MW,0)</f>
        <v>249895.21426942086</v>
      </c>
      <c r="E124" s="71">
        <f t="shared" si="41"/>
        <v>318585.67718716594</v>
      </c>
      <c r="F124" s="75">
        <v>19187.985946684999</v>
      </c>
      <c r="G124" s="76">
        <f t="shared" si="42"/>
        <v>16.603393293719094</v>
      </c>
      <c r="I124" s="77">
        <f t="shared" si="47"/>
        <v>121</v>
      </c>
      <c r="J124" s="73">
        <f t="shared" si="43"/>
        <v>2030</v>
      </c>
      <c r="K124" s="78">
        <f t="shared" si="45"/>
        <v>47574</v>
      </c>
    </row>
    <row r="125" spans="2:11" hidden="1" outlineLevel="1">
      <c r="B125" s="78">
        <f t="shared" si="40"/>
        <v>47604</v>
      </c>
      <c r="C125" s="75">
        <v>103861.57865712047</v>
      </c>
      <c r="D125" s="71">
        <f>IF(F125&lt;&gt;0,VLOOKUP($J125,'Table 1'!$B$13:$C$33,2,FALSE)/12*1000*Study_MW,0)</f>
        <v>249895.21426942086</v>
      </c>
      <c r="E125" s="71">
        <f t="shared" si="41"/>
        <v>353756.7929265413</v>
      </c>
      <c r="F125" s="75">
        <v>26258.24362148</v>
      </c>
      <c r="G125" s="76">
        <f t="shared" si="42"/>
        <v>13.472218402191913</v>
      </c>
      <c r="I125" s="77">
        <f t="shared" si="47"/>
        <v>122</v>
      </c>
      <c r="J125" s="73">
        <f t="shared" si="43"/>
        <v>2030</v>
      </c>
      <c r="K125" s="78">
        <f t="shared" si="45"/>
        <v>47604</v>
      </c>
    </row>
    <row r="126" spans="2:11" hidden="1" outlineLevel="1">
      <c r="B126" s="78">
        <f t="shared" si="40"/>
        <v>47635</v>
      </c>
      <c r="C126" s="75">
        <v>180409.54445701838</v>
      </c>
      <c r="D126" s="71">
        <f>IF(F126&lt;&gt;0,VLOOKUP($J126,'Table 1'!$B$13:$C$33,2,FALSE)/12*1000*Study_MW,0)</f>
        <v>249895.21426942086</v>
      </c>
      <c r="E126" s="71">
        <f t="shared" si="41"/>
        <v>430304.75872643921</v>
      </c>
      <c r="F126" s="75">
        <v>24057.248377157001</v>
      </c>
      <c r="G126" s="76">
        <f t="shared" si="42"/>
        <v>17.886698926674633</v>
      </c>
      <c r="I126" s="77">
        <f t="shared" si="47"/>
        <v>123</v>
      </c>
      <c r="J126" s="73">
        <f t="shared" si="43"/>
        <v>2030</v>
      </c>
      <c r="K126" s="78">
        <f t="shared" si="45"/>
        <v>47635</v>
      </c>
    </row>
    <row r="127" spans="2:11" hidden="1" outlineLevel="1">
      <c r="B127" s="78">
        <f t="shared" si="40"/>
        <v>47665</v>
      </c>
      <c r="C127" s="75">
        <v>303021.69345879555</v>
      </c>
      <c r="D127" s="71">
        <f>IF(F127&lt;&gt;0,VLOOKUP($J127,'Table 1'!$B$13:$C$33,2,FALSE)/12*1000*Study_MW,0)</f>
        <v>249895.21426942086</v>
      </c>
      <c r="E127" s="71">
        <f t="shared" si="41"/>
        <v>552916.90772821638</v>
      </c>
      <c r="F127" s="75">
        <v>24538.844625400001</v>
      </c>
      <c r="G127" s="76">
        <f t="shared" si="42"/>
        <v>22.532312183756837</v>
      </c>
      <c r="I127" s="77">
        <f t="shared" si="47"/>
        <v>124</v>
      </c>
      <c r="J127" s="73">
        <f t="shared" si="43"/>
        <v>2030</v>
      </c>
      <c r="K127" s="78">
        <f t="shared" si="45"/>
        <v>47665</v>
      </c>
    </row>
    <row r="128" spans="2:11" hidden="1" outlineLevel="1">
      <c r="B128" s="78">
        <f t="shared" si="40"/>
        <v>47696</v>
      </c>
      <c r="C128" s="75">
        <v>307307.35902655125</v>
      </c>
      <c r="D128" s="71">
        <f>IF(F128&lt;&gt;0,VLOOKUP($J128,'Table 1'!$B$13:$C$33,2,FALSE)/12*1000*Study_MW,0)</f>
        <v>249895.21426942086</v>
      </c>
      <c r="E128" s="71">
        <f t="shared" si="41"/>
        <v>557202.57329597208</v>
      </c>
      <c r="F128" s="75">
        <v>22024.947179882001</v>
      </c>
      <c r="G128" s="76">
        <f t="shared" si="42"/>
        <v>25.298701910392381</v>
      </c>
      <c r="I128" s="77">
        <f t="shared" si="47"/>
        <v>125</v>
      </c>
      <c r="J128" s="73">
        <f t="shared" si="43"/>
        <v>2030</v>
      </c>
      <c r="K128" s="78">
        <f t="shared" si="45"/>
        <v>47696</v>
      </c>
    </row>
    <row r="129" spans="2:11" hidden="1" outlineLevel="1">
      <c r="B129" s="78">
        <f t="shared" si="40"/>
        <v>47727</v>
      </c>
      <c r="C129" s="75">
        <v>146637.15034364164</v>
      </c>
      <c r="D129" s="71">
        <f>IF(F129&lt;&gt;0,VLOOKUP($J129,'Table 1'!$B$13:$C$33,2,FALSE)/12*1000*Study_MW,0)</f>
        <v>249895.21426942086</v>
      </c>
      <c r="E129" s="71">
        <f t="shared" si="41"/>
        <v>396532.36461306247</v>
      </c>
      <c r="F129" s="75">
        <v>21015.40282386</v>
      </c>
      <c r="G129" s="76">
        <f t="shared" si="42"/>
        <v>18.868654002808661</v>
      </c>
      <c r="I129" s="77">
        <f t="shared" si="47"/>
        <v>126</v>
      </c>
      <c r="J129" s="73">
        <f t="shared" si="43"/>
        <v>2030</v>
      </c>
      <c r="K129" s="78">
        <f t="shared" si="45"/>
        <v>47727</v>
      </c>
    </row>
    <row r="130" spans="2:11" hidden="1" outlineLevel="1">
      <c r="B130" s="78">
        <f t="shared" si="40"/>
        <v>47757</v>
      </c>
      <c r="C130" s="75">
        <v>95371.219988286495</v>
      </c>
      <c r="D130" s="71">
        <f>IF(F130&lt;&gt;0,VLOOKUP($J130,'Table 1'!$B$13:$C$33,2,FALSE)/12*1000*Study_MW,0)</f>
        <v>249895.21426942086</v>
      </c>
      <c r="E130" s="71">
        <f t="shared" si="41"/>
        <v>345266.43425770733</v>
      </c>
      <c r="F130" s="75">
        <v>17559.285117445001</v>
      </c>
      <c r="G130" s="76">
        <f t="shared" si="42"/>
        <v>19.662898116204516</v>
      </c>
      <c r="I130" s="77">
        <f t="shared" si="47"/>
        <v>127</v>
      </c>
      <c r="J130" s="73">
        <f t="shared" si="43"/>
        <v>2030</v>
      </c>
      <c r="K130" s="78">
        <f t="shared" si="45"/>
        <v>47757</v>
      </c>
    </row>
    <row r="131" spans="2:11" hidden="1" outlineLevel="1">
      <c r="B131" s="78">
        <f t="shared" si="40"/>
        <v>47788</v>
      </c>
      <c r="C131" s="75">
        <v>93034.364427268505</v>
      </c>
      <c r="D131" s="71">
        <f>IF(F131&lt;&gt;0,VLOOKUP($J131,'Table 1'!$B$13:$C$33,2,FALSE)/12*1000*Study_MW,0)</f>
        <v>249895.21426942086</v>
      </c>
      <c r="E131" s="71">
        <f t="shared" si="41"/>
        <v>342929.57869668934</v>
      </c>
      <c r="F131" s="75">
        <v>12409.936282500001</v>
      </c>
      <c r="G131" s="76">
        <f t="shared" si="42"/>
        <v>27.633468125076114</v>
      </c>
      <c r="I131" s="77">
        <f t="shared" si="47"/>
        <v>128</v>
      </c>
      <c r="J131" s="73">
        <f t="shared" si="43"/>
        <v>2030</v>
      </c>
      <c r="K131" s="78">
        <f t="shared" si="45"/>
        <v>47788</v>
      </c>
    </row>
    <row r="132" spans="2:11" hidden="1" outlineLevel="1">
      <c r="B132" s="82">
        <f t="shared" si="40"/>
        <v>47818</v>
      </c>
      <c r="C132" s="79">
        <v>91205.13635610044</v>
      </c>
      <c r="D132" s="80">
        <f>IF(F132&lt;&gt;0,VLOOKUP($J132,'Table 1'!$B$13:$C$33,2,FALSE)/12*1000*Study_MW,0)</f>
        <v>249895.21426942086</v>
      </c>
      <c r="E132" s="80">
        <f t="shared" si="41"/>
        <v>341100.35062552127</v>
      </c>
      <c r="F132" s="79">
        <v>8869.6863370999999</v>
      </c>
      <c r="G132" s="81">
        <f t="shared" si="42"/>
        <v>38.456867318833076</v>
      </c>
      <c r="I132" s="64">
        <f t="shared" si="47"/>
        <v>129</v>
      </c>
      <c r="J132" s="73">
        <f t="shared" si="43"/>
        <v>2030</v>
      </c>
      <c r="K132" s="82">
        <f t="shared" si="45"/>
        <v>47818</v>
      </c>
    </row>
    <row r="133" spans="2:11" hidden="1" outlineLevel="1">
      <c r="B133" s="74">
        <f t="shared" si="40"/>
        <v>47849</v>
      </c>
      <c r="C133" s="69">
        <v>94967.04040145874</v>
      </c>
      <c r="D133" s="70">
        <f>IF(F133&lt;&gt;0,VLOOKUP($J133,'Table 1'!$B$13:$C$33,2,FALSE)/12*1000*Study_MW,0)</f>
        <v>255631.68977632286</v>
      </c>
      <c r="E133" s="70">
        <f t="shared" si="41"/>
        <v>350598.7301777816</v>
      </c>
      <c r="F133" s="69">
        <v>11845.188425664999</v>
      </c>
      <c r="G133" s="72">
        <f t="shared" si="42"/>
        <v>29.598408871077009</v>
      </c>
      <c r="I133" s="60">
        <f>I13</f>
        <v>1</v>
      </c>
      <c r="J133" s="73">
        <f t="shared" si="43"/>
        <v>2031</v>
      </c>
      <c r="K133" s="74">
        <f t="shared" si="45"/>
        <v>47849</v>
      </c>
    </row>
    <row r="134" spans="2:11" hidden="1" outlineLevel="1">
      <c r="B134" s="78">
        <f t="shared" si="40"/>
        <v>47880</v>
      </c>
      <c r="C134" s="75">
        <v>83370.08162394166</v>
      </c>
      <c r="D134" s="71">
        <f>IF(F134&lt;&gt;0,VLOOKUP($J134,'Table 1'!$B$13:$C$33,2,FALSE)/12*1000*Study_MW,0)</f>
        <v>255631.68977632286</v>
      </c>
      <c r="E134" s="71">
        <f t="shared" si="41"/>
        <v>339001.77140026452</v>
      </c>
      <c r="F134" s="75">
        <v>11553.31808508</v>
      </c>
      <c r="G134" s="76">
        <f t="shared" si="42"/>
        <v>29.342373238909843</v>
      </c>
      <c r="I134" s="77">
        <f t="shared" ref="I134:I197" si="48">I14</f>
        <v>2</v>
      </c>
      <c r="J134" s="73">
        <f t="shared" si="43"/>
        <v>2031</v>
      </c>
      <c r="K134" s="78">
        <f t="shared" si="45"/>
        <v>47880</v>
      </c>
    </row>
    <row r="135" spans="2:11" hidden="1" outlineLevel="1">
      <c r="B135" s="78">
        <f t="shared" si="40"/>
        <v>47908</v>
      </c>
      <c r="C135" s="75">
        <v>132967.93644216657</v>
      </c>
      <c r="D135" s="71">
        <f>IF(F135&lt;&gt;0,VLOOKUP($J135,'Table 1'!$B$13:$C$33,2,FALSE)/12*1000*Study_MW,0)</f>
        <v>255631.68977632286</v>
      </c>
      <c r="E135" s="71">
        <f t="shared" si="41"/>
        <v>388599.62621848943</v>
      </c>
      <c r="F135" s="75">
        <v>16106.28267052</v>
      </c>
      <c r="G135" s="76">
        <f t="shared" si="42"/>
        <v>24.127207634928666</v>
      </c>
      <c r="I135" s="77">
        <f t="shared" si="48"/>
        <v>3</v>
      </c>
      <c r="J135" s="73">
        <f t="shared" si="43"/>
        <v>2031</v>
      </c>
      <c r="K135" s="78">
        <f t="shared" si="45"/>
        <v>47908</v>
      </c>
    </row>
    <row r="136" spans="2:11" hidden="1" outlineLevel="1">
      <c r="B136" s="78">
        <f t="shared" si="40"/>
        <v>47939</v>
      </c>
      <c r="C136" s="75">
        <v>88079.196459382772</v>
      </c>
      <c r="D136" s="71">
        <f>IF(F136&lt;&gt;0,VLOOKUP($J136,'Table 1'!$B$13:$C$33,2,FALSE)/12*1000*Study_MW,0)</f>
        <v>255631.68977632286</v>
      </c>
      <c r="E136" s="71">
        <f t="shared" si="41"/>
        <v>343710.88623570564</v>
      </c>
      <c r="F136" s="75">
        <v>19092.045848090998</v>
      </c>
      <c r="G136" s="76">
        <f t="shared" si="42"/>
        <v>18.002831596492999</v>
      </c>
      <c r="I136" s="77">
        <f t="shared" si="48"/>
        <v>4</v>
      </c>
      <c r="J136" s="73">
        <f t="shared" si="43"/>
        <v>2031</v>
      </c>
      <c r="K136" s="78">
        <f t="shared" si="45"/>
        <v>47939</v>
      </c>
    </row>
    <row r="137" spans="2:11" hidden="1" outlineLevel="1">
      <c r="B137" s="78">
        <f t="shared" si="40"/>
        <v>47969</v>
      </c>
      <c r="C137" s="75">
        <v>122465.71347677708</v>
      </c>
      <c r="D137" s="71">
        <f>IF(F137&lt;&gt;0,VLOOKUP($J137,'Table 1'!$B$13:$C$33,2,FALSE)/12*1000*Study_MW,0)</f>
        <v>255631.68977632286</v>
      </c>
      <c r="E137" s="71">
        <f t="shared" si="41"/>
        <v>378097.40325309994</v>
      </c>
      <c r="F137" s="75">
        <v>26126.951568820001</v>
      </c>
      <c r="G137" s="76">
        <f t="shared" si="42"/>
        <v>14.471546833819019</v>
      </c>
      <c r="I137" s="77">
        <f t="shared" si="48"/>
        <v>5</v>
      </c>
      <c r="J137" s="73">
        <f t="shared" si="43"/>
        <v>2031</v>
      </c>
      <c r="K137" s="78">
        <f t="shared" si="45"/>
        <v>47969</v>
      </c>
    </row>
    <row r="138" spans="2:11" hidden="1" outlineLevel="1">
      <c r="B138" s="78">
        <f t="shared" si="40"/>
        <v>48000</v>
      </c>
      <c r="C138" s="75">
        <v>207398.95434199274</v>
      </c>
      <c r="D138" s="71">
        <f>IF(F138&lt;&gt;0,VLOOKUP($J138,'Table 1'!$B$13:$C$33,2,FALSE)/12*1000*Study_MW,0)</f>
        <v>255631.68977632286</v>
      </c>
      <c r="E138" s="71">
        <f t="shared" si="41"/>
        <v>463030.6441183156</v>
      </c>
      <c r="F138" s="75">
        <v>23936.962111798999</v>
      </c>
      <c r="G138" s="76">
        <f t="shared" si="42"/>
        <v>19.343751389825641</v>
      </c>
      <c r="I138" s="77">
        <f t="shared" si="48"/>
        <v>6</v>
      </c>
      <c r="J138" s="73">
        <f t="shared" si="43"/>
        <v>2031</v>
      </c>
      <c r="K138" s="78">
        <f t="shared" si="45"/>
        <v>48000</v>
      </c>
    </row>
    <row r="139" spans="2:11" hidden="1" outlineLevel="1">
      <c r="B139" s="78">
        <f t="shared" si="40"/>
        <v>48030</v>
      </c>
      <c r="C139" s="75">
        <v>337984.52861461043</v>
      </c>
      <c r="D139" s="71">
        <f>IF(F139&lt;&gt;0,VLOOKUP($J139,'Table 1'!$B$13:$C$33,2,FALSE)/12*1000*Study_MW,0)</f>
        <v>255631.68977632286</v>
      </c>
      <c r="E139" s="71">
        <f t="shared" si="41"/>
        <v>593616.21839093324</v>
      </c>
      <c r="F139" s="75">
        <v>24416.1501465</v>
      </c>
      <c r="G139" s="76">
        <f t="shared" si="42"/>
        <v>24.312441348417362</v>
      </c>
      <c r="I139" s="77">
        <f t="shared" si="48"/>
        <v>7</v>
      </c>
      <c r="J139" s="73">
        <f t="shared" si="43"/>
        <v>2031</v>
      </c>
      <c r="K139" s="78">
        <f t="shared" si="45"/>
        <v>48030</v>
      </c>
    </row>
    <row r="140" spans="2:11" hidden="1" outlineLevel="1">
      <c r="B140" s="78">
        <f t="shared" si="40"/>
        <v>48061</v>
      </c>
      <c r="C140" s="75">
        <v>302810.85786134005</v>
      </c>
      <c r="D140" s="71">
        <f>IF(F140&lt;&gt;0,VLOOKUP($J140,'Table 1'!$B$13:$C$33,2,FALSE)/12*1000*Study_MW,0)</f>
        <v>255631.68977632286</v>
      </c>
      <c r="E140" s="71">
        <f t="shared" si="41"/>
        <v>558442.54763766285</v>
      </c>
      <c r="F140" s="75">
        <v>21914.822081061</v>
      </c>
      <c r="G140" s="76">
        <f t="shared" si="42"/>
        <v>25.482413024939603</v>
      </c>
      <c r="I140" s="77">
        <f t="shared" si="48"/>
        <v>8</v>
      </c>
      <c r="J140" s="73">
        <f t="shared" si="43"/>
        <v>2031</v>
      </c>
      <c r="K140" s="78">
        <f t="shared" si="45"/>
        <v>48061</v>
      </c>
    </row>
    <row r="141" spans="2:11" hidden="1" outlineLevel="1">
      <c r="B141" s="78">
        <f t="shared" si="40"/>
        <v>48092</v>
      </c>
      <c r="C141" s="75">
        <v>165660.25584515929</v>
      </c>
      <c r="D141" s="71">
        <f>IF(F141&lt;&gt;0,VLOOKUP($J141,'Table 1'!$B$13:$C$33,2,FALSE)/12*1000*Study_MW,0)</f>
        <v>255631.68977632286</v>
      </c>
      <c r="E141" s="71">
        <f t="shared" si="41"/>
        <v>421291.94562148215</v>
      </c>
      <c r="F141" s="75">
        <v>20910.3258193</v>
      </c>
      <c r="G141" s="76">
        <f t="shared" si="42"/>
        <v>20.147555292162608</v>
      </c>
      <c r="I141" s="77">
        <f t="shared" si="48"/>
        <v>9</v>
      </c>
      <c r="J141" s="73">
        <f t="shared" si="43"/>
        <v>2031</v>
      </c>
      <c r="K141" s="78">
        <f t="shared" si="45"/>
        <v>48092</v>
      </c>
    </row>
    <row r="142" spans="2:11" hidden="1" outlineLevel="1">
      <c r="B142" s="78">
        <f t="shared" ref="B142:B205" si="49">EDATE(B141,1)</f>
        <v>48122</v>
      </c>
      <c r="C142" s="75">
        <v>112503.85274507105</v>
      </c>
      <c r="D142" s="71">
        <f>IF(F142&lt;&gt;0,VLOOKUP($J142,'Table 1'!$B$13:$C$33,2,FALSE)/12*1000*Study_MW,0)</f>
        <v>255631.68977632286</v>
      </c>
      <c r="E142" s="71">
        <f t="shared" ref="E142:E192" si="50">C142+D142</f>
        <v>368135.54252139392</v>
      </c>
      <c r="F142" s="75">
        <v>17471.488602180001</v>
      </c>
      <c r="G142" s="76">
        <f t="shared" ref="G142:G192" si="51">IF(ISNUMBER($F142),E142/$F142,"")</f>
        <v>21.070645490130698</v>
      </c>
      <c r="I142" s="77">
        <f t="shared" si="48"/>
        <v>10</v>
      </c>
      <c r="J142" s="73">
        <f t="shared" ref="J142:J192" si="52">YEAR(B142)</f>
        <v>2031</v>
      </c>
      <c r="K142" s="78">
        <f t="shared" si="45"/>
        <v>48122</v>
      </c>
    </row>
    <row r="143" spans="2:11" hidden="1" outlineLevel="1">
      <c r="B143" s="78">
        <f t="shared" si="49"/>
        <v>48153</v>
      </c>
      <c r="C143" s="75">
        <v>85140.140819013119</v>
      </c>
      <c r="D143" s="71">
        <f>IF(F143&lt;&gt;0,VLOOKUP($J143,'Table 1'!$B$13:$C$33,2,FALSE)/12*1000*Study_MW,0)</f>
        <v>255631.68977632286</v>
      </c>
      <c r="E143" s="71">
        <f t="shared" si="50"/>
        <v>340771.83059533598</v>
      </c>
      <c r="F143" s="75">
        <v>12347.886569099999</v>
      </c>
      <c r="G143" s="76">
        <f t="shared" si="51"/>
        <v>27.597583496442326</v>
      </c>
      <c r="I143" s="77">
        <f t="shared" si="48"/>
        <v>11</v>
      </c>
      <c r="J143" s="73">
        <f t="shared" si="52"/>
        <v>2031</v>
      </c>
      <c r="K143" s="78">
        <f t="shared" si="45"/>
        <v>48153</v>
      </c>
    </row>
    <row r="144" spans="2:11" hidden="1" outlineLevel="1">
      <c r="B144" s="82">
        <f t="shared" si="49"/>
        <v>48183</v>
      </c>
      <c r="C144" s="79">
        <v>97784.501591622829</v>
      </c>
      <c r="D144" s="80">
        <f>IF(F144&lt;&gt;0,VLOOKUP($J144,'Table 1'!$B$13:$C$33,2,FALSE)/12*1000*Study_MW,0)</f>
        <v>255631.68977632286</v>
      </c>
      <c r="E144" s="80">
        <f t="shared" si="50"/>
        <v>353416.19136794569</v>
      </c>
      <c r="F144" s="79">
        <v>8825.3378805550001</v>
      </c>
      <c r="G144" s="81">
        <f t="shared" si="51"/>
        <v>40.045627278093555</v>
      </c>
      <c r="I144" s="64">
        <f t="shared" si="48"/>
        <v>12</v>
      </c>
      <c r="J144" s="73">
        <f t="shared" si="52"/>
        <v>2031</v>
      </c>
      <c r="K144" s="82">
        <f t="shared" si="45"/>
        <v>48183</v>
      </c>
    </row>
    <row r="145" spans="2:11" hidden="1" outlineLevel="1">
      <c r="B145" s="74">
        <f t="shared" si="49"/>
        <v>48214</v>
      </c>
      <c r="C145" s="69">
        <v>102575.45890410244</v>
      </c>
      <c r="D145" s="70">
        <f>IF(F145&lt;&gt;0,VLOOKUP($J145,'Table 1'!$B$13:$C$33,2,FALSE)/12*1000*Study_MW,0)</f>
        <v>261511.57717089745</v>
      </c>
      <c r="E145" s="70">
        <f t="shared" si="50"/>
        <v>364087.03607499989</v>
      </c>
      <c r="F145" s="69">
        <v>11785.962483630001</v>
      </c>
      <c r="G145" s="72">
        <f t="shared" si="51"/>
        <v>30.891582811390677</v>
      </c>
      <c r="I145" s="60">
        <f>I25</f>
        <v>14</v>
      </c>
      <c r="J145" s="73">
        <f t="shared" si="52"/>
        <v>2032</v>
      </c>
      <c r="K145" s="74">
        <f t="shared" si="45"/>
        <v>48214</v>
      </c>
    </row>
    <row r="146" spans="2:11" hidden="1" outlineLevel="1">
      <c r="B146" s="78">
        <f t="shared" si="49"/>
        <v>48245</v>
      </c>
      <c r="C146" s="75">
        <v>98939.498000815511</v>
      </c>
      <c r="D146" s="71">
        <f>IF(F146&lt;&gt;0,VLOOKUP($J146,'Table 1'!$B$13:$C$33,2,FALSE)/12*1000*Study_MW,0)</f>
        <v>261511.57717089745</v>
      </c>
      <c r="E146" s="71">
        <f t="shared" si="50"/>
        <v>360451.07517171296</v>
      </c>
      <c r="F146" s="75">
        <v>12070.49552665</v>
      </c>
      <c r="G146" s="76">
        <f t="shared" si="51"/>
        <v>29.862160536482232</v>
      </c>
      <c r="I146" s="77">
        <f t="shared" si="48"/>
        <v>15</v>
      </c>
      <c r="J146" s="73">
        <f t="shared" si="52"/>
        <v>2032</v>
      </c>
      <c r="K146" s="78">
        <f t="shared" si="45"/>
        <v>48245</v>
      </c>
    </row>
    <row r="147" spans="2:11" hidden="1" outlineLevel="1">
      <c r="B147" s="78">
        <f t="shared" si="49"/>
        <v>48274</v>
      </c>
      <c r="C147" s="75">
        <v>118265.22183199227</v>
      </c>
      <c r="D147" s="71">
        <f>IF(F147&lt;&gt;0,VLOOKUP($J147,'Table 1'!$B$13:$C$33,2,FALSE)/12*1000*Study_MW,0)</f>
        <v>261511.57717089745</v>
      </c>
      <c r="E147" s="71">
        <f t="shared" si="50"/>
        <v>379776.79900288972</v>
      </c>
      <c r="F147" s="75">
        <v>16025.75138512</v>
      </c>
      <c r="G147" s="76">
        <f t="shared" si="51"/>
        <v>23.697909063753141</v>
      </c>
      <c r="I147" s="77">
        <f t="shared" si="48"/>
        <v>16</v>
      </c>
      <c r="J147" s="73">
        <f t="shared" si="52"/>
        <v>2032</v>
      </c>
      <c r="K147" s="78">
        <f t="shared" si="45"/>
        <v>48274</v>
      </c>
    </row>
    <row r="148" spans="2:11" hidden="1" outlineLevel="1">
      <c r="B148" s="78">
        <f t="shared" si="49"/>
        <v>48305</v>
      </c>
      <c r="C148" s="75">
        <v>112376.17090530694</v>
      </c>
      <c r="D148" s="71">
        <f>IF(F148&lt;&gt;0,VLOOKUP($J148,'Table 1'!$B$13:$C$33,2,FALSE)/12*1000*Study_MW,0)</f>
        <v>261511.57717089745</v>
      </c>
      <c r="E148" s="71">
        <f t="shared" si="50"/>
        <v>373887.74807620439</v>
      </c>
      <c r="F148" s="75">
        <v>18996.585315275999</v>
      </c>
      <c r="G148" s="76">
        <f t="shared" si="51"/>
        <v>19.681839755460924</v>
      </c>
      <c r="I148" s="77">
        <f t="shared" si="48"/>
        <v>17</v>
      </c>
      <c r="J148" s="73">
        <f t="shared" si="52"/>
        <v>2032</v>
      </c>
      <c r="K148" s="78">
        <f t="shared" si="45"/>
        <v>48305</v>
      </c>
    </row>
    <row r="149" spans="2:11" hidden="1" outlineLevel="1">
      <c r="B149" s="78">
        <f t="shared" si="49"/>
        <v>48335</v>
      </c>
      <c r="C149" s="75">
        <v>106601.12413331866</v>
      </c>
      <c r="D149" s="71">
        <f>IF(F149&lt;&gt;0,VLOOKUP($J149,'Table 1'!$B$13:$C$33,2,FALSE)/12*1000*Study_MW,0)</f>
        <v>261511.57717089745</v>
      </c>
      <c r="E149" s="71">
        <f t="shared" si="50"/>
        <v>368112.70130421611</v>
      </c>
      <c r="F149" s="75">
        <v>25996.317478919998</v>
      </c>
      <c r="G149" s="76">
        <f t="shared" si="51"/>
        <v>14.160186403428595</v>
      </c>
      <c r="I149" s="77">
        <f t="shared" si="48"/>
        <v>18</v>
      </c>
      <c r="J149" s="73">
        <f t="shared" si="52"/>
        <v>2032</v>
      </c>
      <c r="K149" s="78">
        <f t="shared" si="45"/>
        <v>48335</v>
      </c>
    </row>
    <row r="150" spans="2:11" hidden="1" outlineLevel="1">
      <c r="B150" s="78">
        <f t="shared" si="49"/>
        <v>48366</v>
      </c>
      <c r="C150" s="75">
        <v>192598.49479942024</v>
      </c>
      <c r="D150" s="71">
        <f>IF(F150&lt;&gt;0,VLOOKUP($J150,'Table 1'!$B$13:$C$33,2,FALSE)/12*1000*Study_MW,0)</f>
        <v>261511.57717089745</v>
      </c>
      <c r="E150" s="71">
        <f t="shared" si="50"/>
        <v>454110.07197031769</v>
      </c>
      <c r="F150" s="75">
        <v>23817.277277186</v>
      </c>
      <c r="G150" s="76">
        <f t="shared" si="51"/>
        <v>19.066414128087548</v>
      </c>
      <c r="I150" s="77">
        <f t="shared" si="48"/>
        <v>19</v>
      </c>
      <c r="J150" s="73">
        <f t="shared" si="52"/>
        <v>2032</v>
      </c>
      <c r="K150" s="78">
        <f t="shared" si="45"/>
        <v>48366</v>
      </c>
    </row>
    <row r="151" spans="2:11" hidden="1" outlineLevel="1">
      <c r="B151" s="78">
        <f t="shared" si="49"/>
        <v>48396</v>
      </c>
      <c r="C151" s="75">
        <v>391463.75124579668</v>
      </c>
      <c r="D151" s="71">
        <f>IF(F151&lt;&gt;0,VLOOKUP($J151,'Table 1'!$B$13:$C$33,2,FALSE)/12*1000*Study_MW,0)</f>
        <v>261511.57717089745</v>
      </c>
      <c r="E151" s="71">
        <f t="shared" si="50"/>
        <v>652975.32841669419</v>
      </c>
      <c r="F151" s="75">
        <v>24294.069832144</v>
      </c>
      <c r="G151" s="76">
        <f t="shared" si="51"/>
        <v>26.877971987745283</v>
      </c>
      <c r="I151" s="77">
        <f t="shared" si="48"/>
        <v>20</v>
      </c>
      <c r="J151" s="73">
        <f t="shared" si="52"/>
        <v>2032</v>
      </c>
      <c r="K151" s="78">
        <f t="shared" si="45"/>
        <v>48396</v>
      </c>
    </row>
    <row r="152" spans="2:11" hidden="1" outlineLevel="1">
      <c r="B152" s="78">
        <f t="shared" si="49"/>
        <v>48427</v>
      </c>
      <c r="C152" s="75">
        <v>330700.71303513646</v>
      </c>
      <c r="D152" s="71">
        <f>IF(F152&lt;&gt;0,VLOOKUP($J152,'Table 1'!$B$13:$C$33,2,FALSE)/12*1000*Study_MW,0)</f>
        <v>261511.57717089745</v>
      </c>
      <c r="E152" s="71">
        <f t="shared" si="50"/>
        <v>592212.29020603397</v>
      </c>
      <c r="F152" s="75">
        <v>21805.248110162</v>
      </c>
      <c r="G152" s="76">
        <f t="shared" si="51"/>
        <v>27.159163115875877</v>
      </c>
      <c r="I152" s="77">
        <f t="shared" si="48"/>
        <v>21</v>
      </c>
      <c r="J152" s="73">
        <f t="shared" si="52"/>
        <v>2032</v>
      </c>
      <c r="K152" s="78">
        <f t="shared" si="45"/>
        <v>48427</v>
      </c>
    </row>
    <row r="153" spans="2:11" hidden="1" outlineLevel="1">
      <c r="B153" s="78">
        <f t="shared" si="49"/>
        <v>48458</v>
      </c>
      <c r="C153" s="75">
        <v>225649.92979080975</v>
      </c>
      <c r="D153" s="71">
        <f>IF(F153&lt;&gt;0,VLOOKUP($J153,'Table 1'!$B$13:$C$33,2,FALSE)/12*1000*Study_MW,0)</f>
        <v>261511.57717089745</v>
      </c>
      <c r="E153" s="71">
        <f t="shared" si="50"/>
        <v>487161.5069617072</v>
      </c>
      <c r="F153" s="75">
        <v>20805.774153999999</v>
      </c>
      <c r="G153" s="76">
        <f t="shared" si="51"/>
        <v>23.414726284916838</v>
      </c>
      <c r="I153" s="77">
        <f t="shared" si="48"/>
        <v>22</v>
      </c>
      <c r="J153" s="73">
        <f t="shared" si="52"/>
        <v>2032</v>
      </c>
      <c r="K153" s="78">
        <f t="shared" si="45"/>
        <v>48458</v>
      </c>
    </row>
    <row r="154" spans="2:11" hidden="1" outlineLevel="1">
      <c r="B154" s="78">
        <f t="shared" si="49"/>
        <v>48488</v>
      </c>
      <c r="C154" s="75">
        <v>108065.98922710121</v>
      </c>
      <c r="D154" s="71">
        <f>IF(F154&lt;&gt;0,VLOOKUP($J154,'Table 1'!$B$13:$C$33,2,FALSE)/12*1000*Study_MW,0)</f>
        <v>261511.57717089745</v>
      </c>
      <c r="E154" s="71">
        <f t="shared" si="50"/>
        <v>369577.56639799866</v>
      </c>
      <c r="F154" s="75">
        <v>17384.131228874001</v>
      </c>
      <c r="G154" s="76">
        <f t="shared" si="51"/>
        <v>21.259478632107449</v>
      </c>
      <c r="I154" s="77">
        <f t="shared" si="48"/>
        <v>23</v>
      </c>
      <c r="J154" s="73">
        <f t="shared" si="52"/>
        <v>2032</v>
      </c>
      <c r="K154" s="78">
        <f t="shared" ref="K154:K192" si="53">IF(ISNUMBER(F154),IF(F154&lt;&gt;0,B154,""),"")</f>
        <v>48488</v>
      </c>
    </row>
    <row r="155" spans="2:11" hidden="1" outlineLevel="1">
      <c r="B155" s="78">
        <f t="shared" si="49"/>
        <v>48519</v>
      </c>
      <c r="C155" s="75">
        <v>109483.37954430282</v>
      </c>
      <c r="D155" s="71">
        <f>IF(F155&lt;&gt;0,VLOOKUP($J155,'Table 1'!$B$13:$C$33,2,FALSE)/12*1000*Study_MW,0)</f>
        <v>261511.57717089745</v>
      </c>
      <c r="E155" s="71">
        <f t="shared" si="50"/>
        <v>370994.95671520027</v>
      </c>
      <c r="F155" s="75">
        <v>12286.1471363</v>
      </c>
      <c r="G155" s="76">
        <f t="shared" si="51"/>
        <v>30.196200045421744</v>
      </c>
      <c r="I155" s="77">
        <f t="shared" si="48"/>
        <v>24</v>
      </c>
      <c r="J155" s="73">
        <f t="shared" si="52"/>
        <v>2032</v>
      </c>
      <c r="K155" s="78">
        <f t="shared" si="53"/>
        <v>48519</v>
      </c>
    </row>
    <row r="156" spans="2:11" hidden="1" outlineLevel="1">
      <c r="B156" s="82">
        <f t="shared" si="49"/>
        <v>48549</v>
      </c>
      <c r="C156" s="79">
        <v>97298.65640065074</v>
      </c>
      <c r="D156" s="80">
        <f>IF(F156&lt;&gt;0,VLOOKUP($J156,'Table 1'!$B$13:$C$33,2,FALSE)/12*1000*Study_MW,0)</f>
        <v>261511.57717089745</v>
      </c>
      <c r="E156" s="80">
        <f t="shared" si="50"/>
        <v>358810.23357154819</v>
      </c>
      <c r="F156" s="79">
        <v>8781.2111887800002</v>
      </c>
      <c r="G156" s="81">
        <f t="shared" si="51"/>
        <v>40.861132463140173</v>
      </c>
      <c r="I156" s="64">
        <f t="shared" si="48"/>
        <v>25</v>
      </c>
      <c r="J156" s="73">
        <f t="shared" si="52"/>
        <v>2032</v>
      </c>
      <c r="K156" s="82">
        <f t="shared" si="53"/>
        <v>48549</v>
      </c>
    </row>
    <row r="157" spans="2:11" hidden="1" outlineLevel="1">
      <c r="B157" s="74">
        <f t="shared" si="49"/>
        <v>48580</v>
      </c>
      <c r="C157" s="69">
        <v>106992.72710548341</v>
      </c>
      <c r="D157" s="70">
        <f>IF(F157&lt;&gt;0,VLOOKUP($J157,'Table 1'!$B$13:$C$33,2,FALSE)/12*1000*Study_MW,0)</f>
        <v>267510.97447186592</v>
      </c>
      <c r="E157" s="70">
        <f t="shared" si="50"/>
        <v>374503.70157734933</v>
      </c>
      <c r="F157" s="69">
        <v>11727.032699089999</v>
      </c>
      <c r="G157" s="72">
        <f t="shared" si="51"/>
        <v>31.9350777973366</v>
      </c>
      <c r="I157" s="60">
        <f>I37</f>
        <v>27</v>
      </c>
      <c r="J157" s="73">
        <f t="shared" si="52"/>
        <v>2033</v>
      </c>
      <c r="K157" s="74">
        <f t="shared" si="53"/>
        <v>48580</v>
      </c>
    </row>
    <row r="158" spans="2:11" hidden="1" outlineLevel="1">
      <c r="B158" s="78">
        <f t="shared" si="49"/>
        <v>48611</v>
      </c>
      <c r="C158" s="75">
        <v>88556.373015761375</v>
      </c>
      <c r="D158" s="71">
        <f>IF(F158&lt;&gt;0,VLOOKUP($J158,'Table 1'!$B$13:$C$33,2,FALSE)/12*1000*Study_MW,0)</f>
        <v>267510.97447186592</v>
      </c>
      <c r="E158" s="71">
        <f t="shared" si="50"/>
        <v>356067.3474876273</v>
      </c>
      <c r="F158" s="75">
        <v>11438.07374888</v>
      </c>
      <c r="G158" s="76">
        <f t="shared" si="51"/>
        <v>31.130009764318306</v>
      </c>
      <c r="I158" s="77">
        <f t="shared" si="48"/>
        <v>28</v>
      </c>
      <c r="J158" s="73">
        <f t="shared" si="52"/>
        <v>2033</v>
      </c>
      <c r="K158" s="78">
        <f t="shared" si="53"/>
        <v>48611</v>
      </c>
    </row>
    <row r="159" spans="2:11" hidden="1" outlineLevel="1">
      <c r="B159" s="78">
        <f t="shared" si="49"/>
        <v>48639</v>
      </c>
      <c r="C159" s="75">
        <v>114545.25187440217</v>
      </c>
      <c r="D159" s="71">
        <f>IF(F159&lt;&gt;0,VLOOKUP($J159,'Table 1'!$B$13:$C$33,2,FALSE)/12*1000*Study_MW,0)</f>
        <v>267510.97447186592</v>
      </c>
      <c r="E159" s="71">
        <f t="shared" si="50"/>
        <v>382056.22634626809</v>
      </c>
      <c r="F159" s="75">
        <v>15945.62267798</v>
      </c>
      <c r="G159" s="76">
        <f t="shared" si="51"/>
        <v>23.959943996032596</v>
      </c>
      <c r="I159" s="77">
        <f t="shared" si="48"/>
        <v>29</v>
      </c>
      <c r="J159" s="73">
        <f t="shared" si="52"/>
        <v>2033</v>
      </c>
      <c r="K159" s="78">
        <f t="shared" si="53"/>
        <v>48639</v>
      </c>
    </row>
    <row r="160" spans="2:11" hidden="1" outlineLevel="1">
      <c r="B160" s="78">
        <f t="shared" si="49"/>
        <v>48670</v>
      </c>
      <c r="C160" s="75">
        <v>77407.993503853679</v>
      </c>
      <c r="D160" s="71">
        <f>IF(F160&lt;&gt;0,VLOOKUP($J160,'Table 1'!$B$13:$C$33,2,FALSE)/12*1000*Study_MW,0)</f>
        <v>267510.97447186592</v>
      </c>
      <c r="E160" s="71">
        <f t="shared" si="50"/>
        <v>344918.9679757196</v>
      </c>
      <c r="F160" s="75">
        <v>18901.60281773</v>
      </c>
      <c r="G160" s="76">
        <f t="shared" si="51"/>
        <v>18.248133309212285</v>
      </c>
      <c r="I160" s="77">
        <f t="shared" si="48"/>
        <v>30</v>
      </c>
      <c r="J160" s="73">
        <f t="shared" si="52"/>
        <v>2033</v>
      </c>
      <c r="K160" s="78">
        <f t="shared" si="53"/>
        <v>48670</v>
      </c>
    </row>
    <row r="161" spans="2:11" hidden="1" outlineLevel="1">
      <c r="B161" s="78">
        <f t="shared" si="49"/>
        <v>48700</v>
      </c>
      <c r="C161" s="75">
        <v>106055.63827823102</v>
      </c>
      <c r="D161" s="71">
        <f>IF(F161&lt;&gt;0,VLOOKUP($J161,'Table 1'!$B$13:$C$33,2,FALSE)/12*1000*Study_MW,0)</f>
        <v>267510.97447186592</v>
      </c>
      <c r="E161" s="71">
        <f t="shared" si="50"/>
        <v>373566.61275009695</v>
      </c>
      <c r="F161" s="75">
        <v>25866.336293349999</v>
      </c>
      <c r="G161" s="76">
        <f t="shared" si="51"/>
        <v>14.44219268293274</v>
      </c>
      <c r="I161" s="77">
        <f t="shared" si="48"/>
        <v>31</v>
      </c>
      <c r="J161" s="73">
        <f t="shared" si="52"/>
        <v>2033</v>
      </c>
      <c r="K161" s="78">
        <f t="shared" si="53"/>
        <v>48700</v>
      </c>
    </row>
    <row r="162" spans="2:11" hidden="1" outlineLevel="1">
      <c r="B162" s="78">
        <f t="shared" si="49"/>
        <v>48731</v>
      </c>
      <c r="C162" s="75">
        <v>188145.99525888264</v>
      </c>
      <c r="D162" s="71">
        <f>IF(F162&lt;&gt;0,VLOOKUP($J162,'Table 1'!$B$13:$C$33,2,FALSE)/12*1000*Study_MW,0)</f>
        <v>267510.97447186592</v>
      </c>
      <c r="E162" s="71">
        <f t="shared" si="50"/>
        <v>455656.96973074856</v>
      </c>
      <c r="F162" s="75">
        <v>23698.190868217</v>
      </c>
      <c r="G162" s="76">
        <f t="shared" si="51"/>
        <v>19.227500203057957</v>
      </c>
      <c r="I162" s="77">
        <f t="shared" si="48"/>
        <v>32</v>
      </c>
      <c r="J162" s="73">
        <f t="shared" si="52"/>
        <v>2033</v>
      </c>
      <c r="K162" s="78">
        <f t="shared" si="53"/>
        <v>48731</v>
      </c>
    </row>
    <row r="163" spans="2:11" hidden="1" outlineLevel="1">
      <c r="B163" s="78">
        <f t="shared" si="49"/>
        <v>48761</v>
      </c>
      <c r="C163" s="75">
        <v>377938.94494009018</v>
      </c>
      <c r="D163" s="71">
        <f>IF(F163&lt;&gt;0,VLOOKUP($J163,'Table 1'!$B$13:$C$33,2,FALSE)/12*1000*Study_MW,0)</f>
        <v>267510.97447186592</v>
      </c>
      <c r="E163" s="71">
        <f t="shared" si="50"/>
        <v>645449.9194119561</v>
      </c>
      <c r="F163" s="75">
        <v>24172.599832250002</v>
      </c>
      <c r="G163" s="76">
        <f t="shared" si="51"/>
        <v>26.701716980844804</v>
      </c>
      <c r="I163" s="77">
        <f t="shared" si="48"/>
        <v>33</v>
      </c>
      <c r="J163" s="73">
        <f t="shared" si="52"/>
        <v>2033</v>
      </c>
      <c r="K163" s="78">
        <f t="shared" si="53"/>
        <v>48761</v>
      </c>
    </row>
    <row r="164" spans="2:11" hidden="1" outlineLevel="1">
      <c r="B164" s="78">
        <f t="shared" si="49"/>
        <v>48792</v>
      </c>
      <c r="C164" s="75">
        <v>365972.98942700028</v>
      </c>
      <c r="D164" s="71">
        <f>IF(F164&lt;&gt;0,VLOOKUP($J164,'Table 1'!$B$13:$C$33,2,FALSE)/12*1000*Study_MW,0)</f>
        <v>267510.97447186592</v>
      </c>
      <c r="E164" s="71">
        <f t="shared" si="50"/>
        <v>633483.9638988662</v>
      </c>
      <c r="F164" s="75">
        <v>21696.221903564001</v>
      </c>
      <c r="G164" s="76">
        <f t="shared" si="51"/>
        <v>29.197892919541207</v>
      </c>
      <c r="I164" s="77">
        <f t="shared" si="48"/>
        <v>34</v>
      </c>
      <c r="J164" s="73">
        <f t="shared" si="52"/>
        <v>2033</v>
      </c>
      <c r="K164" s="78">
        <f t="shared" si="53"/>
        <v>48792</v>
      </c>
    </row>
    <row r="165" spans="2:11" hidden="1" outlineLevel="1">
      <c r="B165" s="78">
        <f t="shared" si="49"/>
        <v>48823</v>
      </c>
      <c r="C165" s="75">
        <v>160494.35716870427</v>
      </c>
      <c r="D165" s="71">
        <f>IF(F165&lt;&gt;0,VLOOKUP($J165,'Table 1'!$B$13:$C$33,2,FALSE)/12*1000*Study_MW,0)</f>
        <v>267510.97447186592</v>
      </c>
      <c r="E165" s="71">
        <f t="shared" si="50"/>
        <v>428005.33164057019</v>
      </c>
      <c r="F165" s="75">
        <v>20701.745392460001</v>
      </c>
      <c r="G165" s="76">
        <f t="shared" si="51"/>
        <v>20.674842798349673</v>
      </c>
      <c r="I165" s="77">
        <f t="shared" si="48"/>
        <v>35</v>
      </c>
      <c r="J165" s="73">
        <f t="shared" si="52"/>
        <v>2033</v>
      </c>
      <c r="K165" s="78">
        <f t="shared" si="53"/>
        <v>48823</v>
      </c>
    </row>
    <row r="166" spans="2:11" hidden="1" outlineLevel="1">
      <c r="B166" s="78">
        <f t="shared" si="49"/>
        <v>48853</v>
      </c>
      <c r="C166" s="75">
        <v>124066.22299467027</v>
      </c>
      <c r="D166" s="71">
        <f>IF(F166&lt;&gt;0,VLOOKUP($J166,'Table 1'!$B$13:$C$33,2,FALSE)/12*1000*Study_MW,0)</f>
        <v>267510.97447186592</v>
      </c>
      <c r="E166" s="71">
        <f t="shared" si="50"/>
        <v>391577.19746653619</v>
      </c>
      <c r="F166" s="75">
        <v>17297.210319259</v>
      </c>
      <c r="G166" s="76">
        <f t="shared" si="51"/>
        <v>22.638170562714823</v>
      </c>
      <c r="I166" s="77">
        <f t="shared" si="48"/>
        <v>36</v>
      </c>
      <c r="J166" s="73">
        <f t="shared" si="52"/>
        <v>2033</v>
      </c>
      <c r="K166" s="78">
        <f t="shared" si="53"/>
        <v>48853</v>
      </c>
    </row>
    <row r="167" spans="2:11" hidden="1" outlineLevel="1">
      <c r="B167" s="78">
        <f t="shared" si="49"/>
        <v>48884</v>
      </c>
      <c r="C167" s="75">
        <v>105164.43729162216</v>
      </c>
      <c r="D167" s="71">
        <f>IF(F167&lt;&gt;0,VLOOKUP($J167,'Table 1'!$B$13:$C$33,2,FALSE)/12*1000*Study_MW,0)</f>
        <v>267510.97447186592</v>
      </c>
      <c r="E167" s="71">
        <f t="shared" si="50"/>
        <v>372675.41176348808</v>
      </c>
      <c r="F167" s="75">
        <v>12224.7163991</v>
      </c>
      <c r="G167" s="76">
        <f t="shared" si="51"/>
        <v>30.485403472503048</v>
      </c>
      <c r="I167" s="77">
        <f t="shared" si="48"/>
        <v>37</v>
      </c>
      <c r="J167" s="73">
        <f t="shared" si="52"/>
        <v>2033</v>
      </c>
      <c r="K167" s="78">
        <f t="shared" si="53"/>
        <v>48884</v>
      </c>
    </row>
    <row r="168" spans="2:11" hidden="1" outlineLevel="1">
      <c r="B168" s="82">
        <f t="shared" si="49"/>
        <v>48914</v>
      </c>
      <c r="C168" s="79">
        <v>103098.15031579137</v>
      </c>
      <c r="D168" s="80">
        <f>IF(F168&lt;&gt;0,VLOOKUP($J168,'Table 1'!$B$13:$C$33,2,FALSE)/12*1000*Study_MW,0)</f>
        <v>267510.97447186592</v>
      </c>
      <c r="E168" s="80">
        <f t="shared" si="50"/>
        <v>370609.12478765729</v>
      </c>
      <c r="F168" s="79">
        <v>8737.305132644</v>
      </c>
      <c r="G168" s="81">
        <f t="shared" si="51"/>
        <v>42.416868721111847</v>
      </c>
      <c r="I168" s="64">
        <f t="shared" si="48"/>
        <v>38</v>
      </c>
      <c r="J168" s="73">
        <f t="shared" si="52"/>
        <v>2033</v>
      </c>
      <c r="K168" s="82">
        <f t="shared" si="53"/>
        <v>48914</v>
      </c>
    </row>
    <row r="169" spans="2:11" hidden="1" outlineLevel="1">
      <c r="B169" s="74">
        <f t="shared" si="49"/>
        <v>48945</v>
      </c>
      <c r="C169" s="69">
        <v>116462.3451397717</v>
      </c>
      <c r="D169" s="70">
        <f>IF(F169&lt;&gt;0,VLOOKUP($J169,'Table 1'!$B$13:$C$33,2,FALSE)/12*1000*Study_MW,0)</f>
        <v>273653.78366050683</v>
      </c>
      <c r="E169" s="70">
        <f t="shared" si="50"/>
        <v>390116.12880027853</v>
      </c>
      <c r="F169" s="69">
        <v>11668.397536070001</v>
      </c>
      <c r="G169" s="72">
        <f t="shared" si="51"/>
        <v>33.433565114175259</v>
      </c>
      <c r="I169" s="60">
        <f>I49</f>
        <v>40</v>
      </c>
      <c r="J169" s="73">
        <f t="shared" si="52"/>
        <v>2034</v>
      </c>
      <c r="K169" s="74">
        <f t="shared" si="53"/>
        <v>48945</v>
      </c>
    </row>
    <row r="170" spans="2:11" hidden="1" outlineLevel="1">
      <c r="B170" s="78">
        <f t="shared" si="49"/>
        <v>48976</v>
      </c>
      <c r="C170" s="75">
        <v>99275.963836327195</v>
      </c>
      <c r="D170" s="71">
        <f>IF(F170&lt;&gt;0,VLOOKUP($J170,'Table 1'!$B$13:$C$33,2,FALSE)/12*1000*Study_MW,0)</f>
        <v>273653.78366050683</v>
      </c>
      <c r="E170" s="71">
        <f t="shared" si="50"/>
        <v>372929.74749683402</v>
      </c>
      <c r="F170" s="75">
        <v>11380.8833911</v>
      </c>
      <c r="G170" s="76">
        <f t="shared" si="51"/>
        <v>32.768084399183806</v>
      </c>
      <c r="I170" s="77">
        <f t="shared" si="48"/>
        <v>41</v>
      </c>
      <c r="J170" s="73">
        <f t="shared" si="52"/>
        <v>2034</v>
      </c>
      <c r="K170" s="78">
        <f t="shared" si="53"/>
        <v>48976</v>
      </c>
    </row>
    <row r="171" spans="2:11" hidden="1" outlineLevel="1">
      <c r="B171" s="78">
        <f t="shared" si="49"/>
        <v>49004</v>
      </c>
      <c r="C171" s="75">
        <v>130565.8079982847</v>
      </c>
      <c r="D171" s="71">
        <f>IF(F171&lt;&gt;0,VLOOKUP($J171,'Table 1'!$B$13:$C$33,2,FALSE)/12*1000*Study_MW,0)</f>
        <v>273653.78366050683</v>
      </c>
      <c r="E171" s="71">
        <f t="shared" si="50"/>
        <v>404219.59165879153</v>
      </c>
      <c r="F171" s="75">
        <v>15865.894582774999</v>
      </c>
      <c r="G171" s="76">
        <f t="shared" si="51"/>
        <v>25.477264427159213</v>
      </c>
      <c r="I171" s="77">
        <f t="shared" si="48"/>
        <v>42</v>
      </c>
      <c r="J171" s="73">
        <f t="shared" si="52"/>
        <v>2034</v>
      </c>
      <c r="K171" s="78">
        <f t="shared" si="53"/>
        <v>49004</v>
      </c>
    </row>
    <row r="172" spans="2:11" hidden="1" outlineLevel="1">
      <c r="B172" s="78">
        <f t="shared" si="49"/>
        <v>49035</v>
      </c>
      <c r="C172" s="75">
        <v>76115.413048177958</v>
      </c>
      <c r="D172" s="71">
        <f>IF(F172&lt;&gt;0,VLOOKUP($J172,'Table 1'!$B$13:$C$33,2,FALSE)/12*1000*Study_MW,0)</f>
        <v>273653.78366050683</v>
      </c>
      <c r="E172" s="71">
        <f t="shared" si="50"/>
        <v>349769.19670868479</v>
      </c>
      <c r="F172" s="75">
        <v>18807.094869730001</v>
      </c>
      <c r="G172" s="76">
        <f t="shared" si="51"/>
        <v>18.597725971576711</v>
      </c>
      <c r="I172" s="77">
        <f t="shared" si="48"/>
        <v>43</v>
      </c>
      <c r="J172" s="73">
        <f t="shared" si="52"/>
        <v>2034</v>
      </c>
      <c r="K172" s="78">
        <f t="shared" si="53"/>
        <v>49035</v>
      </c>
    </row>
    <row r="173" spans="2:11" hidden="1" outlineLevel="1">
      <c r="B173" s="78">
        <f t="shared" si="49"/>
        <v>49065</v>
      </c>
      <c r="C173" s="75">
        <v>125144.43992099166</v>
      </c>
      <c r="D173" s="71">
        <f>IF(F173&lt;&gt;0,VLOOKUP($J173,'Table 1'!$B$13:$C$33,2,FALSE)/12*1000*Study_MW,0)</f>
        <v>273653.78366050683</v>
      </c>
      <c r="E173" s="71">
        <f t="shared" si="50"/>
        <v>398798.22358149849</v>
      </c>
      <c r="F173" s="75">
        <v>25737.004681959999</v>
      </c>
      <c r="G173" s="76">
        <f t="shared" si="51"/>
        <v>15.495129620154696</v>
      </c>
      <c r="I173" s="77">
        <f t="shared" si="48"/>
        <v>44</v>
      </c>
      <c r="J173" s="73">
        <f t="shared" si="52"/>
        <v>2034</v>
      </c>
      <c r="K173" s="78">
        <f t="shared" si="53"/>
        <v>49065</v>
      </c>
    </row>
    <row r="174" spans="2:11" hidden="1" outlineLevel="1">
      <c r="B174" s="78">
        <f t="shared" si="49"/>
        <v>49096</v>
      </c>
      <c r="C174" s="75">
        <v>220563.3318041414</v>
      </c>
      <c r="D174" s="71">
        <f>IF(F174&lt;&gt;0,VLOOKUP($J174,'Table 1'!$B$13:$C$33,2,FALSE)/12*1000*Study_MW,0)</f>
        <v>273653.78366050683</v>
      </c>
      <c r="E174" s="71">
        <f t="shared" si="50"/>
        <v>494217.11546464823</v>
      </c>
      <c r="F174" s="75">
        <v>23579.699951993</v>
      </c>
      <c r="G174" s="76">
        <f t="shared" si="51"/>
        <v>20.95943190417383</v>
      </c>
      <c r="I174" s="77">
        <f t="shared" si="48"/>
        <v>45</v>
      </c>
      <c r="J174" s="73">
        <f t="shared" si="52"/>
        <v>2034</v>
      </c>
      <c r="K174" s="78">
        <f t="shared" si="53"/>
        <v>49096</v>
      </c>
    </row>
    <row r="175" spans="2:11" hidden="1" outlineLevel="1">
      <c r="B175" s="78">
        <f t="shared" si="49"/>
        <v>49126</v>
      </c>
      <c r="C175" s="75">
        <v>410723.78749242425</v>
      </c>
      <c r="D175" s="71">
        <f>IF(F175&lt;&gt;0,VLOOKUP($J175,'Table 1'!$B$13:$C$33,2,FALSE)/12*1000*Study_MW,0)</f>
        <v>273653.78366050683</v>
      </c>
      <c r="E175" s="71">
        <f t="shared" si="50"/>
        <v>684377.57115293108</v>
      </c>
      <c r="F175" s="75">
        <v>24051.736566759999</v>
      </c>
      <c r="G175" s="76">
        <f t="shared" si="51"/>
        <v>28.454393272324261</v>
      </c>
      <c r="I175" s="77">
        <f t="shared" si="48"/>
        <v>46</v>
      </c>
      <c r="J175" s="73">
        <f t="shared" si="52"/>
        <v>2034</v>
      </c>
      <c r="K175" s="78">
        <f t="shared" si="53"/>
        <v>49126</v>
      </c>
    </row>
    <row r="176" spans="2:11" hidden="1" outlineLevel="1">
      <c r="B176" s="78">
        <f t="shared" si="49"/>
        <v>49157</v>
      </c>
      <c r="C176" s="75">
        <v>404053.44588130713</v>
      </c>
      <c r="D176" s="71">
        <f>IF(F176&lt;&gt;0,VLOOKUP($J176,'Table 1'!$B$13:$C$33,2,FALSE)/12*1000*Study_MW,0)</f>
        <v>273653.78366050683</v>
      </c>
      <c r="E176" s="71">
        <f t="shared" si="50"/>
        <v>677707.22954181395</v>
      </c>
      <c r="F176" s="75">
        <v>21587.740711859002</v>
      </c>
      <c r="G176" s="76">
        <f t="shared" si="51"/>
        <v>31.393152187043015</v>
      </c>
      <c r="I176" s="77">
        <f t="shared" si="48"/>
        <v>47</v>
      </c>
      <c r="J176" s="73">
        <f t="shared" si="52"/>
        <v>2034</v>
      </c>
      <c r="K176" s="78">
        <f t="shared" si="53"/>
        <v>49157</v>
      </c>
    </row>
    <row r="177" spans="2:11" hidden="1" outlineLevel="1">
      <c r="B177" s="78">
        <f t="shared" si="49"/>
        <v>49188</v>
      </c>
      <c r="C177" s="75">
        <v>191568.86012634635</v>
      </c>
      <c r="D177" s="71">
        <f>IF(F177&lt;&gt;0,VLOOKUP($J177,'Table 1'!$B$13:$C$33,2,FALSE)/12*1000*Study_MW,0)</f>
        <v>273653.78366050683</v>
      </c>
      <c r="E177" s="71">
        <f t="shared" si="50"/>
        <v>465222.64378685318</v>
      </c>
      <c r="F177" s="75">
        <v>20598.23662344</v>
      </c>
      <c r="G177" s="76">
        <f t="shared" si="51"/>
        <v>22.585556826619214</v>
      </c>
      <c r="I177" s="77">
        <f t="shared" si="48"/>
        <v>48</v>
      </c>
      <c r="J177" s="73">
        <f t="shared" si="52"/>
        <v>2034</v>
      </c>
      <c r="K177" s="78">
        <f t="shared" si="53"/>
        <v>49188</v>
      </c>
    </row>
    <row r="178" spans="2:11" hidden="1" outlineLevel="1">
      <c r="B178" s="78">
        <f t="shared" si="49"/>
        <v>49218</v>
      </c>
      <c r="C178" s="75">
        <v>133443.25758332014</v>
      </c>
      <c r="D178" s="71">
        <f>IF(F178&lt;&gt;0,VLOOKUP($J178,'Table 1'!$B$13:$C$33,2,FALSE)/12*1000*Study_MW,0)</f>
        <v>273653.78366050683</v>
      </c>
      <c r="E178" s="71">
        <f t="shared" si="50"/>
        <v>407097.04124382697</v>
      </c>
      <c r="F178" s="75">
        <v>17210.724422724001</v>
      </c>
      <c r="G178" s="76">
        <f t="shared" si="51"/>
        <v>23.653684252030708</v>
      </c>
      <c r="I178" s="77">
        <f t="shared" si="48"/>
        <v>49</v>
      </c>
      <c r="J178" s="73">
        <f t="shared" si="52"/>
        <v>2034</v>
      </c>
      <c r="K178" s="78">
        <f t="shared" si="53"/>
        <v>49218</v>
      </c>
    </row>
    <row r="179" spans="2:11" hidden="1" outlineLevel="1">
      <c r="B179" s="78">
        <f t="shared" si="49"/>
        <v>49249</v>
      </c>
      <c r="C179" s="75">
        <v>120303.65613859892</v>
      </c>
      <c r="D179" s="71">
        <f>IF(F179&lt;&gt;0,VLOOKUP($J179,'Table 1'!$B$13:$C$33,2,FALSE)/12*1000*Study_MW,0)</f>
        <v>273653.78366050683</v>
      </c>
      <c r="E179" s="71">
        <f t="shared" si="50"/>
        <v>393957.43979910575</v>
      </c>
      <c r="F179" s="75">
        <v>12163.5928133</v>
      </c>
      <c r="G179" s="76">
        <f t="shared" si="51"/>
        <v>32.388246289233066</v>
      </c>
      <c r="I179" s="77">
        <f t="shared" si="48"/>
        <v>50</v>
      </c>
      <c r="J179" s="73">
        <f t="shared" si="52"/>
        <v>2034</v>
      </c>
      <c r="K179" s="78">
        <f t="shared" si="53"/>
        <v>49249</v>
      </c>
    </row>
    <row r="180" spans="2:11" hidden="1" outlineLevel="1">
      <c r="B180" s="82">
        <f t="shared" si="49"/>
        <v>49279</v>
      </c>
      <c r="C180" s="79">
        <v>116467.8000613004</v>
      </c>
      <c r="D180" s="80">
        <f>IF(F180&lt;&gt;0,VLOOKUP($J180,'Table 1'!$B$13:$C$33,2,FALSE)/12*1000*Study_MW,0)</f>
        <v>273653.78366050683</v>
      </c>
      <c r="E180" s="80">
        <f t="shared" si="50"/>
        <v>390121.58372180723</v>
      </c>
      <c r="F180" s="79">
        <v>8693.6185976699999</v>
      </c>
      <c r="G180" s="81">
        <f t="shared" si="51"/>
        <v>44.874476529987724</v>
      </c>
      <c r="I180" s="64">
        <f t="shared" si="48"/>
        <v>51</v>
      </c>
      <c r="J180" s="73">
        <f t="shared" si="52"/>
        <v>2034</v>
      </c>
      <c r="K180" s="82">
        <f t="shared" si="53"/>
        <v>49279</v>
      </c>
    </row>
    <row r="181" spans="2:11" outlineLevel="1" collapsed="1">
      <c r="B181" s="74">
        <f t="shared" si="49"/>
        <v>49310</v>
      </c>
      <c r="C181" s="69">
        <v>145496.44206182659</v>
      </c>
      <c r="D181" s="70">
        <f>IF(F181&lt;&gt;0,VLOOKUP($J181,'Table 1'!$B$13:$C$33,2,FALSE)/12*1000*Study_MW,0)</f>
        <v>279940.00473682035</v>
      </c>
      <c r="E181" s="70">
        <f t="shared" si="50"/>
        <v>425436.44679864694</v>
      </c>
      <c r="F181" s="69">
        <v>11610.055542829999</v>
      </c>
      <c r="G181" s="72">
        <f t="shared" si="51"/>
        <v>36.643790826770243</v>
      </c>
      <c r="I181" s="60">
        <f>I61</f>
        <v>53</v>
      </c>
      <c r="J181" s="73">
        <f t="shared" si="52"/>
        <v>2035</v>
      </c>
      <c r="K181" s="74">
        <f t="shared" si="53"/>
        <v>49310</v>
      </c>
    </row>
    <row r="182" spans="2:11" outlineLevel="1">
      <c r="B182" s="78">
        <f t="shared" si="49"/>
        <v>49341</v>
      </c>
      <c r="C182" s="75">
        <v>127133.09100677073</v>
      </c>
      <c r="D182" s="71">
        <f>IF(F182&lt;&gt;0,VLOOKUP($J182,'Table 1'!$B$13:$C$33,2,FALSE)/12*1000*Study_MW,0)</f>
        <v>279940.00473682035</v>
      </c>
      <c r="E182" s="71">
        <f t="shared" si="50"/>
        <v>407073.09574359108</v>
      </c>
      <c r="F182" s="75">
        <v>11323.978923119999</v>
      </c>
      <c r="G182" s="76">
        <f t="shared" si="51"/>
        <v>35.947885324342664</v>
      </c>
      <c r="I182" s="77">
        <f t="shared" si="48"/>
        <v>54</v>
      </c>
      <c r="J182" s="73">
        <f t="shared" si="52"/>
        <v>2035</v>
      </c>
      <c r="K182" s="78">
        <f t="shared" si="53"/>
        <v>49341</v>
      </c>
    </row>
    <row r="183" spans="2:11" outlineLevel="1">
      <c r="B183" s="78">
        <f t="shared" si="49"/>
        <v>49369</v>
      </c>
      <c r="C183" s="75">
        <v>135349.9559289217</v>
      </c>
      <c r="D183" s="71">
        <f>IF(F183&lt;&gt;0,VLOOKUP($J183,'Table 1'!$B$13:$C$33,2,FALSE)/12*1000*Study_MW,0)</f>
        <v>279940.00473682035</v>
      </c>
      <c r="E183" s="71">
        <f t="shared" si="50"/>
        <v>415289.96066574205</v>
      </c>
      <c r="F183" s="75">
        <v>15786.565177009999</v>
      </c>
      <c r="G183" s="76">
        <f t="shared" si="51"/>
        <v>26.306543317638816</v>
      </c>
      <c r="I183" s="77">
        <f t="shared" si="48"/>
        <v>55</v>
      </c>
      <c r="J183" s="73">
        <f t="shared" si="52"/>
        <v>2035</v>
      </c>
      <c r="K183" s="78">
        <f t="shared" si="53"/>
        <v>49369</v>
      </c>
    </row>
    <row r="184" spans="2:11" outlineLevel="1">
      <c r="B184" s="78">
        <f t="shared" si="49"/>
        <v>49400</v>
      </c>
      <c r="C184" s="75">
        <v>82173.294627279043</v>
      </c>
      <c r="D184" s="71">
        <f>IF(F184&lt;&gt;0,VLOOKUP($J184,'Table 1'!$B$13:$C$33,2,FALSE)/12*1000*Study_MW,0)</f>
        <v>279940.00473682035</v>
      </c>
      <c r="E184" s="71">
        <f t="shared" si="50"/>
        <v>362113.2993640994</v>
      </c>
      <c r="F184" s="75">
        <v>18713.059043503999</v>
      </c>
      <c r="G184" s="76">
        <f t="shared" si="51"/>
        <v>19.350834009675314</v>
      </c>
      <c r="I184" s="77">
        <f t="shared" si="48"/>
        <v>56</v>
      </c>
      <c r="J184" s="73">
        <f t="shared" si="52"/>
        <v>2035</v>
      </c>
      <c r="K184" s="78">
        <f t="shared" si="53"/>
        <v>49400</v>
      </c>
    </row>
    <row r="185" spans="2:11" outlineLevel="1">
      <c r="B185" s="78">
        <f t="shared" si="49"/>
        <v>49430</v>
      </c>
      <c r="C185" s="75">
        <v>116906.70265704393</v>
      </c>
      <c r="D185" s="71">
        <f>IF(F185&lt;&gt;0,VLOOKUP($J185,'Table 1'!$B$13:$C$33,2,FALSE)/12*1000*Study_MW,0)</f>
        <v>279940.00473682035</v>
      </c>
      <c r="E185" s="71">
        <f t="shared" si="50"/>
        <v>396846.70739386429</v>
      </c>
      <c r="F185" s="75">
        <v>25608.31878577</v>
      </c>
      <c r="G185" s="76">
        <f t="shared" si="51"/>
        <v>15.496788786243304</v>
      </c>
      <c r="I185" s="77">
        <f t="shared" si="48"/>
        <v>57</v>
      </c>
      <c r="J185" s="73">
        <f t="shared" si="52"/>
        <v>2035</v>
      </c>
      <c r="K185" s="78">
        <f t="shared" si="53"/>
        <v>49430</v>
      </c>
    </row>
    <row r="186" spans="2:11" outlineLevel="1">
      <c r="B186" s="78">
        <f t="shared" si="49"/>
        <v>49461</v>
      </c>
      <c r="C186" s="75">
        <v>205695.6707765013</v>
      </c>
      <c r="D186" s="71">
        <f>IF(F186&lt;&gt;0,VLOOKUP($J186,'Table 1'!$B$13:$C$33,2,FALSE)/12*1000*Study_MW,0)</f>
        <v>279940.00473682035</v>
      </c>
      <c r="E186" s="71">
        <f t="shared" si="50"/>
        <v>485635.67551332165</v>
      </c>
      <c r="F186" s="75">
        <v>23461.801485012998</v>
      </c>
      <c r="G186" s="76">
        <f t="shared" si="51"/>
        <v>20.698993460648683</v>
      </c>
      <c r="I186" s="77">
        <f t="shared" si="48"/>
        <v>58</v>
      </c>
      <c r="J186" s="73">
        <f t="shared" si="52"/>
        <v>2035</v>
      </c>
      <c r="K186" s="78">
        <f t="shared" si="53"/>
        <v>49461</v>
      </c>
    </row>
    <row r="187" spans="2:11" outlineLevel="1">
      <c r="B187" s="78">
        <f t="shared" si="49"/>
        <v>49491</v>
      </c>
      <c r="C187" s="75">
        <v>425740.18115362525</v>
      </c>
      <c r="D187" s="71">
        <f>IF(F187&lt;&gt;0,VLOOKUP($J187,'Table 1'!$B$13:$C$33,2,FALSE)/12*1000*Study_MW,0)</f>
        <v>279940.00473682035</v>
      </c>
      <c r="E187" s="71">
        <f t="shared" si="50"/>
        <v>705680.1858904456</v>
      </c>
      <c r="F187" s="75">
        <v>23931.47732115</v>
      </c>
      <c r="G187" s="76">
        <f t="shared" si="51"/>
        <v>29.487531271911255</v>
      </c>
      <c r="I187" s="77">
        <f t="shared" si="48"/>
        <v>59</v>
      </c>
      <c r="J187" s="73">
        <f t="shared" si="52"/>
        <v>2035</v>
      </c>
      <c r="K187" s="78">
        <f t="shared" si="53"/>
        <v>49491</v>
      </c>
    </row>
    <row r="188" spans="2:11" outlineLevel="1">
      <c r="B188" s="78">
        <f t="shared" si="49"/>
        <v>49522</v>
      </c>
      <c r="C188" s="75">
        <v>419851.84217816591</v>
      </c>
      <c r="D188" s="71">
        <f>IF(F188&lt;&gt;0,VLOOKUP($J188,'Table 1'!$B$13:$C$33,2,FALSE)/12*1000*Study_MW,0)</f>
        <v>279940.00473682035</v>
      </c>
      <c r="E188" s="71">
        <f t="shared" si="50"/>
        <v>699791.84691498626</v>
      </c>
      <c r="F188" s="75">
        <v>21479.802173897999</v>
      </c>
      <c r="G188" s="76">
        <f t="shared" si="51"/>
        <v>32.579063868910538</v>
      </c>
      <c r="I188" s="77">
        <f t="shared" si="48"/>
        <v>60</v>
      </c>
      <c r="J188" s="73">
        <f t="shared" si="52"/>
        <v>2035</v>
      </c>
      <c r="K188" s="78">
        <f t="shared" si="53"/>
        <v>49522</v>
      </c>
    </row>
    <row r="189" spans="2:11" outlineLevel="1">
      <c r="B189" s="78">
        <f t="shared" si="49"/>
        <v>49553</v>
      </c>
      <c r="C189" s="75">
        <v>188763.9459066987</v>
      </c>
      <c r="D189" s="71">
        <f>IF(F189&lt;&gt;0,VLOOKUP($J189,'Table 1'!$B$13:$C$33,2,FALSE)/12*1000*Study_MW,0)</f>
        <v>279940.00473682035</v>
      </c>
      <c r="E189" s="71">
        <f t="shared" si="50"/>
        <v>468703.95064351906</v>
      </c>
      <c r="F189" s="75">
        <v>20495.245351279998</v>
      </c>
      <c r="G189" s="76">
        <f t="shared" si="51"/>
        <v>22.868911428486356</v>
      </c>
      <c r="I189" s="77">
        <f t="shared" si="48"/>
        <v>61</v>
      </c>
      <c r="J189" s="73">
        <f t="shared" si="52"/>
        <v>2035</v>
      </c>
      <c r="K189" s="78">
        <f t="shared" si="53"/>
        <v>49553</v>
      </c>
    </row>
    <row r="190" spans="2:11" outlineLevel="1">
      <c r="B190" s="78">
        <f t="shared" si="49"/>
        <v>49583</v>
      </c>
      <c r="C190" s="75">
        <v>136028.03704828024</v>
      </c>
      <c r="D190" s="71">
        <f>IF(F190&lt;&gt;0,VLOOKUP($J190,'Table 1'!$B$13:$C$33,2,FALSE)/12*1000*Study_MW,0)</f>
        <v>279940.00473682035</v>
      </c>
      <c r="E190" s="71">
        <f t="shared" si="50"/>
        <v>415968.04178510059</v>
      </c>
      <c r="F190" s="75">
        <v>17124.671238112001</v>
      </c>
      <c r="G190" s="76">
        <f t="shared" si="51"/>
        <v>24.290570954690114</v>
      </c>
      <c r="I190" s="77">
        <f t="shared" si="48"/>
        <v>62</v>
      </c>
      <c r="J190" s="73">
        <f t="shared" si="52"/>
        <v>2035</v>
      </c>
      <c r="K190" s="78">
        <f t="shared" si="53"/>
        <v>49583</v>
      </c>
    </row>
    <row r="191" spans="2:11" outlineLevel="1">
      <c r="B191" s="78">
        <f t="shared" si="49"/>
        <v>49614</v>
      </c>
      <c r="C191" s="75">
        <v>132457.70893912017</v>
      </c>
      <c r="D191" s="71">
        <f>IF(F191&lt;&gt;0,VLOOKUP($J191,'Table 1'!$B$13:$C$33,2,FALSE)/12*1000*Study_MW,0)</f>
        <v>279940.00473682035</v>
      </c>
      <c r="E191" s="71">
        <f t="shared" si="50"/>
        <v>412397.71367594053</v>
      </c>
      <c r="F191" s="75">
        <v>12102.774846099999</v>
      </c>
      <c r="G191" s="76">
        <f t="shared" si="51"/>
        <v>34.074641470243634</v>
      </c>
      <c r="I191" s="77">
        <f t="shared" si="48"/>
        <v>63</v>
      </c>
      <c r="J191" s="73">
        <f t="shared" si="52"/>
        <v>2035</v>
      </c>
      <c r="K191" s="78">
        <f t="shared" si="53"/>
        <v>49614</v>
      </c>
    </row>
    <row r="192" spans="2:11" outlineLevel="1">
      <c r="B192" s="82">
        <f t="shared" si="49"/>
        <v>49644</v>
      </c>
      <c r="C192" s="79">
        <v>113619.97102299333</v>
      </c>
      <c r="D192" s="80">
        <f>IF(F192&lt;&gt;0,VLOOKUP($J192,'Table 1'!$B$13:$C$33,2,FALSE)/12*1000*Study_MW,0)</f>
        <v>279940.00473682035</v>
      </c>
      <c r="E192" s="80">
        <f t="shared" si="50"/>
        <v>393559.97575981368</v>
      </c>
      <c r="F192" s="79">
        <v>8650.1504937000009</v>
      </c>
      <c r="G192" s="81">
        <f t="shared" si="51"/>
        <v>45.49747152335069</v>
      </c>
      <c r="I192" s="64">
        <f t="shared" si="48"/>
        <v>64</v>
      </c>
      <c r="J192" s="73">
        <f t="shared" si="52"/>
        <v>2035</v>
      </c>
      <c r="K192" s="82">
        <f t="shared" si="53"/>
        <v>49644</v>
      </c>
    </row>
    <row r="193" spans="2:20" hidden="1">
      <c r="B193" s="74">
        <f t="shared" si="49"/>
        <v>49675</v>
      </c>
      <c r="C193" s="69">
        <v>138181.41512191296</v>
      </c>
      <c r="D193" s="70">
        <f>IF(F193&lt;&gt;0,VLOOKUP($J193,'Table 1'!$B$13:$C$33,2,FALSE)/12*1000*Study_MW,0)</f>
        <v>286369.63770080637</v>
      </c>
      <c r="E193" s="70">
        <f t="shared" ref="E193:E216" si="54">C193+D193</f>
        <v>424551.05282271933</v>
      </c>
      <c r="F193" s="69">
        <v>11552.0052485</v>
      </c>
      <c r="G193" s="72">
        <f t="shared" ref="G193:G216" si="55">IF(ISNUMBER($F193),E193/$F193,"")</f>
        <v>36.751286351592185</v>
      </c>
      <c r="I193" s="60">
        <f>I73</f>
        <v>66</v>
      </c>
      <c r="J193" s="73">
        <f t="shared" ref="J193:J228" si="56">YEAR(B193)</f>
        <v>2036</v>
      </c>
      <c r="K193" s="74">
        <f t="shared" ref="K193:K228" si="57">IF(ISNUMBER(F193),IF(F193&lt;&gt;0,B193,""),"")</f>
        <v>49675</v>
      </c>
      <c r="M193" s="41">
        <v>2.3E-2</v>
      </c>
    </row>
    <row r="194" spans="2:20" hidden="1">
      <c r="B194" s="78">
        <f t="shared" si="49"/>
        <v>49706</v>
      </c>
      <c r="C194" s="75">
        <v>121480.40973499417</v>
      </c>
      <c r="D194" s="71">
        <f>IF(F194&lt;&gt;0,VLOOKUP($J194,'Table 1'!$B$13:$C$33,2,FALSE)/12*1000*Study_MW,0)</f>
        <v>286369.63770080637</v>
      </c>
      <c r="E194" s="71">
        <f t="shared" si="54"/>
        <v>407850.04743580054</v>
      </c>
      <c r="F194" s="75">
        <v>11830.890161702</v>
      </c>
      <c r="G194" s="76">
        <f t="shared" si="55"/>
        <v>34.473318732690096</v>
      </c>
      <c r="I194" s="77">
        <f t="shared" si="48"/>
        <v>67</v>
      </c>
      <c r="J194" s="73">
        <f t="shared" si="56"/>
        <v>2036</v>
      </c>
      <c r="K194" s="78">
        <f t="shared" si="57"/>
        <v>49706</v>
      </c>
      <c r="M194" s="41">
        <v>2.3E-2</v>
      </c>
    </row>
    <row r="195" spans="2:20" hidden="1">
      <c r="B195" s="78">
        <f t="shared" si="49"/>
        <v>49735</v>
      </c>
      <c r="C195" s="75">
        <v>154576.25791727006</v>
      </c>
      <c r="D195" s="71">
        <f>IF(F195&lt;&gt;0,VLOOKUP($J195,'Table 1'!$B$13:$C$33,2,FALSE)/12*1000*Study_MW,0)</f>
        <v>286369.63770080637</v>
      </c>
      <c r="E195" s="71">
        <f t="shared" si="54"/>
        <v>440945.89561807644</v>
      </c>
      <c r="F195" s="75">
        <v>15707.63226472</v>
      </c>
      <c r="G195" s="76">
        <f t="shared" si="55"/>
        <v>28.072079113314832</v>
      </c>
      <c r="I195" s="77">
        <f t="shared" si="48"/>
        <v>68</v>
      </c>
      <c r="J195" s="73">
        <f t="shared" si="56"/>
        <v>2036</v>
      </c>
      <c r="K195" s="78">
        <f t="shared" si="57"/>
        <v>49735</v>
      </c>
      <c r="M195" s="41">
        <v>2.3E-2</v>
      </c>
    </row>
    <row r="196" spans="2:20" hidden="1">
      <c r="B196" s="78">
        <f t="shared" si="49"/>
        <v>49766</v>
      </c>
      <c r="C196" s="75">
        <v>105542.31927612424</v>
      </c>
      <c r="D196" s="71">
        <f>IF(F196&lt;&gt;0,VLOOKUP($J196,'Table 1'!$B$13:$C$33,2,FALSE)/12*1000*Study_MW,0)</f>
        <v>286369.63770080637</v>
      </c>
      <c r="E196" s="71">
        <f t="shared" si="54"/>
        <v>391911.95697693061</v>
      </c>
      <c r="F196" s="75">
        <v>18619.494058830001</v>
      </c>
      <c r="G196" s="76">
        <f t="shared" si="55"/>
        <v>21.048475094900475</v>
      </c>
      <c r="I196" s="77">
        <f t="shared" si="48"/>
        <v>69</v>
      </c>
      <c r="J196" s="73">
        <f t="shared" si="56"/>
        <v>2036</v>
      </c>
      <c r="K196" s="78">
        <f t="shared" si="57"/>
        <v>49766</v>
      </c>
      <c r="M196" s="41">
        <v>2.3E-2</v>
      </c>
    </row>
    <row r="197" spans="2:20" hidden="1">
      <c r="B197" s="78">
        <f t="shared" si="49"/>
        <v>49796</v>
      </c>
      <c r="C197" s="75">
        <v>127976.52946376801</v>
      </c>
      <c r="D197" s="71">
        <f>IF(F197&lt;&gt;0,VLOOKUP($J197,'Table 1'!$B$13:$C$33,2,FALSE)/12*1000*Study_MW,0)</f>
        <v>286369.63770080637</v>
      </c>
      <c r="E197" s="71">
        <f t="shared" si="54"/>
        <v>414346.16716457438</v>
      </c>
      <c r="F197" s="75">
        <v>25480.277655009999</v>
      </c>
      <c r="G197" s="76">
        <f t="shared" si="55"/>
        <v>16.261446314463711</v>
      </c>
      <c r="I197" s="77">
        <f t="shared" si="48"/>
        <v>70</v>
      </c>
      <c r="J197" s="73">
        <f t="shared" si="56"/>
        <v>2036</v>
      </c>
      <c r="K197" s="78">
        <f t="shared" si="57"/>
        <v>49796</v>
      </c>
      <c r="M197" s="41">
        <v>2.3E-2</v>
      </c>
    </row>
    <row r="198" spans="2:20" hidden="1">
      <c r="B198" s="78">
        <f t="shared" si="49"/>
        <v>49827</v>
      </c>
      <c r="C198" s="75">
        <v>240629.86186884344</v>
      </c>
      <c r="D198" s="71">
        <f>IF(F198&lt;&gt;0,VLOOKUP($J198,'Table 1'!$B$13:$C$33,2,FALSE)/12*1000*Study_MW,0)</f>
        <v>286369.63770080637</v>
      </c>
      <c r="E198" s="71">
        <f t="shared" si="54"/>
        <v>526999.49956964981</v>
      </c>
      <c r="F198" s="75">
        <v>23344.492532676999</v>
      </c>
      <c r="G198" s="76">
        <f t="shared" si="55"/>
        <v>22.574896362898869</v>
      </c>
      <c r="I198" s="77">
        <f t="shared" ref="I198:I204" si="58">I78</f>
        <v>71</v>
      </c>
      <c r="J198" s="73">
        <f t="shared" si="56"/>
        <v>2036</v>
      </c>
      <c r="K198" s="78">
        <f t="shared" si="57"/>
        <v>49827</v>
      </c>
      <c r="M198" s="41">
        <v>2.3E-2</v>
      </c>
    </row>
    <row r="199" spans="2:20" hidden="1">
      <c r="B199" s="78">
        <f t="shared" si="49"/>
        <v>49857</v>
      </c>
      <c r="C199" s="75">
        <v>485178.5098465085</v>
      </c>
      <c r="D199" s="71">
        <f>IF(F199&lt;&gt;0,VLOOKUP($J199,'Table 1'!$B$13:$C$33,2,FALSE)/12*1000*Study_MW,0)</f>
        <v>286369.63770080637</v>
      </c>
      <c r="E199" s="71">
        <f t="shared" si="54"/>
        <v>771548.14754731487</v>
      </c>
      <c r="F199" s="75">
        <v>23811.820131764998</v>
      </c>
      <c r="G199" s="76">
        <f t="shared" si="55"/>
        <v>32.401897178707003</v>
      </c>
      <c r="I199" s="77">
        <f t="shared" si="58"/>
        <v>72</v>
      </c>
      <c r="J199" s="73">
        <f t="shared" si="56"/>
        <v>2036</v>
      </c>
      <c r="K199" s="78">
        <f t="shared" si="57"/>
        <v>49857</v>
      </c>
      <c r="M199" s="41">
        <v>2.3E-2</v>
      </c>
    </row>
    <row r="200" spans="2:20" hidden="1">
      <c r="B200" s="78">
        <f t="shared" si="49"/>
        <v>49888</v>
      </c>
      <c r="C200" s="75">
        <v>498632.0101391077</v>
      </c>
      <c r="D200" s="71">
        <f>IF(F200&lt;&gt;0,VLOOKUP($J200,'Table 1'!$B$13:$C$33,2,FALSE)/12*1000*Study_MW,0)</f>
        <v>286369.63770080637</v>
      </c>
      <c r="E200" s="71">
        <f t="shared" si="54"/>
        <v>785001.64783991408</v>
      </c>
      <c r="F200" s="75">
        <v>21372.403470825</v>
      </c>
      <c r="G200" s="76">
        <f t="shared" si="55"/>
        <v>36.729685031049627</v>
      </c>
      <c r="I200" s="77">
        <f t="shared" si="58"/>
        <v>73</v>
      </c>
      <c r="J200" s="73">
        <f t="shared" si="56"/>
        <v>2036</v>
      </c>
      <c r="K200" s="78">
        <f t="shared" si="57"/>
        <v>49888</v>
      </c>
      <c r="M200" s="41">
        <v>2.3E-2</v>
      </c>
    </row>
    <row r="201" spans="2:20" hidden="1">
      <c r="B201" s="78">
        <f t="shared" si="49"/>
        <v>49919</v>
      </c>
      <c r="C201" s="75">
        <v>240719.25422221422</v>
      </c>
      <c r="D201" s="71">
        <f>IF(F201&lt;&gt;0,VLOOKUP($J201,'Table 1'!$B$13:$C$33,2,FALSE)/12*1000*Study_MW,0)</f>
        <v>286369.63770080637</v>
      </c>
      <c r="E201" s="71">
        <f t="shared" si="54"/>
        <v>527088.89192302059</v>
      </c>
      <c r="F201" s="75">
        <v>20392.769206879999</v>
      </c>
      <c r="G201" s="76">
        <f t="shared" si="55"/>
        <v>25.846852213930529</v>
      </c>
      <c r="I201" s="77">
        <f t="shared" si="58"/>
        <v>74</v>
      </c>
      <c r="J201" s="73">
        <f t="shared" si="56"/>
        <v>2036</v>
      </c>
      <c r="K201" s="78">
        <f t="shared" si="57"/>
        <v>49919</v>
      </c>
      <c r="M201" s="41">
        <v>2.3E-2</v>
      </c>
    </row>
    <row r="202" spans="2:20" hidden="1">
      <c r="B202" s="78">
        <f t="shared" si="49"/>
        <v>49949</v>
      </c>
      <c r="C202" s="75">
        <v>163502.62198920548</v>
      </c>
      <c r="D202" s="71">
        <f>IF(F202&lt;&gt;0,VLOOKUP($J202,'Table 1'!$B$13:$C$33,2,FALSE)/12*1000*Study_MW,0)</f>
        <v>286369.63770080637</v>
      </c>
      <c r="E202" s="71">
        <f t="shared" si="54"/>
        <v>449872.25969001185</v>
      </c>
      <c r="F202" s="75">
        <v>17039.047428550999</v>
      </c>
      <c r="G202" s="76">
        <f t="shared" si="55"/>
        <v>26.402430157932191</v>
      </c>
      <c r="I202" s="77">
        <f t="shared" si="58"/>
        <v>75</v>
      </c>
      <c r="J202" s="73">
        <f t="shared" si="56"/>
        <v>2036</v>
      </c>
      <c r="K202" s="78">
        <f t="shared" si="57"/>
        <v>49949</v>
      </c>
      <c r="M202" s="41">
        <v>2.3E-2</v>
      </c>
    </row>
    <row r="203" spans="2:20" hidden="1">
      <c r="B203" s="78">
        <f t="shared" si="49"/>
        <v>49980</v>
      </c>
      <c r="C203" s="75">
        <v>163934.56224365532</v>
      </c>
      <c r="D203" s="71">
        <f>IF(F203&lt;&gt;0,VLOOKUP($J203,'Table 1'!$B$13:$C$33,2,FALSE)/12*1000*Study_MW,0)</f>
        <v>286369.63770080637</v>
      </c>
      <c r="E203" s="71">
        <f t="shared" si="54"/>
        <v>450304.1999444617</v>
      </c>
      <c r="F203" s="75">
        <v>12042.260953000001</v>
      </c>
      <c r="G203" s="76">
        <f t="shared" si="55"/>
        <v>37.393659023165469</v>
      </c>
      <c r="I203" s="77">
        <f t="shared" si="58"/>
        <v>76</v>
      </c>
      <c r="J203" s="73">
        <f t="shared" si="56"/>
        <v>2036</v>
      </c>
      <c r="K203" s="78">
        <f t="shared" si="57"/>
        <v>49980</v>
      </c>
      <c r="M203" s="41">
        <v>2.3E-2</v>
      </c>
    </row>
    <row r="204" spans="2:20" hidden="1">
      <c r="B204" s="82">
        <f t="shared" si="49"/>
        <v>50010</v>
      </c>
      <c r="C204" s="79">
        <v>137022.40605589747</v>
      </c>
      <c r="D204" s="80">
        <f>IF(F204&lt;&gt;0,VLOOKUP($J204,'Table 1'!$B$13:$C$33,2,FALSE)/12*1000*Study_MW,0)</f>
        <v>286369.63770080637</v>
      </c>
      <c r="E204" s="80">
        <f t="shared" si="54"/>
        <v>423392.04375670385</v>
      </c>
      <c r="F204" s="79">
        <v>8606.8997724199999</v>
      </c>
      <c r="G204" s="81">
        <f t="shared" si="55"/>
        <v>49.192166163410405</v>
      </c>
      <c r="I204" s="64">
        <f t="shared" si="58"/>
        <v>77</v>
      </c>
      <c r="J204" s="73">
        <f t="shared" si="56"/>
        <v>2036</v>
      </c>
      <c r="K204" s="82">
        <f t="shared" si="57"/>
        <v>50010</v>
      </c>
      <c r="M204" s="41">
        <v>2.3E-2</v>
      </c>
    </row>
    <row r="205" spans="2:20" hidden="1" outlineLevel="1">
      <c r="B205" s="74">
        <f t="shared" si="49"/>
        <v>50041</v>
      </c>
      <c r="C205" s="69">
        <v>177168.5935524106</v>
      </c>
      <c r="D205" s="70">
        <f>IF(F205&lt;&gt;0,VLOOKUP($J205,'Table 1'!$B$13:$C$33,2,FALSE)/12*1000*Study_MW,0)</f>
        <v>292966.58453374379</v>
      </c>
      <c r="E205" s="70">
        <f t="shared" si="54"/>
        <v>470135.1780861544</v>
      </c>
      <c r="F205" s="69">
        <v>11494.245248929999</v>
      </c>
      <c r="G205" s="72">
        <f t="shared" si="55"/>
        <v>40.901787625413625</v>
      </c>
      <c r="I205" s="60">
        <f>I85</f>
        <v>79</v>
      </c>
      <c r="J205" s="73">
        <f t="shared" si="56"/>
        <v>2037</v>
      </c>
      <c r="K205" s="74">
        <f t="shared" si="57"/>
        <v>50041</v>
      </c>
      <c r="M205" s="41">
        <v>2.3E-2</v>
      </c>
      <c r="T205" s="173"/>
    </row>
    <row r="206" spans="2:20" hidden="1" outlineLevel="1">
      <c r="B206" s="78">
        <f t="shared" ref="B206:B228" si="59">EDATE(B205,1)</f>
        <v>50072</v>
      </c>
      <c r="C206" s="75">
        <v>156732.60441717505</v>
      </c>
      <c r="D206" s="71">
        <f>IF(F206&lt;&gt;0,VLOOKUP($J206,'Table 1'!$B$13:$C$33,2,FALSE)/12*1000*Study_MW,0)</f>
        <v>292966.58453374379</v>
      </c>
      <c r="E206" s="71">
        <f t="shared" si="54"/>
        <v>449699.18895091885</v>
      </c>
      <c r="F206" s="75">
        <v>11211.0222466</v>
      </c>
      <c r="G206" s="76">
        <f t="shared" si="55"/>
        <v>40.112237676390343</v>
      </c>
      <c r="I206" s="77">
        <f t="shared" ref="I206:I216" si="60">I86</f>
        <v>80</v>
      </c>
      <c r="J206" s="73">
        <f t="shared" si="56"/>
        <v>2037</v>
      </c>
      <c r="K206" s="78">
        <f t="shared" si="57"/>
        <v>50072</v>
      </c>
      <c r="M206" s="41">
        <v>2.3E-2</v>
      </c>
      <c r="T206" s="173"/>
    </row>
    <row r="207" spans="2:20" hidden="1" outlineLevel="1">
      <c r="B207" s="78">
        <f t="shared" si="59"/>
        <v>50100</v>
      </c>
      <c r="C207" s="75">
        <v>163401.8088940829</v>
      </c>
      <c r="D207" s="71">
        <f>IF(F207&lt;&gt;0,VLOOKUP($J207,'Table 1'!$B$13:$C$33,2,FALSE)/12*1000*Study_MW,0)</f>
        <v>292966.58453374379</v>
      </c>
      <c r="E207" s="71">
        <f t="shared" si="54"/>
        <v>456368.3934278267</v>
      </c>
      <c r="F207" s="75">
        <v>15629.09390206</v>
      </c>
      <c r="G207" s="76">
        <f t="shared" si="55"/>
        <v>29.199926514465105</v>
      </c>
      <c r="I207" s="77">
        <f t="shared" si="60"/>
        <v>81</v>
      </c>
      <c r="J207" s="73">
        <f t="shared" si="56"/>
        <v>2037</v>
      </c>
      <c r="K207" s="78">
        <f t="shared" si="57"/>
        <v>50100</v>
      </c>
      <c r="M207" s="41">
        <v>2.3E-2</v>
      </c>
      <c r="T207" s="173"/>
    </row>
    <row r="208" spans="2:20" hidden="1" outlineLevel="1">
      <c r="B208" s="78">
        <f t="shared" si="59"/>
        <v>50131</v>
      </c>
      <c r="C208" s="75">
        <v>120877.29832717776</v>
      </c>
      <c r="D208" s="71">
        <f>IF(F208&lt;&gt;0,VLOOKUP($J208,'Table 1'!$B$13:$C$33,2,FALSE)/12*1000*Study_MW,0)</f>
        <v>292966.58453374379</v>
      </c>
      <c r="E208" s="71">
        <f t="shared" si="54"/>
        <v>413843.88286092156</v>
      </c>
      <c r="F208" s="75">
        <v>18526.396487059999</v>
      </c>
      <c r="G208" s="76">
        <f t="shared" si="55"/>
        <v>22.338066830750176</v>
      </c>
      <c r="I208" s="77">
        <f t="shared" si="60"/>
        <v>82</v>
      </c>
      <c r="J208" s="73">
        <f t="shared" si="56"/>
        <v>2037</v>
      </c>
      <c r="K208" s="78">
        <f t="shared" si="57"/>
        <v>50131</v>
      </c>
      <c r="M208" s="41">
        <v>2.3E-2</v>
      </c>
      <c r="T208" s="173"/>
    </row>
    <row r="209" spans="2:20" hidden="1" outlineLevel="1">
      <c r="B209" s="78">
        <f t="shared" si="59"/>
        <v>50161</v>
      </c>
      <c r="C209" s="75">
        <v>133357.94562251866</v>
      </c>
      <c r="D209" s="71">
        <f>IF(F209&lt;&gt;0,VLOOKUP($J209,'Table 1'!$B$13:$C$33,2,FALSE)/12*1000*Study_MW,0)</f>
        <v>292966.58453374379</v>
      </c>
      <c r="E209" s="71">
        <f t="shared" si="54"/>
        <v>426324.53015626245</v>
      </c>
      <c r="F209" s="75">
        <v>25352.87580329</v>
      </c>
      <c r="G209" s="76">
        <f t="shared" si="55"/>
        <v>16.815628075649666</v>
      </c>
      <c r="I209" s="77">
        <f t="shared" si="60"/>
        <v>83</v>
      </c>
      <c r="J209" s="73">
        <f t="shared" si="56"/>
        <v>2037</v>
      </c>
      <c r="K209" s="78">
        <f t="shared" si="57"/>
        <v>50161</v>
      </c>
      <c r="M209" s="41">
        <v>2.3E-2</v>
      </c>
      <c r="T209" s="173"/>
    </row>
    <row r="210" spans="2:20" hidden="1" outlineLevel="1">
      <c r="B210" s="78">
        <f t="shared" si="59"/>
        <v>50192</v>
      </c>
      <c r="C210" s="75">
        <v>263063.39637166262</v>
      </c>
      <c r="D210" s="71">
        <f>IF(F210&lt;&gt;0,VLOOKUP($J210,'Table 1'!$B$13:$C$33,2,FALSE)/12*1000*Study_MW,0)</f>
        <v>292966.58453374379</v>
      </c>
      <c r="E210" s="71">
        <f t="shared" si="54"/>
        <v>556029.98090540641</v>
      </c>
      <c r="F210" s="75">
        <v>23227.770021585002</v>
      </c>
      <c r="G210" s="76">
        <f t="shared" si="55"/>
        <v>23.938155939580135</v>
      </c>
      <c r="I210" s="77">
        <f t="shared" si="60"/>
        <v>84</v>
      </c>
      <c r="J210" s="73">
        <f t="shared" si="56"/>
        <v>2037</v>
      </c>
      <c r="K210" s="78">
        <f t="shared" si="57"/>
        <v>50192</v>
      </c>
      <c r="M210" s="41">
        <v>2.3E-2</v>
      </c>
      <c r="T210" s="173"/>
    </row>
    <row r="211" spans="2:20" hidden="1" outlineLevel="1">
      <c r="B211" s="78">
        <f t="shared" si="59"/>
        <v>50222</v>
      </c>
      <c r="C211" s="75">
        <v>486183.37972307205</v>
      </c>
      <c r="D211" s="71">
        <f>IF(F211&lt;&gt;0,VLOOKUP($J211,'Table 1'!$B$13:$C$33,2,FALSE)/12*1000*Study_MW,0)</f>
        <v>292966.58453374379</v>
      </c>
      <c r="E211" s="71">
        <f t="shared" si="54"/>
        <v>779149.96425681585</v>
      </c>
      <c r="F211" s="75">
        <v>23692.760910469999</v>
      </c>
      <c r="G211" s="76">
        <f t="shared" si="55"/>
        <v>32.885570710862318</v>
      </c>
      <c r="I211" s="77">
        <f t="shared" si="60"/>
        <v>85</v>
      </c>
      <c r="J211" s="73">
        <f t="shared" si="56"/>
        <v>2037</v>
      </c>
      <c r="K211" s="78">
        <f t="shared" si="57"/>
        <v>50222</v>
      </c>
      <c r="M211" s="41">
        <v>2.3E-2</v>
      </c>
      <c r="T211" s="173"/>
    </row>
    <row r="212" spans="2:20" hidden="1" outlineLevel="1">
      <c r="B212" s="78">
        <f t="shared" si="59"/>
        <v>50253</v>
      </c>
      <c r="C212" s="75">
        <v>420420.77188658714</v>
      </c>
      <c r="D212" s="71">
        <f>IF(F212&lt;&gt;0,VLOOKUP($J212,'Table 1'!$B$13:$C$33,2,FALSE)/12*1000*Study_MW,0)</f>
        <v>292966.58453374379</v>
      </c>
      <c r="E212" s="71">
        <f t="shared" si="54"/>
        <v>713387.35642033094</v>
      </c>
      <c r="F212" s="75">
        <v>21265.540890658998</v>
      </c>
      <c r="G212" s="76">
        <f t="shared" si="55"/>
        <v>33.546635850381314</v>
      </c>
      <c r="I212" s="77">
        <f t="shared" si="60"/>
        <v>86</v>
      </c>
      <c r="J212" s="73">
        <f t="shared" si="56"/>
        <v>2037</v>
      </c>
      <c r="K212" s="78">
        <f t="shared" si="57"/>
        <v>50253</v>
      </c>
      <c r="M212" s="41">
        <v>2.3E-2</v>
      </c>
      <c r="T212" s="173"/>
    </row>
    <row r="213" spans="2:20" hidden="1" outlineLevel="1">
      <c r="B213" s="78">
        <f t="shared" si="59"/>
        <v>50284</v>
      </c>
      <c r="C213" s="75">
        <v>250263.16611377895</v>
      </c>
      <c r="D213" s="71">
        <f>IF(F213&lt;&gt;0,VLOOKUP($J213,'Table 1'!$B$13:$C$33,2,FALSE)/12*1000*Study_MW,0)</f>
        <v>292966.58453374379</v>
      </c>
      <c r="E213" s="71">
        <f t="shared" si="54"/>
        <v>543229.75064752274</v>
      </c>
      <c r="F213" s="75">
        <v>20290.805376299999</v>
      </c>
      <c r="G213" s="76">
        <f t="shared" si="55"/>
        <v>26.772212367776401</v>
      </c>
      <c r="I213" s="77">
        <f t="shared" si="60"/>
        <v>87</v>
      </c>
      <c r="J213" s="73">
        <f t="shared" si="56"/>
        <v>2037</v>
      </c>
      <c r="K213" s="78">
        <f t="shared" si="57"/>
        <v>50284</v>
      </c>
      <c r="M213" s="41">
        <v>2.3E-2</v>
      </c>
      <c r="T213" s="173"/>
    </row>
    <row r="214" spans="2:20" hidden="1" outlineLevel="1">
      <c r="B214" s="78">
        <f t="shared" si="59"/>
        <v>50314</v>
      </c>
      <c r="C214" s="75">
        <v>163089.65027178824</v>
      </c>
      <c r="D214" s="71">
        <f>IF(F214&lt;&gt;0,VLOOKUP($J214,'Table 1'!$B$13:$C$33,2,FALSE)/12*1000*Study_MW,0)</f>
        <v>292966.58453374379</v>
      </c>
      <c r="E214" s="71">
        <f t="shared" si="54"/>
        <v>456056.23480553203</v>
      </c>
      <c r="F214" s="75">
        <v>16953.852152259999</v>
      </c>
      <c r="G214" s="76">
        <f t="shared" si="55"/>
        <v>26.899859141731302</v>
      </c>
      <c r="I214" s="77">
        <f t="shared" si="60"/>
        <v>88</v>
      </c>
      <c r="J214" s="73">
        <f t="shared" si="56"/>
        <v>2037</v>
      </c>
      <c r="K214" s="78">
        <f t="shared" si="57"/>
        <v>50314</v>
      </c>
      <c r="M214" s="41">
        <v>2.3E-2</v>
      </c>
      <c r="T214" s="173"/>
    </row>
    <row r="215" spans="2:20" hidden="1" outlineLevel="1">
      <c r="B215" s="78">
        <f t="shared" si="59"/>
        <v>50345</v>
      </c>
      <c r="C215" s="75">
        <v>178670.36229522526</v>
      </c>
      <c r="D215" s="71">
        <f>IF(F215&lt;&gt;0,VLOOKUP($J215,'Table 1'!$B$13:$C$33,2,FALSE)/12*1000*Study_MW,0)</f>
        <v>292966.58453374379</v>
      </c>
      <c r="E215" s="71">
        <f t="shared" si="54"/>
        <v>471636.94682896906</v>
      </c>
      <c r="F215" s="75">
        <v>11982.049696100001</v>
      </c>
      <c r="G215" s="76">
        <f t="shared" si="55"/>
        <v>39.361958829337908</v>
      </c>
      <c r="I215" s="77">
        <f t="shared" si="60"/>
        <v>89</v>
      </c>
      <c r="J215" s="73">
        <f t="shared" si="56"/>
        <v>2037</v>
      </c>
      <c r="K215" s="78">
        <f t="shared" si="57"/>
        <v>50345</v>
      </c>
      <c r="M215" s="41">
        <v>2.3E-2</v>
      </c>
      <c r="T215" s="173"/>
    </row>
    <row r="216" spans="2:20" hidden="1" outlineLevel="1">
      <c r="B216" s="82">
        <f t="shared" si="59"/>
        <v>50375</v>
      </c>
      <c r="C216" s="79">
        <v>161355.0262658298</v>
      </c>
      <c r="D216" s="80">
        <f>IF(F216&lt;&gt;0,VLOOKUP($J216,'Table 1'!$B$13:$C$33,2,FALSE)/12*1000*Study_MW,0)</f>
        <v>292966.58453374379</v>
      </c>
      <c r="E216" s="80">
        <f t="shared" si="54"/>
        <v>454321.61079957359</v>
      </c>
      <c r="F216" s="79">
        <v>8563.8652729500009</v>
      </c>
      <c r="G216" s="81">
        <f t="shared" si="55"/>
        <v>53.050999323238194</v>
      </c>
      <c r="I216" s="64">
        <f t="shared" si="60"/>
        <v>90</v>
      </c>
      <c r="J216" s="73">
        <f t="shared" si="56"/>
        <v>2037</v>
      </c>
      <c r="K216" s="82">
        <f t="shared" si="57"/>
        <v>50375</v>
      </c>
      <c r="M216" s="41">
        <v>2.3E-2</v>
      </c>
      <c r="T216" s="173"/>
    </row>
    <row r="217" spans="2:20" hidden="1" outlineLevel="1">
      <c r="B217" s="74">
        <f t="shared" si="59"/>
        <v>50406</v>
      </c>
      <c r="C217" s="69">
        <v>221602.43421758711</v>
      </c>
      <c r="D217" s="70">
        <f>IF(F217&lt;&gt;0,VLOOKUP($J217,'Table 1'!$B$13:$C$33,2,FALSE)/12*1000*Study_MW,0)</f>
        <v>299730.84523563244</v>
      </c>
      <c r="E217" s="70">
        <f t="shared" ref="E217:E228" si="61">C217+D217</f>
        <v>521333.27945321955</v>
      </c>
      <c r="F217" s="69">
        <v>11436.77399725</v>
      </c>
      <c r="G217" s="72">
        <f t="shared" ref="G217:G228" si="62">IF(ISNUMBER($F217),E217/$F217,"")</f>
        <v>45.58394522603799</v>
      </c>
      <c r="I217" s="60">
        <f>I97</f>
        <v>92</v>
      </c>
      <c r="J217" s="73">
        <f t="shared" si="56"/>
        <v>2038</v>
      </c>
      <c r="K217" s="74">
        <f t="shared" si="57"/>
        <v>50406</v>
      </c>
      <c r="M217" s="41">
        <v>2.3E-2</v>
      </c>
      <c r="T217" s="173"/>
    </row>
    <row r="218" spans="2:20" hidden="1" outlineLevel="1">
      <c r="B218" s="78">
        <f t="shared" si="59"/>
        <v>50437</v>
      </c>
      <c r="C218" s="75">
        <v>177027.48879334331</v>
      </c>
      <c r="D218" s="71">
        <f>IF(F218&lt;&gt;0,VLOOKUP($J218,'Table 1'!$B$13:$C$33,2,FALSE)/12*1000*Study_MW,0)</f>
        <v>299730.84523563244</v>
      </c>
      <c r="E218" s="71">
        <f t="shared" si="61"/>
        <v>476758.33402897575</v>
      </c>
      <c r="F218" s="75">
        <v>11154.96714656</v>
      </c>
      <c r="G218" s="76">
        <f t="shared" si="62"/>
        <v>42.73955519232522</v>
      </c>
      <c r="I218" s="77">
        <f t="shared" ref="I218:I228" si="63">I98</f>
        <v>93</v>
      </c>
      <c r="J218" s="73">
        <f t="shared" si="56"/>
        <v>2038</v>
      </c>
      <c r="K218" s="78">
        <f t="shared" si="57"/>
        <v>50437</v>
      </c>
      <c r="M218" s="41">
        <v>2.3E-2</v>
      </c>
      <c r="T218" s="173"/>
    </row>
    <row r="219" spans="2:20" hidden="1" outlineLevel="1">
      <c r="B219" s="78">
        <f t="shared" si="59"/>
        <v>50465</v>
      </c>
      <c r="C219" s="75">
        <v>168486.30212134123</v>
      </c>
      <c r="D219" s="71">
        <f>IF(F219&lt;&gt;0,VLOOKUP($J219,'Table 1'!$B$13:$C$33,2,FALSE)/12*1000*Study_MW,0)</f>
        <v>299730.84523563244</v>
      </c>
      <c r="E219" s="71">
        <f t="shared" si="61"/>
        <v>468217.14735697367</v>
      </c>
      <c r="F219" s="75">
        <v>15550.94843427</v>
      </c>
      <c r="G219" s="76">
        <f t="shared" si="62"/>
        <v>30.108591082789026</v>
      </c>
      <c r="I219" s="77">
        <f t="shared" si="63"/>
        <v>94</v>
      </c>
      <c r="J219" s="73">
        <f t="shared" si="56"/>
        <v>2038</v>
      </c>
      <c r="K219" s="78">
        <f t="shared" si="57"/>
        <v>50465</v>
      </c>
      <c r="M219" s="41">
        <v>2.3E-2</v>
      </c>
      <c r="T219" s="173"/>
    </row>
    <row r="220" spans="2:20" hidden="1" outlineLevel="1">
      <c r="B220" s="78">
        <f t="shared" si="59"/>
        <v>50496</v>
      </c>
      <c r="C220" s="75">
        <v>121884.94181323051</v>
      </c>
      <c r="D220" s="71">
        <f>IF(F220&lt;&gt;0,VLOOKUP($J220,'Table 1'!$B$13:$C$33,2,FALSE)/12*1000*Study_MW,0)</f>
        <v>299730.84523563244</v>
      </c>
      <c r="E220" s="71">
        <f t="shared" si="61"/>
        <v>421615.78704886296</v>
      </c>
      <c r="F220" s="75">
        <v>18433.764409776999</v>
      </c>
      <c r="G220" s="76">
        <f t="shared" si="62"/>
        <v>22.871930967352718</v>
      </c>
      <c r="I220" s="77">
        <f t="shared" si="63"/>
        <v>95</v>
      </c>
      <c r="J220" s="73">
        <f t="shared" si="56"/>
        <v>2038</v>
      </c>
      <c r="K220" s="78">
        <f t="shared" si="57"/>
        <v>50496</v>
      </c>
      <c r="M220" s="41">
        <v>2.3E-2</v>
      </c>
      <c r="T220" s="173"/>
    </row>
    <row r="221" spans="2:20" hidden="1" outlineLevel="1">
      <c r="B221" s="78">
        <f t="shared" si="59"/>
        <v>50526</v>
      </c>
      <c r="C221" s="75">
        <v>128462.92818544805</v>
      </c>
      <c r="D221" s="71">
        <f>IF(F221&lt;&gt;0,VLOOKUP($J221,'Table 1'!$B$13:$C$33,2,FALSE)/12*1000*Study_MW,0)</f>
        <v>299730.84523563244</v>
      </c>
      <c r="E221" s="71">
        <f t="shared" si="61"/>
        <v>428193.77342108049</v>
      </c>
      <c r="F221" s="75">
        <v>25226.11175118</v>
      </c>
      <c r="G221" s="76">
        <f t="shared" si="62"/>
        <v>16.97422803976324</v>
      </c>
      <c r="I221" s="77">
        <f t="shared" si="63"/>
        <v>96</v>
      </c>
      <c r="J221" s="73">
        <f t="shared" si="56"/>
        <v>2038</v>
      </c>
      <c r="K221" s="78">
        <f t="shared" si="57"/>
        <v>50526</v>
      </c>
      <c r="M221" s="41">
        <v>2.3E-2</v>
      </c>
      <c r="T221" s="173"/>
    </row>
    <row r="222" spans="2:20" hidden="1" outlineLevel="1">
      <c r="B222" s="78">
        <f t="shared" si="59"/>
        <v>50557</v>
      </c>
      <c r="C222" s="75">
        <v>278140.71695907414</v>
      </c>
      <c r="D222" s="71">
        <f>IF(F222&lt;&gt;0,VLOOKUP($J222,'Table 1'!$B$13:$C$33,2,FALSE)/12*1000*Study_MW,0)</f>
        <v>299730.84523563244</v>
      </c>
      <c r="E222" s="71">
        <f t="shared" si="61"/>
        <v>577871.56219470664</v>
      </c>
      <c r="F222" s="75">
        <v>23111.631196536</v>
      </c>
      <c r="G222" s="76">
        <f t="shared" si="62"/>
        <v>25.003495308514562</v>
      </c>
      <c r="I222" s="77">
        <f t="shared" si="63"/>
        <v>97</v>
      </c>
      <c r="J222" s="73">
        <f t="shared" si="56"/>
        <v>2038</v>
      </c>
      <c r="K222" s="78">
        <f t="shared" si="57"/>
        <v>50557</v>
      </c>
      <c r="M222" s="41">
        <v>2.3E-2</v>
      </c>
      <c r="T222" s="173"/>
    </row>
    <row r="223" spans="2:20" hidden="1" outlineLevel="1">
      <c r="B223" s="78">
        <f t="shared" si="59"/>
        <v>50587</v>
      </c>
      <c r="C223" s="75">
        <v>504868.0393089056</v>
      </c>
      <c r="D223" s="71">
        <f>IF(F223&lt;&gt;0,VLOOKUP($J223,'Table 1'!$B$13:$C$33,2,FALSE)/12*1000*Study_MW,0)</f>
        <v>299730.84523563244</v>
      </c>
      <c r="E223" s="71">
        <f t="shared" si="61"/>
        <v>804598.8845445381</v>
      </c>
      <c r="F223" s="75">
        <v>23574.297250399999</v>
      </c>
      <c r="G223" s="76">
        <f t="shared" si="62"/>
        <v>34.130344416985153</v>
      </c>
      <c r="I223" s="77">
        <f t="shared" si="63"/>
        <v>98</v>
      </c>
      <c r="J223" s="73">
        <f t="shared" si="56"/>
        <v>2038</v>
      </c>
      <c r="K223" s="78">
        <f t="shared" si="57"/>
        <v>50587</v>
      </c>
      <c r="M223" s="41">
        <v>2.3E-2</v>
      </c>
      <c r="T223" s="173"/>
    </row>
    <row r="224" spans="2:20" hidden="1" outlineLevel="1">
      <c r="B224" s="78">
        <f t="shared" si="59"/>
        <v>50618</v>
      </c>
      <c r="C224" s="75">
        <v>521345.20960649848</v>
      </c>
      <c r="D224" s="71">
        <f>IF(F224&lt;&gt;0,VLOOKUP($J224,'Table 1'!$B$13:$C$33,2,FALSE)/12*1000*Study_MW,0)</f>
        <v>299730.84523563244</v>
      </c>
      <c r="E224" s="71">
        <f t="shared" si="61"/>
        <v>821076.05484213098</v>
      </c>
      <c r="F224" s="75">
        <v>21159.213388348999</v>
      </c>
      <c r="G224" s="76">
        <f t="shared" si="62"/>
        <v>38.804658744745403</v>
      </c>
      <c r="I224" s="77">
        <f t="shared" si="63"/>
        <v>99</v>
      </c>
      <c r="J224" s="73">
        <f t="shared" si="56"/>
        <v>2038</v>
      </c>
      <c r="K224" s="78">
        <f t="shared" si="57"/>
        <v>50618</v>
      </c>
      <c r="M224" s="41">
        <v>2.3E-2</v>
      </c>
      <c r="T224" s="173"/>
    </row>
    <row r="225" spans="2:20" hidden="1" outlineLevel="1">
      <c r="B225" s="78">
        <f t="shared" si="59"/>
        <v>50649</v>
      </c>
      <c r="C225" s="75">
        <v>246260.06973516941</v>
      </c>
      <c r="D225" s="71">
        <f>IF(F225&lt;&gt;0,VLOOKUP($J225,'Table 1'!$B$13:$C$33,2,FALSE)/12*1000*Study_MW,0)</f>
        <v>299730.84523563244</v>
      </c>
      <c r="E225" s="71">
        <f t="shared" si="61"/>
        <v>545990.91497080191</v>
      </c>
      <c r="F225" s="75">
        <v>20189.351231649998</v>
      </c>
      <c r="G225" s="76">
        <f t="shared" si="62"/>
        <v>27.043509655470004</v>
      </c>
      <c r="I225" s="77">
        <f t="shared" si="63"/>
        <v>100</v>
      </c>
      <c r="J225" s="73">
        <f t="shared" si="56"/>
        <v>2038</v>
      </c>
      <c r="K225" s="78">
        <f t="shared" si="57"/>
        <v>50649</v>
      </c>
      <c r="M225" s="41">
        <v>2.3E-2</v>
      </c>
      <c r="T225" s="173"/>
    </row>
    <row r="226" spans="2:20" hidden="1" outlineLevel="1">
      <c r="B226" s="78">
        <f t="shared" si="59"/>
        <v>50679</v>
      </c>
      <c r="C226" s="75">
        <v>178630.23904886842</v>
      </c>
      <c r="D226" s="71">
        <f>IF(F226&lt;&gt;0,VLOOKUP($J226,'Table 1'!$B$13:$C$33,2,FALSE)/12*1000*Study_MW,0)</f>
        <v>299730.84523563244</v>
      </c>
      <c r="E226" s="71">
        <f t="shared" si="61"/>
        <v>478361.08428450086</v>
      </c>
      <c r="F226" s="75">
        <v>16869.082996153</v>
      </c>
      <c r="G226" s="76">
        <f t="shared" si="62"/>
        <v>28.357266627568983</v>
      </c>
      <c r="I226" s="77">
        <f t="shared" si="63"/>
        <v>101</v>
      </c>
      <c r="J226" s="73">
        <f t="shared" si="56"/>
        <v>2038</v>
      </c>
      <c r="K226" s="78">
        <f t="shared" si="57"/>
        <v>50679</v>
      </c>
      <c r="M226" s="41">
        <v>2.3E-2</v>
      </c>
      <c r="T226" s="173"/>
    </row>
    <row r="227" spans="2:20" hidden="1" outlineLevel="1">
      <c r="B227" s="78">
        <f t="shared" si="59"/>
        <v>50710</v>
      </c>
      <c r="C227" s="75">
        <v>220417.63594859838</v>
      </c>
      <c r="D227" s="71">
        <f>IF(F227&lt;&gt;0,VLOOKUP($J227,'Table 1'!$B$13:$C$33,2,FALSE)/12*1000*Study_MW,0)</f>
        <v>299730.84523563244</v>
      </c>
      <c r="E227" s="71">
        <f t="shared" si="61"/>
        <v>520148.48118423083</v>
      </c>
      <c r="F227" s="75">
        <v>11922.139385099999</v>
      </c>
      <c r="G227" s="76">
        <f t="shared" si="62"/>
        <v>43.628787114693509</v>
      </c>
      <c r="I227" s="77">
        <f t="shared" si="63"/>
        <v>102</v>
      </c>
      <c r="J227" s="73">
        <f t="shared" si="56"/>
        <v>2038</v>
      </c>
      <c r="K227" s="78">
        <f t="shared" si="57"/>
        <v>50710</v>
      </c>
      <c r="M227" s="41">
        <v>2.3E-2</v>
      </c>
      <c r="T227" s="173"/>
    </row>
    <row r="228" spans="2:20" hidden="1" outlineLevel="1">
      <c r="B228" s="82">
        <f t="shared" si="59"/>
        <v>50740</v>
      </c>
      <c r="C228" s="79">
        <v>171567.04949879646</v>
      </c>
      <c r="D228" s="80">
        <f>IF(F228&lt;&gt;0,VLOOKUP($J228,'Table 1'!$B$13:$C$33,2,FALSE)/12*1000*Study_MW,0)</f>
        <v>299730.84523563244</v>
      </c>
      <c r="E228" s="80">
        <f t="shared" si="61"/>
        <v>471297.8947344289</v>
      </c>
      <c r="F228" s="79">
        <v>8521.0459399600004</v>
      </c>
      <c r="G228" s="81">
        <f t="shared" si="62"/>
        <v>55.309864311873582</v>
      </c>
      <c r="I228" s="64">
        <f t="shared" si="63"/>
        <v>103</v>
      </c>
      <c r="J228" s="73">
        <f t="shared" si="56"/>
        <v>2038</v>
      </c>
      <c r="K228" s="82">
        <f t="shared" si="57"/>
        <v>50740</v>
      </c>
      <c r="M228" s="41">
        <v>2.3E-2</v>
      </c>
      <c r="T228" s="173"/>
    </row>
    <row r="229" spans="2:20" collapsed="1"/>
  </sheetData>
  <printOptions horizontalCentered="1"/>
  <pageMargins left="0.25" right="0.25" top="0.75" bottom="0.75" header="0.3" footer="0.3"/>
  <pageSetup scale="74" orientation="portrait" r:id="rId1"/>
  <headerFooter alignWithMargins="0">
    <oddFooter xml:space="preserve">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A102"/>
  <sheetViews>
    <sheetView zoomScale="80" zoomScaleNormal="80" zoomScaleSheetLayoutView="70" workbookViewId="0">
      <selection activeCell="K22" sqref="K22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5" style="117" customWidth="1"/>
    <col min="7" max="7" width="9.5" style="117" bestFit="1" customWidth="1"/>
    <col min="8" max="8" width="15.33203125" style="117" customWidth="1"/>
    <col min="9" max="9" width="12.6640625" style="117" customWidth="1"/>
    <col min="10" max="10" width="14" style="117" customWidth="1"/>
    <col min="11" max="11" width="13.1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/>
    <col min="16" max="16" width="10" style="117" customWidth="1"/>
    <col min="17" max="17" width="25.1640625" style="117" customWidth="1"/>
    <col min="18" max="18" width="18.1640625" style="117" customWidth="1"/>
    <col min="19" max="19" width="9.33203125" style="117"/>
    <col min="20" max="20" width="16.6640625" style="117" customWidth="1"/>
    <col min="21" max="21" width="9.33203125" style="117"/>
    <col min="22" max="22" width="9.6640625" style="117" bestFit="1" customWidth="1"/>
    <col min="23" max="16384" width="9.33203125" style="117"/>
  </cols>
  <sheetData>
    <row r="1" spans="2:24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4" ht="15.75">
      <c r="B2" s="115" t="s">
        <v>227</v>
      </c>
      <c r="C2" s="116"/>
      <c r="D2" s="116"/>
      <c r="E2" s="116"/>
      <c r="F2" s="116"/>
      <c r="G2" s="116"/>
      <c r="H2" s="116"/>
      <c r="I2" s="116"/>
      <c r="J2" s="116"/>
    </row>
    <row r="3" spans="2:24" ht="15.75">
      <c r="B3" s="115" t="str">
        <f>TEXT($C$63,"0%")&amp;"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T3" s="119"/>
      <c r="U3" s="119"/>
      <c r="V3" s="119"/>
      <c r="W3" s="119"/>
      <c r="X3" s="119"/>
    </row>
    <row r="4" spans="2:24">
      <c r="B4" s="118"/>
      <c r="C4" s="118"/>
      <c r="D4" s="118"/>
      <c r="E4" s="118"/>
      <c r="F4" s="118"/>
      <c r="G4" s="118"/>
      <c r="H4" s="118"/>
      <c r="I4" s="119"/>
      <c r="J4" s="119"/>
      <c r="K4" s="119"/>
      <c r="T4" s="119"/>
      <c r="U4" s="119"/>
      <c r="V4" s="119"/>
      <c r="W4" s="119"/>
      <c r="X4" s="119"/>
    </row>
    <row r="5" spans="2:24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228</v>
      </c>
      <c r="I5" s="121" t="s">
        <v>73</v>
      </c>
      <c r="J5" s="17" t="s">
        <v>52</v>
      </c>
      <c r="K5" s="121" t="s">
        <v>224</v>
      </c>
      <c r="M5" s="201"/>
      <c r="N5" s="201"/>
      <c r="P5" s="201"/>
      <c r="Q5" s="119"/>
      <c r="R5" s="263"/>
      <c r="S5" s="119"/>
      <c r="T5" s="119"/>
      <c r="U5" s="119"/>
      <c r="V5" s="119"/>
      <c r="W5" s="119"/>
      <c r="X5" s="119"/>
    </row>
    <row r="6" spans="2:24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Q6" s="373"/>
      <c r="R6" s="373"/>
      <c r="S6" s="119"/>
      <c r="T6" s="119"/>
      <c r="U6" s="119"/>
      <c r="V6" s="119"/>
      <c r="W6" s="119"/>
      <c r="X6" s="119"/>
    </row>
    <row r="7" spans="2:24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Q7" s="119"/>
      <c r="R7" s="119"/>
      <c r="S7" s="119"/>
      <c r="T7" s="119"/>
      <c r="U7" s="119"/>
      <c r="V7" s="119"/>
      <c r="W7" s="119"/>
      <c r="X7" s="119"/>
    </row>
    <row r="8" spans="2:24" ht="6" customHeight="1">
      <c r="K8" s="119"/>
      <c r="Q8" s="119"/>
      <c r="R8" s="119"/>
      <c r="S8" s="119"/>
    </row>
    <row r="9" spans="2:24" ht="15.75">
      <c r="B9" s="43" t="str">
        <f>C52</f>
        <v>2019 IRP Utah Wind Resource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Q9" s="119"/>
      <c r="R9" s="119"/>
      <c r="S9" s="119"/>
    </row>
    <row r="10" spans="2:24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</row>
    <row r="11" spans="2:24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</row>
    <row r="12" spans="2:24">
      <c r="B12" s="135">
        <f t="shared" si="0"/>
        <v>2018</v>
      </c>
      <c r="C12" s="136"/>
      <c r="D12" s="128"/>
      <c r="E12" s="148"/>
      <c r="F12" s="148"/>
      <c r="G12" s="130"/>
      <c r="H12" s="148">
        <f>$C$58</f>
        <v>0</v>
      </c>
      <c r="I12" s="130"/>
      <c r="J12" s="130"/>
      <c r="K12" s="128">
        <f>(D12+E12+F12)</f>
        <v>0</v>
      </c>
      <c r="L12" s="119"/>
      <c r="N12" s="117"/>
      <c r="Q12" s="128"/>
      <c r="R12" s="148"/>
      <c r="T12" s="161"/>
      <c r="U12" s="153"/>
      <c r="V12" s="153"/>
    </row>
    <row r="13" spans="2:24">
      <c r="B13" s="135">
        <f t="shared" si="0"/>
        <v>2019</v>
      </c>
      <c r="C13" s="136"/>
      <c r="D13" s="128"/>
      <c r="E13" s="148"/>
      <c r="F13" s="148"/>
      <c r="G13" s="130"/>
      <c r="H13" s="128">
        <f t="shared" ref="H13:H16" si="1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2">(D13+E13+F13)</f>
        <v>0</v>
      </c>
      <c r="L13" s="119"/>
      <c r="N13" s="117"/>
      <c r="Q13" s="128"/>
      <c r="V13" s="153"/>
      <c r="X13" s="159"/>
    </row>
    <row r="14" spans="2:24">
      <c r="B14" s="135">
        <f t="shared" si="0"/>
        <v>2020</v>
      </c>
      <c r="C14" s="136"/>
      <c r="D14" s="128"/>
      <c r="E14" s="128"/>
      <c r="F14" s="128"/>
      <c r="G14" s="130"/>
      <c r="H14" s="128">
        <f t="shared" si="1"/>
        <v>0</v>
      </c>
      <c r="I14" s="130"/>
      <c r="J14" s="130"/>
      <c r="K14" s="128">
        <f t="shared" si="2"/>
        <v>0</v>
      </c>
      <c r="L14" s="119"/>
      <c r="N14" s="117"/>
      <c r="O14" s="132"/>
      <c r="P14" s="359"/>
      <c r="Q14" s="128"/>
      <c r="V14" s="153"/>
      <c r="X14" s="159"/>
    </row>
    <row r="15" spans="2:24">
      <c r="B15" s="135">
        <f t="shared" si="0"/>
        <v>2021</v>
      </c>
      <c r="C15" s="136"/>
      <c r="D15" s="128"/>
      <c r="E15" s="128"/>
      <c r="F15" s="128"/>
      <c r="G15" s="130"/>
      <c r="H15" s="128">
        <f t="shared" si="1"/>
        <v>0</v>
      </c>
      <c r="I15" s="130"/>
      <c r="J15" s="130"/>
      <c r="K15" s="128">
        <f t="shared" si="2"/>
        <v>0</v>
      </c>
      <c r="L15" s="119"/>
      <c r="N15" s="117"/>
      <c r="O15" s="360"/>
      <c r="P15" s="359"/>
      <c r="Q15" s="128"/>
      <c r="V15" s="153"/>
      <c r="X15" s="159"/>
    </row>
    <row r="16" spans="2:24">
      <c r="B16" s="135">
        <f t="shared" si="0"/>
        <v>2022</v>
      </c>
      <c r="C16" s="136"/>
      <c r="D16" s="128"/>
      <c r="E16" s="128"/>
      <c r="F16" s="128"/>
      <c r="G16" s="130"/>
      <c r="H16" s="128">
        <f t="shared" si="1"/>
        <v>0</v>
      </c>
      <c r="I16" s="130"/>
      <c r="J16" s="130"/>
      <c r="K16" s="128">
        <f t="shared" si="2"/>
        <v>0</v>
      </c>
      <c r="L16" s="119"/>
      <c r="N16" s="117"/>
      <c r="Q16" s="128"/>
      <c r="V16" s="153"/>
      <c r="X16" s="159"/>
    </row>
    <row r="17" spans="2:25">
      <c r="B17" s="135">
        <f t="shared" si="0"/>
        <v>2023</v>
      </c>
      <c r="C17" s="136">
        <v>1265.623188405797</v>
      </c>
      <c r="D17" s="128">
        <f t="shared" ref="D17" si="3">C17*$C$62</f>
        <v>87.31076284841852</v>
      </c>
      <c r="E17" s="148">
        <v>32.333333333333336</v>
      </c>
      <c r="F17" s="186">
        <f>$C$60</f>
        <v>1.4680258019147514</v>
      </c>
      <c r="G17" s="130">
        <f t="shared" ref="G17:G23" si="4">(D17+E17+F17)/(8.76*$C$63)</f>
        <v>46.866388818073915</v>
      </c>
      <c r="H17" s="128">
        <v>-21.479999999999997</v>
      </c>
      <c r="I17" s="130">
        <f t="shared" ref="I17:I23" si="5">(G17+H17)</f>
        <v>25.386388818073918</v>
      </c>
      <c r="J17" s="130">
        <f>ROUND(I17*$C$63*8.76,2)</f>
        <v>65.599999999999994</v>
      </c>
      <c r="K17" s="128">
        <f t="shared" si="2"/>
        <v>121.1121219836666</v>
      </c>
      <c r="L17" s="119"/>
      <c r="N17" s="117"/>
      <c r="O17" s="132"/>
      <c r="Q17" s="128"/>
      <c r="R17" s="128"/>
      <c r="V17" s="153"/>
      <c r="X17" s="159"/>
    </row>
    <row r="18" spans="2:25">
      <c r="B18" s="135">
        <f t="shared" si="0"/>
        <v>2024</v>
      </c>
      <c r="C18" s="136"/>
      <c r="D18" s="128">
        <f t="shared" ref="D18:E33" si="6">ROUND(D17*(1+(IFERROR(INDEX($D$66:$D$74,MATCH($B18,$C$66:$C$74,0),1),0)+IFERROR(INDEX($G$66:$G$74,MATCH($B18,$F$66:$F$74,0),1),0)+IFERROR(INDEX($J$66:$J$74,MATCH($B18,$I$66:$I$74,0),1),0))),2)</f>
        <v>89.06</v>
      </c>
      <c r="E18" s="148">
        <v>33.072463768115945</v>
      </c>
      <c r="F18" s="128">
        <f t="shared" ref="F18:F37" si="7">ROUND(F17*(1+(IFERROR(INDEX($D$66:$D$74,MATCH($B18,$C$66:$C$74,0),1),0)+IFERROR(INDEX($G$66:$G$74,MATCH($B18,$F$66:$F$74,0),1),0)+IFERROR(INDEX($J$66:$J$74,MATCH($B18,$I$66:$I$74,0),1),0))),2)</f>
        <v>1.5</v>
      </c>
      <c r="G18" s="130">
        <f t="shared" si="4"/>
        <v>47.841677798976846</v>
      </c>
      <c r="H18" s="128">
        <v>-21.479999999999997</v>
      </c>
      <c r="I18" s="130">
        <f t="shared" si="5"/>
        <v>26.361677798976849</v>
      </c>
      <c r="J18" s="130">
        <f t="shared" ref="J18:J37" si="8">ROUND(I18*$C$63*8.76,2)</f>
        <v>68.12</v>
      </c>
      <c r="K18" s="128">
        <f t="shared" si="2"/>
        <v>123.63246376811594</v>
      </c>
      <c r="L18" s="119"/>
      <c r="N18" s="117"/>
      <c r="Q18" s="128"/>
      <c r="R18" s="128"/>
      <c r="T18" s="161"/>
      <c r="U18" s="153"/>
      <c r="V18" s="153"/>
      <c r="W18" s="153"/>
      <c r="X18" s="159"/>
      <c r="Y18" s="153"/>
    </row>
    <row r="19" spans="2:25">
      <c r="B19" s="135">
        <f t="shared" si="0"/>
        <v>2025</v>
      </c>
      <c r="C19" s="136"/>
      <c r="D19" s="128">
        <f t="shared" si="6"/>
        <v>90.93</v>
      </c>
      <c r="E19" s="148">
        <v>33.826086956521742</v>
      </c>
      <c r="F19" s="128">
        <f t="shared" si="7"/>
        <v>1.53</v>
      </c>
      <c r="G19" s="130">
        <f t="shared" si="4"/>
        <v>48.868542278663327</v>
      </c>
      <c r="H19" s="128">
        <v>-22.278000000000002</v>
      </c>
      <c r="I19" s="130">
        <f t="shared" si="5"/>
        <v>26.590542278663325</v>
      </c>
      <c r="J19" s="130">
        <f t="shared" si="8"/>
        <v>68.72</v>
      </c>
      <c r="K19" s="128">
        <f t="shared" si="2"/>
        <v>126.28608695652176</v>
      </c>
      <c r="L19" s="119"/>
      <c r="N19" s="117"/>
      <c r="Q19" s="128"/>
      <c r="R19" s="128"/>
      <c r="T19" s="161"/>
      <c r="U19" s="153"/>
      <c r="V19" s="153"/>
      <c r="W19" s="153"/>
      <c r="X19" s="159"/>
      <c r="Y19" s="153"/>
    </row>
    <row r="20" spans="2:25">
      <c r="B20" s="135">
        <f t="shared" si="0"/>
        <v>2026</v>
      </c>
      <c r="C20" s="136"/>
      <c r="D20" s="128">
        <f t="shared" si="6"/>
        <v>92.93</v>
      </c>
      <c r="E20" s="148">
        <v>34.594202898550726</v>
      </c>
      <c r="F20" s="128">
        <f t="shared" si="7"/>
        <v>1.56</v>
      </c>
      <c r="G20" s="130">
        <f t="shared" si="4"/>
        <v>49.951320678953159</v>
      </c>
      <c r="H20" s="128">
        <v>-22.278000000000002</v>
      </c>
      <c r="I20" s="130">
        <f t="shared" si="5"/>
        <v>27.673320678953157</v>
      </c>
      <c r="J20" s="130">
        <f t="shared" si="8"/>
        <v>71.510000000000005</v>
      </c>
      <c r="K20" s="128">
        <f t="shared" si="2"/>
        <v>129.08420289855073</v>
      </c>
      <c r="L20" s="119"/>
      <c r="N20" s="117"/>
      <c r="Q20" s="128"/>
      <c r="R20" s="128"/>
      <c r="T20" s="161"/>
      <c r="U20" s="153"/>
      <c r="V20" s="153"/>
      <c r="W20" s="153"/>
      <c r="X20" s="159"/>
      <c r="Y20" s="153"/>
    </row>
    <row r="21" spans="2:25">
      <c r="B21" s="135">
        <f t="shared" si="0"/>
        <v>2027</v>
      </c>
      <c r="C21" s="136"/>
      <c r="D21" s="128">
        <f t="shared" si="6"/>
        <v>95.07</v>
      </c>
      <c r="E21" s="148">
        <v>35.376811594202898</v>
      </c>
      <c r="F21" s="128">
        <f t="shared" si="7"/>
        <v>1.6</v>
      </c>
      <c r="G21" s="130">
        <f t="shared" si="4"/>
        <v>51.097752338906787</v>
      </c>
      <c r="H21" s="128">
        <v>-23.07</v>
      </c>
      <c r="I21" s="130">
        <f t="shared" si="5"/>
        <v>28.027752338906787</v>
      </c>
      <c r="J21" s="130">
        <f t="shared" si="8"/>
        <v>72.430000000000007</v>
      </c>
      <c r="K21" s="128">
        <f t="shared" si="2"/>
        <v>132.04681159420289</v>
      </c>
      <c r="L21" s="119"/>
      <c r="N21" s="117"/>
      <c r="Q21" s="128"/>
      <c r="R21" s="128"/>
      <c r="T21" s="161"/>
      <c r="U21" s="153"/>
      <c r="V21" s="153"/>
      <c r="W21" s="153"/>
      <c r="X21" s="159"/>
      <c r="Y21" s="153"/>
    </row>
    <row r="22" spans="2:25">
      <c r="B22" s="135">
        <f t="shared" si="0"/>
        <v>2028</v>
      </c>
      <c r="C22" s="136"/>
      <c r="D22" s="128">
        <f t="shared" si="6"/>
        <v>97.26</v>
      </c>
      <c r="E22" s="148">
        <v>36.188405797101453</v>
      </c>
      <c r="F22" s="128">
        <f t="shared" si="7"/>
        <v>1.64</v>
      </c>
      <c r="G22" s="130">
        <f t="shared" si="4"/>
        <v>52.274748779932459</v>
      </c>
      <c r="H22" s="128">
        <v>-23.07</v>
      </c>
      <c r="I22" s="130">
        <f t="shared" si="5"/>
        <v>29.204748779932459</v>
      </c>
      <c r="J22" s="130">
        <f t="shared" si="8"/>
        <v>75.47</v>
      </c>
      <c r="K22" s="128">
        <f t="shared" si="2"/>
        <v>135.08840579710144</v>
      </c>
      <c r="L22" s="119"/>
      <c r="N22" s="117"/>
      <c r="Q22" s="128"/>
      <c r="R22" s="128"/>
      <c r="T22" s="161"/>
      <c r="U22" s="153"/>
      <c r="V22" s="153"/>
      <c r="W22" s="153"/>
      <c r="X22" s="159"/>
      <c r="Y22" s="153"/>
    </row>
    <row r="23" spans="2:25">
      <c r="B23" s="135">
        <f t="shared" si="0"/>
        <v>2029</v>
      </c>
      <c r="C23" s="136"/>
      <c r="D23" s="128">
        <f t="shared" si="6"/>
        <v>99.5</v>
      </c>
      <c r="E23" s="148">
        <v>37.014492753623188</v>
      </c>
      <c r="F23" s="128">
        <f t="shared" si="7"/>
        <v>1.68</v>
      </c>
      <c r="G23" s="130">
        <f t="shared" si="4"/>
        <v>53.476701785319719</v>
      </c>
      <c r="H23" s="128">
        <v>-23.867999999999999</v>
      </c>
      <c r="I23" s="130">
        <f t="shared" si="5"/>
        <v>29.60870178531972</v>
      </c>
      <c r="J23" s="130">
        <f t="shared" si="8"/>
        <v>76.510000000000005</v>
      </c>
      <c r="K23" s="128">
        <f t="shared" si="2"/>
        <v>138.19449275362319</v>
      </c>
      <c r="L23" s="119"/>
      <c r="N23" s="117"/>
      <c r="Q23" s="128"/>
      <c r="R23" s="128"/>
      <c r="T23" s="161"/>
      <c r="U23" s="153"/>
      <c r="V23" s="153"/>
      <c r="W23" s="153"/>
      <c r="X23" s="159"/>
      <c r="Y23" s="153"/>
    </row>
    <row r="24" spans="2:25">
      <c r="B24" s="135">
        <f t="shared" si="0"/>
        <v>2030</v>
      </c>
      <c r="C24" s="136"/>
      <c r="D24" s="128">
        <f t="shared" si="6"/>
        <v>101.79</v>
      </c>
      <c r="E24" s="148">
        <v>37.855072463768117</v>
      </c>
      <c r="F24" s="128">
        <f t="shared" si="7"/>
        <v>1.72</v>
      </c>
      <c r="G24" s="130">
        <f>(D24+E24+F24)/(8.76*$C$63)</f>
        <v>54.703611355068546</v>
      </c>
      <c r="H24" s="128">
        <v>-24.666</v>
      </c>
      <c r="I24" s="130">
        <f>(G24+H24)</f>
        <v>30.037611355068545</v>
      </c>
      <c r="J24" s="130">
        <f t="shared" si="8"/>
        <v>77.62</v>
      </c>
      <c r="K24" s="128">
        <f t="shared" si="2"/>
        <v>141.36507246376812</v>
      </c>
      <c r="L24" s="119"/>
      <c r="N24" s="117"/>
      <c r="Q24" s="128"/>
      <c r="R24" s="128"/>
      <c r="T24" s="161"/>
      <c r="U24" s="153"/>
      <c r="V24" s="153"/>
      <c r="W24" s="153"/>
      <c r="X24" s="159"/>
      <c r="Y24" s="153"/>
    </row>
    <row r="25" spans="2:25">
      <c r="B25" s="135">
        <f t="shared" si="0"/>
        <v>2031</v>
      </c>
      <c r="C25" s="136"/>
      <c r="D25" s="128">
        <f t="shared" si="6"/>
        <v>104.13</v>
      </c>
      <c r="E25" s="148">
        <v>38.724637681159422</v>
      </c>
      <c r="F25" s="128">
        <f t="shared" si="7"/>
        <v>1.76</v>
      </c>
      <c r="G25" s="130">
        <f t="shared" ref="G25:G37" si="9">(D25+E25+F25)/(8.76*$C$63)</f>
        <v>55.961085705889424</v>
      </c>
      <c r="H25" s="128">
        <v>-24.666</v>
      </c>
      <c r="I25" s="130">
        <f t="shared" ref="I25:I37" si="10">(G25+H25)</f>
        <v>31.295085705889424</v>
      </c>
      <c r="J25" s="130">
        <f t="shared" si="8"/>
        <v>80.87</v>
      </c>
      <c r="K25" s="128">
        <f t="shared" si="2"/>
        <v>144.61463768115942</v>
      </c>
      <c r="L25" s="119"/>
      <c r="N25" s="117"/>
      <c r="Q25" s="128"/>
      <c r="R25" s="128"/>
      <c r="T25" s="161"/>
      <c r="U25" s="153"/>
      <c r="V25" s="153"/>
      <c r="W25" s="153"/>
      <c r="X25" s="159"/>
      <c r="Y25" s="153"/>
    </row>
    <row r="26" spans="2:25">
      <c r="B26" s="135">
        <f t="shared" si="0"/>
        <v>2032</v>
      </c>
      <c r="C26" s="136"/>
      <c r="D26" s="128">
        <f t="shared" si="6"/>
        <v>106.52</v>
      </c>
      <c r="E26" s="148">
        <v>39.608695652173914</v>
      </c>
      <c r="F26" s="128">
        <f t="shared" si="7"/>
        <v>1.8</v>
      </c>
      <c r="G26" s="130">
        <f t="shared" si="9"/>
        <v>57.243516621071876</v>
      </c>
      <c r="H26" s="128">
        <v>-25.457999999999998</v>
      </c>
      <c r="I26" s="130">
        <f t="shared" si="10"/>
        <v>31.785516621071878</v>
      </c>
      <c r="J26" s="130">
        <f t="shared" si="8"/>
        <v>82.14</v>
      </c>
      <c r="K26" s="128">
        <f t="shared" si="2"/>
        <v>147.92869565217393</v>
      </c>
      <c r="L26" s="119"/>
      <c r="N26" s="117"/>
      <c r="Q26" s="128"/>
      <c r="R26" s="128"/>
      <c r="T26" s="161"/>
      <c r="U26" s="153"/>
      <c r="V26" s="153"/>
      <c r="W26" s="153"/>
      <c r="X26" s="159"/>
      <c r="Y26" s="153"/>
    </row>
    <row r="27" spans="2:25">
      <c r="B27" s="135">
        <f t="shared" si="0"/>
        <v>2033</v>
      </c>
      <c r="C27" s="136"/>
      <c r="D27" s="128">
        <f t="shared" si="6"/>
        <v>108.97</v>
      </c>
      <c r="E27" s="148">
        <v>40.507246376811594</v>
      </c>
      <c r="F27" s="128">
        <f t="shared" si="7"/>
        <v>1.84</v>
      </c>
      <c r="G27" s="130">
        <f t="shared" si="9"/>
        <v>58.554773770146127</v>
      </c>
      <c r="H27" s="128">
        <v>0</v>
      </c>
      <c r="I27" s="130">
        <f t="shared" si="10"/>
        <v>58.554773770146127</v>
      </c>
      <c r="J27" s="130">
        <f t="shared" si="8"/>
        <v>151.32</v>
      </c>
      <c r="K27" s="128">
        <f t="shared" si="2"/>
        <v>151.3172463768116</v>
      </c>
      <c r="L27" s="119"/>
      <c r="N27" s="117"/>
      <c r="Q27" s="128"/>
      <c r="R27" s="128"/>
      <c r="T27" s="161"/>
      <c r="U27" s="153"/>
      <c r="V27" s="153"/>
      <c r="W27" s="153"/>
      <c r="X27" s="159"/>
      <c r="Y27" s="153"/>
    </row>
    <row r="28" spans="2:25">
      <c r="B28" s="135">
        <f t="shared" si="0"/>
        <v>2034</v>
      </c>
      <c r="C28" s="136"/>
      <c r="D28" s="128">
        <f t="shared" si="6"/>
        <v>111.48</v>
      </c>
      <c r="E28" s="148">
        <v>41.434782608695649</v>
      </c>
      <c r="F28" s="128">
        <f t="shared" si="7"/>
        <v>1.88</v>
      </c>
      <c r="G28" s="130">
        <f t="shared" si="9"/>
        <v>59.900465369822641</v>
      </c>
      <c r="H28" s="128">
        <v>0</v>
      </c>
      <c r="I28" s="130">
        <f t="shared" si="10"/>
        <v>59.900465369822641</v>
      </c>
      <c r="J28" s="130">
        <f t="shared" si="8"/>
        <v>154.79</v>
      </c>
      <c r="K28" s="128">
        <f t="shared" si="2"/>
        <v>154.79478260869564</v>
      </c>
      <c r="L28" s="119"/>
      <c r="N28" s="117"/>
      <c r="Q28" s="128"/>
      <c r="R28" s="128"/>
      <c r="T28" s="161"/>
      <c r="U28" s="153"/>
      <c r="V28" s="153"/>
      <c r="W28" s="153"/>
      <c r="X28" s="159"/>
      <c r="Y28" s="153"/>
    </row>
    <row r="29" spans="2:25">
      <c r="B29" s="135">
        <f t="shared" si="0"/>
        <v>2035</v>
      </c>
      <c r="C29" s="136"/>
      <c r="D29" s="128">
        <f t="shared" si="6"/>
        <v>114.04</v>
      </c>
      <c r="E29" s="148">
        <v>42.376811594202898</v>
      </c>
      <c r="F29" s="128">
        <f t="shared" si="7"/>
        <v>1.92</v>
      </c>
      <c r="G29" s="130">
        <f t="shared" si="9"/>
        <v>61.271113533860735</v>
      </c>
      <c r="H29" s="128">
        <v>0</v>
      </c>
      <c r="I29" s="130">
        <f t="shared" si="10"/>
        <v>61.271113533860735</v>
      </c>
      <c r="J29" s="130">
        <f t="shared" si="8"/>
        <v>158.34</v>
      </c>
      <c r="K29" s="128">
        <f t="shared" si="2"/>
        <v>158.33681159420289</v>
      </c>
      <c r="L29" s="119"/>
      <c r="N29" s="117"/>
      <c r="Q29" s="128"/>
      <c r="R29" s="128"/>
      <c r="T29" s="161"/>
      <c r="U29" s="153"/>
      <c r="V29" s="153"/>
      <c r="W29" s="153"/>
      <c r="X29" s="159"/>
      <c r="Y29" s="153"/>
    </row>
    <row r="30" spans="2:25">
      <c r="B30" s="135">
        <f t="shared" si="0"/>
        <v>2036</v>
      </c>
      <c r="C30" s="136"/>
      <c r="D30" s="128">
        <f t="shared" si="6"/>
        <v>116.66</v>
      </c>
      <c r="E30" s="148">
        <v>43.347826086956523</v>
      </c>
      <c r="F30" s="128">
        <f t="shared" si="7"/>
        <v>1.96</v>
      </c>
      <c r="G30" s="130">
        <f t="shared" si="9"/>
        <v>62.676196148501106</v>
      </c>
      <c r="H30" s="128">
        <v>0</v>
      </c>
      <c r="I30" s="130">
        <f t="shared" si="10"/>
        <v>62.676196148501106</v>
      </c>
      <c r="J30" s="130">
        <f t="shared" si="8"/>
        <v>161.97</v>
      </c>
      <c r="K30" s="128">
        <f t="shared" si="2"/>
        <v>161.96782608695653</v>
      </c>
      <c r="L30" s="119"/>
      <c r="N30" s="117"/>
      <c r="Q30" s="128"/>
      <c r="R30" s="128"/>
      <c r="T30" s="161"/>
      <c r="U30" s="153"/>
      <c r="V30" s="153"/>
      <c r="W30" s="153"/>
      <c r="X30" s="159"/>
      <c r="Y30" s="153"/>
    </row>
    <row r="31" spans="2:25">
      <c r="B31" s="135">
        <f t="shared" si="0"/>
        <v>2037</v>
      </c>
      <c r="C31" s="136"/>
      <c r="D31" s="128">
        <f t="shared" si="6"/>
        <v>119.34</v>
      </c>
      <c r="E31" s="148">
        <v>44.333333333333336</v>
      </c>
      <c r="F31" s="128">
        <f t="shared" si="7"/>
        <v>2.0099999999999998</v>
      </c>
      <c r="G31" s="130">
        <f t="shared" si="9"/>
        <v>64.113974666563493</v>
      </c>
      <c r="H31" s="128">
        <v>0</v>
      </c>
      <c r="I31" s="130">
        <f t="shared" si="10"/>
        <v>64.113974666563493</v>
      </c>
      <c r="J31" s="130">
        <f t="shared" si="8"/>
        <v>165.68</v>
      </c>
      <c r="K31" s="128">
        <f t="shared" si="2"/>
        <v>165.68333333333334</v>
      </c>
      <c r="L31" s="119"/>
      <c r="N31" s="117"/>
      <c r="Q31" s="128"/>
      <c r="R31" s="128"/>
      <c r="T31" s="161"/>
      <c r="U31" s="153"/>
      <c r="V31" s="153"/>
      <c r="W31" s="153"/>
      <c r="X31" s="159"/>
      <c r="Y31" s="153"/>
    </row>
    <row r="32" spans="2:25">
      <c r="B32" s="135">
        <f t="shared" si="0"/>
        <v>2038</v>
      </c>
      <c r="C32" s="136"/>
      <c r="D32" s="128">
        <f t="shared" si="6"/>
        <v>122.08</v>
      </c>
      <c r="E32" s="148">
        <v>45.347826086956523</v>
      </c>
      <c r="F32" s="128">
        <f t="shared" si="7"/>
        <v>2.06</v>
      </c>
      <c r="G32" s="130">
        <f t="shared" si="9"/>
        <v>65.586187635228129</v>
      </c>
      <c r="H32" s="128">
        <v>0</v>
      </c>
      <c r="I32" s="130">
        <f t="shared" si="10"/>
        <v>65.586187635228129</v>
      </c>
      <c r="J32" s="130">
        <f t="shared" si="8"/>
        <v>169.49</v>
      </c>
      <c r="K32" s="128">
        <f t="shared" si="2"/>
        <v>169.48782608695652</v>
      </c>
      <c r="L32" s="119"/>
      <c r="N32" s="117"/>
      <c r="Q32" s="128"/>
      <c r="R32" s="128"/>
      <c r="T32" s="161"/>
      <c r="U32" s="153"/>
      <c r="V32" s="153"/>
      <c r="W32" s="153"/>
      <c r="X32" s="159"/>
      <c r="Y32" s="153"/>
    </row>
    <row r="33" spans="2:18">
      <c r="B33" s="135">
        <f t="shared" si="0"/>
        <v>2039</v>
      </c>
      <c r="C33" s="136"/>
      <c r="D33" s="128">
        <f t="shared" si="6"/>
        <v>124.89</v>
      </c>
      <c r="E33" s="128">
        <f t="shared" si="6"/>
        <v>46.39</v>
      </c>
      <c r="F33" s="128">
        <f t="shared" si="7"/>
        <v>2.11</v>
      </c>
      <c r="G33" s="130">
        <f t="shared" si="9"/>
        <v>67.096199984521334</v>
      </c>
      <c r="H33" s="128">
        <v>0</v>
      </c>
      <c r="I33" s="130">
        <f t="shared" si="10"/>
        <v>67.096199984521334</v>
      </c>
      <c r="J33" s="130">
        <f t="shared" si="8"/>
        <v>173.39</v>
      </c>
      <c r="K33" s="128">
        <f t="shared" si="2"/>
        <v>173.39000000000001</v>
      </c>
      <c r="L33" s="119"/>
      <c r="N33" s="117"/>
      <c r="Q33" s="128"/>
      <c r="R33" s="128"/>
    </row>
    <row r="34" spans="2:18">
      <c r="B34" s="135">
        <f t="shared" si="0"/>
        <v>2040</v>
      </c>
      <c r="C34" s="136"/>
      <c r="D34" s="128">
        <f t="shared" ref="D34:E37" si="11">ROUND(D33*(1+(IFERROR(INDEX($D$66:$D$74,MATCH($B34,$C$66:$C$74,0),1),0)+IFERROR(INDEX($G$66:$G$74,MATCH($B34,$F$66:$F$74,0),1),0)+IFERROR(INDEX($J$66:$J$74,MATCH($B34,$I$66:$I$74,0),1),0))),2)</f>
        <v>127.76</v>
      </c>
      <c r="E34" s="128">
        <f t="shared" si="11"/>
        <v>47.46</v>
      </c>
      <c r="F34" s="128">
        <f t="shared" si="7"/>
        <v>2.16</v>
      </c>
      <c r="G34" s="130">
        <f t="shared" si="9"/>
        <v>68.640198127079955</v>
      </c>
      <c r="H34" s="128">
        <v>0</v>
      </c>
      <c r="I34" s="130">
        <f t="shared" si="10"/>
        <v>68.640198127079955</v>
      </c>
      <c r="J34" s="130">
        <f t="shared" si="8"/>
        <v>177.38</v>
      </c>
      <c r="K34" s="128">
        <f t="shared" si="2"/>
        <v>177.38</v>
      </c>
      <c r="L34" s="119"/>
      <c r="N34" s="117"/>
      <c r="Q34" s="128"/>
      <c r="R34" s="128"/>
    </row>
    <row r="35" spans="2:18">
      <c r="B35" s="135">
        <f t="shared" si="0"/>
        <v>2041</v>
      </c>
      <c r="C35" s="136"/>
      <c r="D35" s="128">
        <f t="shared" si="11"/>
        <v>130.69999999999999</v>
      </c>
      <c r="E35" s="128">
        <f t="shared" si="11"/>
        <v>48.55</v>
      </c>
      <c r="F35" s="128">
        <f t="shared" si="7"/>
        <v>2.21</v>
      </c>
      <c r="G35" s="130">
        <f t="shared" si="9"/>
        <v>70.21902329541058</v>
      </c>
      <c r="H35" s="128">
        <v>0</v>
      </c>
      <c r="I35" s="130">
        <f t="shared" si="10"/>
        <v>70.21902329541058</v>
      </c>
      <c r="J35" s="130">
        <f t="shared" si="8"/>
        <v>181.46</v>
      </c>
      <c r="K35" s="128">
        <f t="shared" si="2"/>
        <v>181.46</v>
      </c>
      <c r="L35" s="119"/>
      <c r="N35" s="117"/>
      <c r="Q35" s="128"/>
      <c r="R35" s="128"/>
    </row>
    <row r="36" spans="2:18">
      <c r="B36" s="135">
        <f t="shared" si="0"/>
        <v>2042</v>
      </c>
      <c r="C36" s="136"/>
      <c r="D36" s="128">
        <f t="shared" si="11"/>
        <v>133.71</v>
      </c>
      <c r="E36" s="128">
        <f t="shared" si="11"/>
        <v>49.67</v>
      </c>
      <c r="F36" s="128">
        <f t="shared" si="7"/>
        <v>2.2599999999999998</v>
      </c>
      <c r="G36" s="130">
        <f t="shared" si="9"/>
        <v>71.836545159043425</v>
      </c>
      <c r="H36" s="128">
        <v>0</v>
      </c>
      <c r="I36" s="130">
        <f t="shared" si="10"/>
        <v>71.836545159043425</v>
      </c>
      <c r="J36" s="130">
        <f t="shared" si="8"/>
        <v>185.64</v>
      </c>
      <c r="K36" s="128">
        <f t="shared" si="2"/>
        <v>185.64</v>
      </c>
      <c r="L36" s="119"/>
      <c r="N36" s="117"/>
      <c r="Q36" s="128"/>
      <c r="R36" s="128"/>
    </row>
    <row r="37" spans="2:18">
      <c r="B37" s="135">
        <f t="shared" si="0"/>
        <v>2043</v>
      </c>
      <c r="C37" s="136"/>
      <c r="D37" s="128">
        <f t="shared" si="11"/>
        <v>136.91999999999999</v>
      </c>
      <c r="E37" s="128">
        <f t="shared" si="11"/>
        <v>50.86</v>
      </c>
      <c r="F37" s="128">
        <f t="shared" si="7"/>
        <v>2.31</v>
      </c>
      <c r="G37" s="130">
        <f t="shared" si="9"/>
        <v>73.558548099992265</v>
      </c>
      <c r="H37" s="128">
        <v>0</v>
      </c>
      <c r="I37" s="130">
        <f t="shared" si="10"/>
        <v>73.558548099992265</v>
      </c>
      <c r="J37" s="130">
        <f t="shared" si="8"/>
        <v>190.09</v>
      </c>
      <c r="K37" s="128">
        <f t="shared" si="2"/>
        <v>190.08999999999997</v>
      </c>
      <c r="L37" s="119"/>
      <c r="Q37" s="128"/>
      <c r="R37" s="128"/>
    </row>
    <row r="38" spans="2:18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</row>
    <row r="39" spans="2:18">
      <c r="B39" s="135"/>
      <c r="C39" s="136"/>
      <c r="D39" s="128"/>
      <c r="E39" s="128"/>
      <c r="F39" s="130"/>
      <c r="G39" s="128"/>
      <c r="H39" s="128"/>
      <c r="I39" s="130"/>
      <c r="J39" s="130"/>
      <c r="K39" s="128"/>
      <c r="L39" s="119"/>
      <c r="Q39" s="361"/>
      <c r="R39" s="361"/>
    </row>
    <row r="40" spans="2:18">
      <c r="B40" s="126"/>
      <c r="C40" s="131"/>
      <c r="D40" s="128"/>
      <c r="E40" s="128"/>
      <c r="F40" s="129"/>
      <c r="G40" s="128"/>
      <c r="H40" s="128"/>
      <c r="I40" s="130"/>
      <c r="J40" s="130"/>
      <c r="K40" s="137"/>
    </row>
    <row r="42" spans="2:18" ht="14.25">
      <c r="B42" s="138" t="s">
        <v>25</v>
      </c>
      <c r="C42" s="139"/>
      <c r="D42" s="139"/>
      <c r="E42" s="139"/>
      <c r="F42" s="139"/>
      <c r="G42" s="139"/>
      <c r="H42" s="139"/>
    </row>
    <row r="44" spans="2:18">
      <c r="B44" s="117" t="s">
        <v>63</v>
      </c>
      <c r="C44" s="140" t="s">
        <v>64</v>
      </c>
      <c r="D44" s="141" t="s">
        <v>102</v>
      </c>
    </row>
    <row r="45" spans="2:18">
      <c r="C45" s="140" t="str">
        <f>C7</f>
        <v>(a)</v>
      </c>
      <c r="D45" s="117" t="s">
        <v>65</v>
      </c>
    </row>
    <row r="46" spans="2:18">
      <c r="C46" s="140" t="str">
        <f>D7</f>
        <v>(b)</v>
      </c>
      <c r="D46" s="130" t="str">
        <f>"= "&amp;C7&amp;" x "&amp;C62</f>
        <v>= (a) x 0.0689863805027125</v>
      </c>
    </row>
    <row r="47" spans="2:18">
      <c r="C47" s="140" t="str">
        <f>G7</f>
        <v>(e)</v>
      </c>
      <c r="D47" s="130" t="str">
        <f>"= ("&amp;$D$7&amp;" + "&amp;$E$7&amp;") /  (8.76 x "&amp;TEXT(C63,"0.0%")&amp;")"</f>
        <v>= ((b) + (c)) /  (8.76 x 29.5%)</v>
      </c>
    </row>
    <row r="48" spans="2:18">
      <c r="C48" s="140" t="str">
        <f>I7</f>
        <v>(g)</v>
      </c>
      <c r="D48" s="130" t="str">
        <f>"= "&amp;$G$7&amp;" + "&amp;$H$7</f>
        <v>= (e) + (f)</v>
      </c>
    </row>
    <row r="49" spans="2:27">
      <c r="C49" s="140" t="str">
        <f>K7</f>
        <v>(i)</v>
      </c>
      <c r="D49" s="85" t="str">
        <f>D44</f>
        <v>Plant Costs  - 2019 IRP Update - Table 6.1 &amp; 6.2</v>
      </c>
    </row>
    <row r="50" spans="2:27">
      <c r="C50" s="140"/>
      <c r="D50" s="130"/>
    </row>
    <row r="51" spans="2:27" ht="13.5" thickBot="1"/>
    <row r="52" spans="2:27" ht="13.5" thickBot="1">
      <c r="C52" s="42" t="str">
        <f>B2&amp;" - "&amp;B3</f>
        <v>2019 IRP Utah Wind Resource - 30%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7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7">
      <c r="P54" s="117" t="s">
        <v>103</v>
      </c>
      <c r="Q54" s="265">
        <v>2023</v>
      </c>
    </row>
    <row r="55" spans="2:27">
      <c r="B55" s="85" t="s">
        <v>101</v>
      </c>
      <c r="C55" s="362">
        <v>1301.4978814276944</v>
      </c>
      <c r="D55" s="117" t="s">
        <v>65</v>
      </c>
      <c r="T55" s="117" t="str">
        <f>$Q$56&amp;"Proposed Station Capital Costs"</f>
        <v>H3.US1_WD_CPProposed Station Capital Costs</v>
      </c>
    </row>
    <row r="56" spans="2:27">
      <c r="B56" s="85" t="s">
        <v>101</v>
      </c>
      <c r="C56" s="148">
        <v>28.802174620531375</v>
      </c>
      <c r="D56" s="117" t="s">
        <v>68</v>
      </c>
      <c r="O56" s="117">
        <v>69</v>
      </c>
      <c r="P56" s="117" t="s">
        <v>32</v>
      </c>
      <c r="Q56" s="265" t="s">
        <v>229</v>
      </c>
      <c r="T56" s="117" t="str">
        <f>Q56&amp;"Proposed Station Fixed Costs"</f>
        <v>H3.US1_WD_CPProposed Station Fixed Costs</v>
      </c>
      <c r="AA56" s="266"/>
    </row>
    <row r="57" spans="2:27" ht="24" customHeight="1">
      <c r="B57" s="85"/>
      <c r="C57" s="153"/>
      <c r="D57" s="117" t="s">
        <v>105</v>
      </c>
    </row>
    <row r="58" spans="2:27">
      <c r="B58" s="85" t="s">
        <v>101</v>
      </c>
      <c r="C58" s="148">
        <v>0</v>
      </c>
      <c r="D58" s="117" t="s">
        <v>69</v>
      </c>
      <c r="K58" s="119"/>
      <c r="L58" s="363"/>
      <c r="M58" s="52"/>
      <c r="N58" s="163"/>
      <c r="O58" s="52"/>
      <c r="P58" s="52"/>
      <c r="Q58" s="119"/>
      <c r="R58" s="119"/>
      <c r="U58" s="119"/>
      <c r="V58" s="119"/>
      <c r="W58" s="119"/>
      <c r="X58" s="119"/>
      <c r="Y58" s="119"/>
    </row>
    <row r="59" spans="2:27">
      <c r="B59" s="85"/>
      <c r="C59" s="158"/>
      <c r="D59" s="117" t="s">
        <v>70</v>
      </c>
      <c r="I59" s="364" t="s">
        <v>91</v>
      </c>
      <c r="L59" s="365"/>
      <c r="M59" s="152"/>
      <c r="O59" s="150"/>
      <c r="P59" s="119"/>
      <c r="Q59" s="201" t="str">
        <f>Q56&amp;Q54</f>
        <v>H3.US1_WD_CP2023</v>
      </c>
      <c r="R59" s="119"/>
      <c r="U59" s="119"/>
      <c r="V59" s="119"/>
      <c r="W59" s="119"/>
      <c r="X59" s="119"/>
      <c r="Y59" s="119"/>
    </row>
    <row r="60" spans="2:27">
      <c r="B60" s="357" t="s">
        <v>265</v>
      </c>
      <c r="C60" s="153">
        <v>1.4680258019147514</v>
      </c>
      <c r="D60" s="117" t="s">
        <v>218</v>
      </c>
      <c r="F60" s="117" t="s">
        <v>221</v>
      </c>
      <c r="K60" s="365"/>
      <c r="L60" s="365"/>
      <c r="M60" s="365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7">
      <c r="B61" s="85"/>
      <c r="C61" s="187"/>
      <c r="K61" s="365"/>
      <c r="L61" s="365"/>
      <c r="M61" s="365"/>
      <c r="N61" s="164"/>
      <c r="O61" s="365"/>
      <c r="R61" s="119"/>
      <c r="T61" s="119"/>
      <c r="U61" s="119"/>
      <c r="V61" s="119"/>
      <c r="W61" s="119"/>
      <c r="X61" s="119"/>
      <c r="Y61" s="119"/>
    </row>
    <row r="62" spans="2:27">
      <c r="C62" s="366">
        <v>6.898638050271251E-2</v>
      </c>
      <c r="D62" s="117" t="s">
        <v>36</v>
      </c>
      <c r="K62" s="277"/>
      <c r="L62" s="156"/>
      <c r="M62" s="156"/>
      <c r="O62" s="157"/>
    </row>
    <row r="63" spans="2:27">
      <c r="C63" s="367">
        <v>0.29499999999999998</v>
      </c>
      <c r="D63" s="117" t="s">
        <v>37</v>
      </c>
    </row>
    <row r="64" spans="2:27" ht="13.5" thickBot="1">
      <c r="D64" s="154"/>
    </row>
    <row r="65" spans="3:14" ht="13.5" thickBot="1">
      <c r="C65" s="40" t="s">
        <v>266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12">C66+1</f>
        <v>2018</v>
      </c>
      <c r="D67" s="41">
        <v>2.4E-2</v>
      </c>
      <c r="E67" s="85"/>
      <c r="F67" s="87">
        <f t="shared" ref="F67:F74" si="13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12"/>
        <v>2019</v>
      </c>
      <c r="D68" s="41">
        <v>1.7999999999999999E-2</v>
      </c>
      <c r="E68" s="85"/>
      <c r="F68" s="87">
        <f t="shared" si="13"/>
        <v>2028</v>
      </c>
      <c r="G68" s="41">
        <v>2.3E-2</v>
      </c>
      <c r="H68" s="41"/>
      <c r="I68" s="87">
        <f t="shared" ref="I68:I74" si="14">I67+1</f>
        <v>2037</v>
      </c>
      <c r="J68" s="41">
        <v>2.3E-2</v>
      </c>
    </row>
    <row r="69" spans="3:14">
      <c r="C69" s="87">
        <f t="shared" si="12"/>
        <v>2020</v>
      </c>
      <c r="D69" s="41">
        <v>1.2E-2</v>
      </c>
      <c r="E69" s="85"/>
      <c r="F69" s="87">
        <f t="shared" si="13"/>
        <v>2029</v>
      </c>
      <c r="G69" s="41">
        <v>2.3E-2</v>
      </c>
      <c r="H69" s="41"/>
      <c r="I69" s="87">
        <f t="shared" si="14"/>
        <v>2038</v>
      </c>
      <c r="J69" s="41">
        <v>2.3E-2</v>
      </c>
    </row>
    <row r="70" spans="3:14">
      <c r="C70" s="87">
        <f t="shared" si="12"/>
        <v>2021</v>
      </c>
      <c r="D70" s="41">
        <v>1.9E-2</v>
      </c>
      <c r="E70" s="85"/>
      <c r="F70" s="87">
        <f t="shared" si="13"/>
        <v>2030</v>
      </c>
      <c r="G70" s="41">
        <v>2.3E-2</v>
      </c>
      <c r="H70" s="41"/>
      <c r="I70" s="87">
        <f t="shared" si="14"/>
        <v>2039</v>
      </c>
      <c r="J70" s="41">
        <v>2.3E-2</v>
      </c>
    </row>
    <row r="71" spans="3:14">
      <c r="C71" s="87">
        <f t="shared" si="12"/>
        <v>2022</v>
      </c>
      <c r="D71" s="41">
        <v>2.1999999999999999E-2</v>
      </c>
      <c r="E71" s="85"/>
      <c r="F71" s="87">
        <f t="shared" si="13"/>
        <v>2031</v>
      </c>
      <c r="G71" s="41">
        <v>2.3E-2</v>
      </c>
      <c r="H71" s="41"/>
      <c r="I71" s="87">
        <f t="shared" si="14"/>
        <v>2040</v>
      </c>
      <c r="J71" s="41">
        <v>2.3E-2</v>
      </c>
    </row>
    <row r="72" spans="3:14" s="119" customFormat="1">
      <c r="C72" s="87">
        <f t="shared" si="12"/>
        <v>2023</v>
      </c>
      <c r="D72" s="41">
        <v>0.02</v>
      </c>
      <c r="E72" s="86"/>
      <c r="F72" s="87">
        <f t="shared" si="13"/>
        <v>2032</v>
      </c>
      <c r="G72" s="41">
        <v>2.3E-2</v>
      </c>
      <c r="H72" s="41"/>
      <c r="I72" s="87">
        <f t="shared" si="14"/>
        <v>2041</v>
      </c>
      <c r="J72" s="41">
        <v>2.3E-2</v>
      </c>
      <c r="N72" s="164"/>
    </row>
    <row r="73" spans="3:14" s="119" customFormat="1">
      <c r="C73" s="87">
        <f t="shared" si="12"/>
        <v>2024</v>
      </c>
      <c r="D73" s="41">
        <v>0.02</v>
      </c>
      <c r="E73" s="86"/>
      <c r="F73" s="87">
        <f t="shared" si="13"/>
        <v>2033</v>
      </c>
      <c r="G73" s="41">
        <v>2.3E-2</v>
      </c>
      <c r="H73" s="41"/>
      <c r="I73" s="87">
        <f t="shared" si="14"/>
        <v>2042</v>
      </c>
      <c r="J73" s="41">
        <v>2.3E-2</v>
      </c>
      <c r="N73" s="164"/>
    </row>
    <row r="74" spans="3:14" s="119" customFormat="1">
      <c r="C74" s="87">
        <f t="shared" si="12"/>
        <v>2025</v>
      </c>
      <c r="D74" s="41">
        <v>2.1000000000000001E-2</v>
      </c>
      <c r="E74" s="86"/>
      <c r="F74" s="87">
        <f t="shared" si="13"/>
        <v>2034</v>
      </c>
      <c r="G74" s="41">
        <v>2.3E-2</v>
      </c>
      <c r="H74" s="41"/>
      <c r="I74" s="87">
        <f t="shared" si="14"/>
        <v>2043</v>
      </c>
      <c r="J74" s="41">
        <v>2.4E-2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  <pageSetUpPr fitToPage="1"/>
  </sheetPr>
  <dimension ref="B1:AB102"/>
  <sheetViews>
    <sheetView topLeftCell="A4" zoomScale="70" zoomScaleNormal="70" workbookViewId="0">
      <selection activeCell="I26" sqref="I26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5" style="117" customWidth="1"/>
    <col min="7" max="7" width="9.5" style="117" bestFit="1" customWidth="1"/>
    <col min="8" max="8" width="9.5" style="117" customWidth="1"/>
    <col min="9" max="9" width="10.5" style="117" customWidth="1"/>
    <col min="10" max="10" width="12.6640625" style="117" customWidth="1"/>
    <col min="11" max="11" width="14" style="117" customWidth="1"/>
    <col min="12" max="12" width="13.1640625" style="117" customWidth="1"/>
    <col min="13" max="13" width="3.1640625" style="117" customWidth="1"/>
    <col min="14" max="14" width="15" style="117" hidden="1" customWidth="1"/>
    <col min="15" max="15" width="5.6640625" style="161" customWidth="1"/>
    <col min="16" max="16" width="9.33203125" style="117"/>
    <col min="17" max="17" width="10" style="117" customWidth="1"/>
    <col min="18" max="18" width="12.6640625" style="117" customWidth="1"/>
    <col min="19" max="19" width="18.1640625" style="117" customWidth="1"/>
    <col min="20" max="22" width="9.33203125" style="117"/>
    <col min="23" max="23" width="9.6640625" style="117" bestFit="1" customWidth="1"/>
    <col min="24" max="16384" width="9.33203125" style="117"/>
  </cols>
  <sheetData>
    <row r="1" spans="2:25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  <c r="K1" s="116"/>
    </row>
    <row r="2" spans="2:25" ht="15.75">
      <c r="B2" s="115" t="s">
        <v>99</v>
      </c>
      <c r="C2" s="116"/>
      <c r="D2" s="116"/>
      <c r="E2" s="116"/>
      <c r="F2" s="116"/>
      <c r="G2" s="116"/>
      <c r="H2" s="116"/>
      <c r="I2" s="116"/>
      <c r="J2" s="116"/>
      <c r="K2" s="116"/>
    </row>
    <row r="3" spans="2:25" ht="15.75">
      <c r="B3" s="115" t="str">
        <f>TEXT($C$63,"0%")&amp;" Capacity Factor"</f>
        <v>44% Capacity Factor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2:25">
      <c r="B4" s="118"/>
      <c r="C4" s="118"/>
      <c r="D4" s="118"/>
      <c r="E4" s="118"/>
      <c r="F4" s="118"/>
      <c r="G4" s="118"/>
      <c r="H4" s="118"/>
      <c r="I4" s="118"/>
      <c r="J4" s="119"/>
      <c r="K4" s="119"/>
      <c r="L4" s="119"/>
    </row>
    <row r="5" spans="2:25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104</v>
      </c>
      <c r="J5" s="121" t="s">
        <v>73</v>
      </c>
      <c r="K5" s="17" t="s">
        <v>52</v>
      </c>
      <c r="L5" s="121" t="s">
        <v>224</v>
      </c>
      <c r="N5" s="201"/>
      <c r="O5" s="201"/>
      <c r="Q5" s="201"/>
      <c r="S5" s="263"/>
      <c r="U5" s="260"/>
      <c r="V5" s="261"/>
      <c r="W5" s="260"/>
      <c r="X5" s="261"/>
      <c r="Y5" s="119"/>
    </row>
    <row r="6" spans="2:25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8" t="s">
        <v>31</v>
      </c>
      <c r="J6" s="123" t="s">
        <v>31</v>
      </c>
      <c r="K6" s="19" t="s">
        <v>9</v>
      </c>
      <c r="L6" s="124" t="s">
        <v>9</v>
      </c>
      <c r="S6" s="264"/>
    </row>
    <row r="7" spans="2:25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L7" s="125" t="s">
        <v>24</v>
      </c>
    </row>
    <row r="8" spans="2:25" ht="6" customHeight="1">
      <c r="L8" s="119"/>
    </row>
    <row r="9" spans="2:25" ht="15.75">
      <c r="B9" s="43" t="str">
        <f>C52</f>
        <v>2019 IRP Wyoming Wind Resource - 44% Capacity Factor</v>
      </c>
      <c r="C9" s="119"/>
      <c r="E9" s="119"/>
      <c r="F9" s="119"/>
      <c r="G9" s="119"/>
      <c r="H9" s="119"/>
      <c r="I9" s="119"/>
      <c r="J9" s="119"/>
      <c r="K9" s="119"/>
      <c r="L9" s="119"/>
      <c r="O9" s="117"/>
    </row>
    <row r="10" spans="2:25">
      <c r="B10" s="126">
        <v>2016</v>
      </c>
      <c r="C10" s="127"/>
      <c r="D10" s="128"/>
      <c r="E10" s="128"/>
      <c r="F10" s="128"/>
      <c r="G10" s="129"/>
      <c r="H10" s="129"/>
      <c r="I10" s="128"/>
      <c r="J10" s="130"/>
      <c r="K10" s="130"/>
      <c r="L10" s="128"/>
      <c r="O10" s="162"/>
    </row>
    <row r="11" spans="2:25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28"/>
      <c r="J11" s="130"/>
      <c r="K11" s="130"/>
      <c r="L11" s="128"/>
      <c r="O11" s="117"/>
    </row>
    <row r="12" spans="2:25">
      <c r="B12" s="135">
        <f t="shared" si="0"/>
        <v>2018</v>
      </c>
      <c r="C12" s="136"/>
      <c r="D12" s="128"/>
      <c r="E12" s="148"/>
      <c r="F12" s="148"/>
      <c r="G12" s="130"/>
      <c r="H12" s="148"/>
      <c r="I12" s="128"/>
      <c r="J12" s="130"/>
      <c r="K12" s="130"/>
      <c r="L12" s="128">
        <f t="shared" ref="L12:L37" si="1">(D12+E12+F12)</f>
        <v>0</v>
      </c>
      <c r="M12" s="119"/>
      <c r="O12" s="117"/>
      <c r="S12" s="148"/>
      <c r="U12" s="161"/>
      <c r="V12" s="153"/>
      <c r="W12" s="153"/>
    </row>
    <row r="13" spans="2:25">
      <c r="B13" s="135">
        <f t="shared" si="0"/>
        <v>2019</v>
      </c>
      <c r="C13" s="136"/>
      <c r="D13" s="128"/>
      <c r="E13" s="148"/>
      <c r="F13" s="148"/>
      <c r="G13" s="130"/>
      <c r="H13" s="128"/>
      <c r="I13" s="128"/>
      <c r="J13" s="130"/>
      <c r="K13" s="130"/>
      <c r="L13" s="128">
        <f t="shared" si="1"/>
        <v>0</v>
      </c>
      <c r="M13" s="119"/>
      <c r="O13" s="117"/>
      <c r="W13" s="153"/>
    </row>
    <row r="14" spans="2:25">
      <c r="B14" s="135">
        <f t="shared" si="0"/>
        <v>2020</v>
      </c>
      <c r="C14" s="136"/>
      <c r="D14" s="128"/>
      <c r="E14" s="128"/>
      <c r="F14" s="128"/>
      <c r="G14" s="130"/>
      <c r="H14" s="128"/>
      <c r="I14" s="128"/>
      <c r="J14" s="130"/>
      <c r="K14" s="130"/>
      <c r="L14" s="128">
        <f t="shared" si="1"/>
        <v>0</v>
      </c>
      <c r="M14" s="119"/>
      <c r="O14" s="117"/>
      <c r="P14" s="132"/>
      <c r="Q14" s="133"/>
      <c r="R14" s="134"/>
      <c r="W14" s="153"/>
    </row>
    <row r="15" spans="2:25">
      <c r="B15" s="135">
        <f t="shared" si="0"/>
        <v>2021</v>
      </c>
      <c r="C15" s="136"/>
      <c r="D15" s="128"/>
      <c r="E15" s="128"/>
      <c r="F15" s="128"/>
      <c r="G15" s="130"/>
      <c r="H15" s="128"/>
      <c r="I15" s="128"/>
      <c r="J15" s="130"/>
      <c r="K15" s="130"/>
      <c r="L15" s="128">
        <f t="shared" si="1"/>
        <v>0</v>
      </c>
      <c r="M15" s="119"/>
      <c r="O15" s="117"/>
      <c r="P15" s="259"/>
      <c r="Q15" s="133"/>
      <c r="R15" s="134"/>
      <c r="W15" s="153"/>
    </row>
    <row r="16" spans="2:25">
      <c r="B16" s="135">
        <f t="shared" si="0"/>
        <v>2022</v>
      </c>
      <c r="C16" s="136"/>
      <c r="D16" s="128"/>
      <c r="E16" s="128"/>
      <c r="F16" s="128"/>
      <c r="G16" s="130"/>
      <c r="H16" s="128"/>
      <c r="I16" s="128"/>
      <c r="J16" s="130"/>
      <c r="K16" s="130"/>
      <c r="L16" s="128">
        <f t="shared" si="1"/>
        <v>0</v>
      </c>
      <c r="M16" s="119"/>
      <c r="O16" s="117"/>
      <c r="W16" s="153"/>
    </row>
    <row r="17" spans="2:26">
      <c r="B17" s="135">
        <f t="shared" si="0"/>
        <v>2023</v>
      </c>
      <c r="C17" s="136"/>
      <c r="D17" s="128"/>
      <c r="E17" s="128"/>
      <c r="F17" s="128"/>
      <c r="G17" s="130"/>
      <c r="H17" s="128"/>
      <c r="I17" s="128"/>
      <c r="J17" s="130"/>
      <c r="K17" s="130"/>
      <c r="L17" s="128">
        <f t="shared" si="1"/>
        <v>0</v>
      </c>
      <c r="M17" s="119"/>
      <c r="O17" s="117"/>
      <c r="P17" s="132"/>
      <c r="W17" s="153"/>
    </row>
    <row r="18" spans="2:26">
      <c r="B18" s="135">
        <f t="shared" si="0"/>
        <v>2024</v>
      </c>
      <c r="C18" s="335">
        <v>1252.8729166666667</v>
      </c>
      <c r="D18" s="128">
        <f>C18*$C$62</f>
        <v>86.431167750709889</v>
      </c>
      <c r="E18" s="256">
        <v>32.969791666666666</v>
      </c>
      <c r="F18" s="358">
        <f>C60</f>
        <v>47.870308055404152</v>
      </c>
      <c r="G18" s="130">
        <f>(D18+E18+F18)/(8.76*$C$63)</f>
        <v>43.795627401653867</v>
      </c>
      <c r="H18" s="128"/>
      <c r="I18" s="128">
        <v>-20.480000000000004</v>
      </c>
      <c r="J18" s="130">
        <f>(G18+H18+I18)</f>
        <v>23.315627401653863</v>
      </c>
      <c r="K18" s="130">
        <f t="shared" ref="K18:K32" si="2">ROUND(J18*$C$63*8.76,2)</f>
        <v>89.05</v>
      </c>
      <c r="L18" s="128">
        <f t="shared" si="1"/>
        <v>167.27126747278072</v>
      </c>
      <c r="M18" s="119"/>
      <c r="O18" s="117"/>
      <c r="Q18" s="130"/>
      <c r="U18" s="161"/>
      <c r="V18" s="153"/>
      <c r="W18" s="153"/>
      <c r="X18" s="153"/>
      <c r="Y18" s="153"/>
      <c r="Z18" s="153"/>
    </row>
    <row r="19" spans="2:26">
      <c r="B19" s="135">
        <f t="shared" si="0"/>
        <v>2025</v>
      </c>
      <c r="C19" s="136"/>
      <c r="D19" s="128">
        <f t="shared" ref="D19:D37" si="3">ROUND(D18*(1+(IFERROR(INDEX($D$66:$D$74,MATCH($B19,$C$66:$C$74,0),1),0)+IFERROR(INDEX($G$66:$G$74,MATCH($B19,$F$66:$F$74,0),1),0)+IFERROR(INDEX($J$66:$J$74,MATCH($B19,$I$66:$I$74,0),1),0))),2)</f>
        <v>88.25</v>
      </c>
      <c r="E19" s="256">
        <v>33.73020833333333</v>
      </c>
      <c r="F19" s="128">
        <f t="shared" ref="F19:F37" si="4">ROUND(F18*(1+(IFERROR(INDEX($D$66:$D$74,MATCH($B19,$C$66:$C$74,0),1),0)+IFERROR(INDEX($G$66:$G$74,MATCH($B19,$F$66:$F$74,0),1),0)+IFERROR(INDEX($J$66:$J$74,MATCH($B19,$I$66:$I$74,0),1),0))),2)</f>
        <v>48.88</v>
      </c>
      <c r="G19" s="130">
        <f t="shared" ref="G19:G37" si="5">(D19+E19+F19)/(8.76*$C$63)</f>
        <v>44.735298147682684</v>
      </c>
      <c r="H19" s="128"/>
      <c r="I19" s="128">
        <f t="shared" ref="I19:I27" si="6">ROUND(I18*(1+(IFERROR(INDEX($D$66:$D$74,MATCH($B19,$C$66:$C$74,0),1),0)+IFERROR(INDEX($G$66:$G$74,MATCH($B19,$F$66:$F$74,0),1),0)+IFERROR(INDEX($J$66:$J$74,MATCH($B19,$I$66:$I$74,0),1),0))),2)</f>
        <v>-20.91</v>
      </c>
      <c r="J19" s="130">
        <f t="shared" ref="J19:J37" si="7">(G19+H19+I19)</f>
        <v>23.825298147682684</v>
      </c>
      <c r="K19" s="130">
        <f t="shared" si="2"/>
        <v>91</v>
      </c>
      <c r="L19" s="128">
        <f t="shared" si="1"/>
        <v>170.86020833333333</v>
      </c>
      <c r="M19" s="119"/>
      <c r="O19" s="117"/>
      <c r="Q19" s="130"/>
      <c r="U19" s="161"/>
      <c r="V19" s="153"/>
      <c r="W19" s="153"/>
      <c r="X19" s="153"/>
      <c r="Y19" s="153"/>
      <c r="Z19" s="153"/>
    </row>
    <row r="20" spans="2:26">
      <c r="B20" s="135">
        <f t="shared" si="0"/>
        <v>2026</v>
      </c>
      <c r="C20" s="136"/>
      <c r="D20" s="128">
        <f t="shared" si="3"/>
        <v>90.19</v>
      </c>
      <c r="E20" s="256">
        <v>34.490104166666669</v>
      </c>
      <c r="F20" s="128">
        <f t="shared" si="4"/>
        <v>49.96</v>
      </c>
      <c r="G20" s="130">
        <f t="shared" si="5"/>
        <v>45.724965482873223</v>
      </c>
      <c r="H20" s="128"/>
      <c r="I20" s="128">
        <f t="shared" si="6"/>
        <v>-21.37</v>
      </c>
      <c r="J20" s="130">
        <f t="shared" si="7"/>
        <v>24.354965482873222</v>
      </c>
      <c r="K20" s="130">
        <f t="shared" si="2"/>
        <v>93.02</v>
      </c>
      <c r="L20" s="128">
        <f t="shared" si="1"/>
        <v>174.64010416666667</v>
      </c>
      <c r="M20" s="119"/>
      <c r="O20" s="117"/>
      <c r="Q20" s="130"/>
      <c r="S20" s="153"/>
      <c r="U20" s="161"/>
      <c r="V20" s="153"/>
      <c r="W20" s="153"/>
      <c r="X20" s="153"/>
      <c r="Y20" s="153"/>
      <c r="Z20" s="153"/>
    </row>
    <row r="21" spans="2:26">
      <c r="B21" s="135">
        <f t="shared" si="0"/>
        <v>2027</v>
      </c>
      <c r="C21" s="136"/>
      <c r="D21" s="128">
        <f t="shared" si="3"/>
        <v>92.26</v>
      </c>
      <c r="E21" s="256">
        <v>35.280208333333334</v>
      </c>
      <c r="F21" s="128">
        <f t="shared" si="4"/>
        <v>51.11</v>
      </c>
      <c r="G21" s="130">
        <f t="shared" si="5"/>
        <v>46.774906877941163</v>
      </c>
      <c r="H21" s="186">
        <v>1</v>
      </c>
      <c r="I21" s="128">
        <f t="shared" si="6"/>
        <v>-21.86</v>
      </c>
      <c r="J21" s="130">
        <f t="shared" si="7"/>
        <v>25.914906877941164</v>
      </c>
      <c r="K21" s="130">
        <f t="shared" si="2"/>
        <v>98.98</v>
      </c>
      <c r="L21" s="128">
        <f t="shared" si="1"/>
        <v>178.65020833333335</v>
      </c>
      <c r="M21" s="119"/>
      <c r="O21" s="117"/>
      <c r="Q21" s="130"/>
      <c r="S21" s="153"/>
      <c r="U21" s="161"/>
      <c r="V21" s="153"/>
      <c r="W21" s="153"/>
      <c r="X21" s="153"/>
      <c r="Y21" s="153"/>
      <c r="Z21" s="153"/>
    </row>
    <row r="22" spans="2:26">
      <c r="B22" s="135">
        <f t="shared" si="0"/>
        <v>2028</v>
      </c>
      <c r="C22" s="136"/>
      <c r="D22" s="128">
        <f t="shared" si="3"/>
        <v>94.38</v>
      </c>
      <c r="E22" s="256">
        <v>36.09010416666667</v>
      </c>
      <c r="F22" s="128">
        <f t="shared" si="4"/>
        <v>52.29</v>
      </c>
      <c r="G22" s="130">
        <f t="shared" si="5"/>
        <v>47.850976123399377</v>
      </c>
      <c r="H22" s="186">
        <v>1</v>
      </c>
      <c r="I22" s="128">
        <f t="shared" si="6"/>
        <v>-22.36</v>
      </c>
      <c r="J22" s="130">
        <f t="shared" si="7"/>
        <v>26.490976123399378</v>
      </c>
      <c r="K22" s="130">
        <f t="shared" si="2"/>
        <v>101.18</v>
      </c>
      <c r="L22" s="128">
        <f t="shared" si="1"/>
        <v>182.76010416666665</v>
      </c>
      <c r="M22" s="119"/>
      <c r="O22" s="117"/>
      <c r="Q22" s="130"/>
      <c r="S22" s="153"/>
      <c r="U22" s="161"/>
      <c r="V22" s="153"/>
      <c r="W22" s="153"/>
      <c r="X22" s="153"/>
      <c r="Y22" s="153"/>
      <c r="Z22" s="153"/>
    </row>
    <row r="23" spans="2:26">
      <c r="B23" s="135">
        <f t="shared" si="0"/>
        <v>2029</v>
      </c>
      <c r="C23" s="136"/>
      <c r="D23" s="128">
        <f t="shared" si="3"/>
        <v>96.55</v>
      </c>
      <c r="E23" s="256">
        <v>36.90989583333333</v>
      </c>
      <c r="F23" s="128">
        <f t="shared" si="4"/>
        <v>53.49</v>
      </c>
      <c r="G23" s="130">
        <f t="shared" si="5"/>
        <v>48.947964013167997</v>
      </c>
      <c r="H23" s="186">
        <v>1</v>
      </c>
      <c r="I23" s="128">
        <f t="shared" si="6"/>
        <v>-22.87</v>
      </c>
      <c r="J23" s="130">
        <f t="shared" si="7"/>
        <v>27.077964013167996</v>
      </c>
      <c r="K23" s="130">
        <f t="shared" si="2"/>
        <v>103.42</v>
      </c>
      <c r="L23" s="128">
        <f t="shared" si="1"/>
        <v>186.94989583333333</v>
      </c>
      <c r="M23" s="119"/>
      <c r="O23" s="117"/>
      <c r="Q23" s="130"/>
      <c r="S23" s="153"/>
      <c r="U23" s="161"/>
      <c r="V23" s="153"/>
      <c r="W23" s="153"/>
      <c r="X23" s="153"/>
      <c r="Y23" s="153"/>
      <c r="Z23" s="153"/>
    </row>
    <row r="24" spans="2:26">
      <c r="B24" s="135">
        <f t="shared" si="0"/>
        <v>2030</v>
      </c>
      <c r="C24" s="136"/>
      <c r="D24" s="128">
        <f t="shared" si="3"/>
        <v>98.77</v>
      </c>
      <c r="E24" s="256">
        <v>37.75</v>
      </c>
      <c r="F24" s="128">
        <f t="shared" si="4"/>
        <v>54.72</v>
      </c>
      <c r="G24" s="130">
        <f t="shared" si="5"/>
        <v>50.07121611997821</v>
      </c>
      <c r="H24" s="186">
        <v>1</v>
      </c>
      <c r="I24" s="128">
        <f t="shared" si="6"/>
        <v>-23.4</v>
      </c>
      <c r="J24" s="130">
        <f t="shared" si="7"/>
        <v>27.671216119978212</v>
      </c>
      <c r="K24" s="130">
        <f t="shared" si="2"/>
        <v>105.69</v>
      </c>
      <c r="L24" s="128">
        <f t="shared" si="1"/>
        <v>191.23999999999998</v>
      </c>
      <c r="M24" s="119"/>
      <c r="O24" s="117"/>
      <c r="Q24" s="130"/>
      <c r="S24" s="153"/>
      <c r="U24" s="161"/>
      <c r="V24" s="153"/>
      <c r="W24" s="153"/>
      <c r="X24" s="153"/>
      <c r="Y24" s="153"/>
      <c r="Z24" s="153"/>
    </row>
    <row r="25" spans="2:26">
      <c r="B25" s="135">
        <f t="shared" si="0"/>
        <v>2031</v>
      </c>
      <c r="C25" s="136"/>
      <c r="D25" s="128">
        <f t="shared" si="3"/>
        <v>101.04</v>
      </c>
      <c r="E25" s="256">
        <v>38.609895833333333</v>
      </c>
      <c r="F25" s="128">
        <f t="shared" si="4"/>
        <v>55.98</v>
      </c>
      <c r="G25" s="130">
        <f t="shared" si="5"/>
        <v>51.220596077178726</v>
      </c>
      <c r="H25" s="186">
        <v>1</v>
      </c>
      <c r="I25" s="128">
        <f t="shared" si="6"/>
        <v>-23.94</v>
      </c>
      <c r="J25" s="130">
        <f t="shared" si="7"/>
        <v>28.280596077178725</v>
      </c>
      <c r="K25" s="130">
        <f t="shared" si="2"/>
        <v>108.01</v>
      </c>
      <c r="L25" s="128">
        <f t="shared" si="1"/>
        <v>195.62989583333334</v>
      </c>
      <c r="M25" s="119"/>
      <c r="O25" s="117"/>
      <c r="Q25" s="130"/>
      <c r="S25" s="153"/>
      <c r="U25" s="161"/>
      <c r="V25" s="153"/>
      <c r="W25" s="153"/>
      <c r="X25" s="153"/>
      <c r="Y25" s="153"/>
      <c r="Z25" s="153"/>
    </row>
    <row r="26" spans="2:26">
      <c r="B26" s="135">
        <f t="shared" si="0"/>
        <v>2032</v>
      </c>
      <c r="C26" s="136"/>
      <c r="D26" s="128">
        <f t="shared" si="3"/>
        <v>103.36</v>
      </c>
      <c r="E26" s="256">
        <v>39.490104166666669</v>
      </c>
      <c r="F26" s="128">
        <f t="shared" si="4"/>
        <v>57.27</v>
      </c>
      <c r="G26" s="130">
        <f t="shared" si="5"/>
        <v>52.396240251420828</v>
      </c>
      <c r="H26" s="186">
        <v>1</v>
      </c>
      <c r="I26" s="128">
        <f t="shared" si="6"/>
        <v>-24.49</v>
      </c>
      <c r="J26" s="130">
        <f t="shared" si="7"/>
        <v>28.906240251420829</v>
      </c>
      <c r="K26" s="130">
        <f t="shared" si="2"/>
        <v>110.4</v>
      </c>
      <c r="L26" s="128">
        <f t="shared" si="1"/>
        <v>200.12010416666666</v>
      </c>
      <c r="M26" s="119"/>
      <c r="O26" s="117"/>
      <c r="Q26" s="130"/>
      <c r="S26" s="153"/>
      <c r="U26" s="161"/>
      <c r="V26" s="153"/>
      <c r="W26" s="153"/>
      <c r="X26" s="153"/>
      <c r="Y26" s="153"/>
      <c r="Z26" s="153"/>
    </row>
    <row r="27" spans="2:26">
      <c r="B27" s="135">
        <f t="shared" si="0"/>
        <v>2033</v>
      </c>
      <c r="C27" s="136"/>
      <c r="D27" s="128">
        <f t="shared" si="3"/>
        <v>105.74</v>
      </c>
      <c r="E27" s="256">
        <v>40.390104166666667</v>
      </c>
      <c r="F27" s="128">
        <f t="shared" si="4"/>
        <v>58.59</v>
      </c>
      <c r="G27" s="130">
        <f t="shared" si="5"/>
        <v>53.600630515758311</v>
      </c>
      <c r="H27" s="186">
        <v>1</v>
      </c>
      <c r="I27" s="128">
        <f t="shared" si="6"/>
        <v>-25.05</v>
      </c>
      <c r="J27" s="130">
        <f t="shared" si="7"/>
        <v>29.550630515758311</v>
      </c>
      <c r="K27" s="130">
        <f t="shared" si="2"/>
        <v>112.86</v>
      </c>
      <c r="L27" s="128">
        <f t="shared" si="1"/>
        <v>204.72010416666666</v>
      </c>
      <c r="M27" s="119"/>
      <c r="O27" s="117"/>
      <c r="Q27" s="130"/>
      <c r="S27" s="153"/>
      <c r="U27" s="161"/>
      <c r="V27" s="153"/>
      <c r="W27" s="153"/>
      <c r="X27" s="153"/>
      <c r="Y27" s="153"/>
      <c r="Z27" s="153"/>
    </row>
    <row r="28" spans="2:26">
      <c r="B28" s="135">
        <f t="shared" si="0"/>
        <v>2034</v>
      </c>
      <c r="C28" s="136"/>
      <c r="D28" s="128">
        <f t="shared" si="3"/>
        <v>108.17</v>
      </c>
      <c r="E28" s="256">
        <v>41.309895833333336</v>
      </c>
      <c r="F28" s="128">
        <f t="shared" si="4"/>
        <v>59.94</v>
      </c>
      <c r="G28" s="130">
        <f t="shared" si="5"/>
        <v>54.831148630486084</v>
      </c>
      <c r="H28" s="186">
        <v>1</v>
      </c>
      <c r="I28" s="128"/>
      <c r="J28" s="130">
        <f t="shared" si="7"/>
        <v>55.831148630486084</v>
      </c>
      <c r="K28" s="130">
        <f t="shared" si="2"/>
        <v>213.24</v>
      </c>
      <c r="L28" s="128">
        <f t="shared" si="1"/>
        <v>209.41989583333333</v>
      </c>
      <c r="M28" s="119"/>
      <c r="O28" s="117"/>
      <c r="Q28" s="130"/>
      <c r="S28" s="153"/>
      <c r="U28" s="161"/>
      <c r="V28" s="153"/>
      <c r="W28" s="153"/>
      <c r="X28" s="153"/>
      <c r="Y28" s="153"/>
      <c r="Z28" s="153"/>
    </row>
    <row r="29" spans="2:26">
      <c r="B29" s="135">
        <f t="shared" si="0"/>
        <v>2035</v>
      </c>
      <c r="C29" s="136"/>
      <c r="D29" s="128">
        <f t="shared" si="3"/>
        <v>110.66</v>
      </c>
      <c r="E29" s="256">
        <v>42.25</v>
      </c>
      <c r="F29" s="128">
        <f t="shared" si="4"/>
        <v>61.32</v>
      </c>
      <c r="G29" s="130">
        <f t="shared" si="5"/>
        <v>56.090549201960535</v>
      </c>
      <c r="H29" s="186">
        <v>1</v>
      </c>
      <c r="I29" s="128"/>
      <c r="J29" s="130">
        <f t="shared" si="7"/>
        <v>57.090549201960535</v>
      </c>
      <c r="K29" s="130">
        <f t="shared" si="2"/>
        <v>218.05</v>
      </c>
      <c r="L29" s="128">
        <f t="shared" si="1"/>
        <v>214.23</v>
      </c>
      <c r="M29" s="119"/>
      <c r="O29" s="117"/>
      <c r="Q29" s="130"/>
      <c r="S29" s="153"/>
      <c r="U29" s="161"/>
      <c r="V29" s="153"/>
      <c r="W29" s="153"/>
      <c r="X29" s="153"/>
      <c r="Y29" s="153"/>
      <c r="Z29" s="153"/>
    </row>
    <row r="30" spans="2:26">
      <c r="B30" s="135">
        <f t="shared" si="0"/>
        <v>2036</v>
      </c>
      <c r="C30" s="136"/>
      <c r="D30" s="128">
        <f t="shared" si="3"/>
        <v>113.21</v>
      </c>
      <c r="E30" s="256">
        <v>43.219791666666666</v>
      </c>
      <c r="F30" s="128">
        <f t="shared" si="4"/>
        <v>62.73</v>
      </c>
      <c r="G30" s="130">
        <f t="shared" si="5"/>
        <v>57.381286829905179</v>
      </c>
      <c r="H30" s="186">
        <v>1</v>
      </c>
      <c r="I30" s="128"/>
      <c r="J30" s="130">
        <f t="shared" si="7"/>
        <v>58.381286829905179</v>
      </c>
      <c r="K30" s="130">
        <f t="shared" si="2"/>
        <v>222.98</v>
      </c>
      <c r="L30" s="128">
        <f t="shared" si="1"/>
        <v>219.15979166666665</v>
      </c>
      <c r="M30" s="119"/>
      <c r="O30" s="117"/>
      <c r="Q30" s="130"/>
      <c r="S30" s="153"/>
      <c r="U30" s="161"/>
      <c r="V30" s="153"/>
      <c r="W30" s="153"/>
      <c r="X30" s="153"/>
      <c r="Y30" s="153"/>
      <c r="Z30" s="153"/>
    </row>
    <row r="31" spans="2:26">
      <c r="B31" s="135">
        <f t="shared" si="0"/>
        <v>2037</v>
      </c>
      <c r="C31" s="136"/>
      <c r="D31" s="128">
        <f t="shared" si="3"/>
        <v>115.81</v>
      </c>
      <c r="E31" s="256">
        <v>44.2</v>
      </c>
      <c r="F31" s="128">
        <f t="shared" si="4"/>
        <v>64.17</v>
      </c>
      <c r="G31" s="130">
        <f t="shared" si="5"/>
        <v>58.695697708516612</v>
      </c>
      <c r="H31" s="186">
        <v>1</v>
      </c>
      <c r="I31" s="128"/>
      <c r="J31" s="130">
        <f t="shared" si="7"/>
        <v>59.695697708516612</v>
      </c>
      <c r="K31" s="130">
        <f t="shared" si="2"/>
        <v>228</v>
      </c>
      <c r="L31" s="128">
        <f t="shared" si="1"/>
        <v>224.18</v>
      </c>
      <c r="M31" s="119"/>
      <c r="O31" s="117"/>
      <c r="Q31" s="130"/>
      <c r="S31" s="153"/>
      <c r="U31" s="161"/>
      <c r="V31" s="153"/>
      <c r="W31" s="153"/>
      <c r="X31" s="153"/>
      <c r="Y31" s="153"/>
      <c r="Z31" s="153"/>
    </row>
    <row r="32" spans="2:26">
      <c r="B32" s="135">
        <f t="shared" si="0"/>
        <v>2038</v>
      </c>
      <c r="C32" s="136"/>
      <c r="D32" s="128">
        <f t="shared" si="3"/>
        <v>118.47</v>
      </c>
      <c r="E32" s="256">
        <v>45.209895833333334</v>
      </c>
      <c r="F32" s="128">
        <f t="shared" si="4"/>
        <v>65.650000000000006</v>
      </c>
      <c r="G32" s="130">
        <f t="shared" si="5"/>
        <v>60.044063883303309</v>
      </c>
      <c r="H32" s="186">
        <v>1</v>
      </c>
      <c r="I32" s="128"/>
      <c r="J32" s="130">
        <f t="shared" si="7"/>
        <v>61.044063883303309</v>
      </c>
      <c r="K32" s="130">
        <f t="shared" si="2"/>
        <v>233.15</v>
      </c>
      <c r="L32" s="128">
        <f t="shared" si="1"/>
        <v>229.32989583333332</v>
      </c>
      <c r="M32" s="119"/>
      <c r="O32" s="117"/>
      <c r="Q32" s="130"/>
      <c r="S32" s="153"/>
      <c r="U32" s="161"/>
      <c r="V32" s="153"/>
      <c r="W32" s="153"/>
      <c r="X32" s="153"/>
      <c r="Y32" s="153"/>
      <c r="Z32" s="153"/>
    </row>
    <row r="33" spans="2:28">
      <c r="B33" s="135">
        <f t="shared" si="0"/>
        <v>2039</v>
      </c>
      <c r="C33" s="136"/>
      <c r="D33" s="128">
        <f t="shared" si="3"/>
        <v>121.19</v>
      </c>
      <c r="E33" s="352">
        <f>ROUND(E32*(1+(IFERROR(INDEX($D$66:$D$74,MATCH($B33,$C$66:$C$74,0),1),0)+IFERROR(INDEX($G$66:$G$74,MATCH($B33,$F$66:$F$74,0),1),0)+IFERROR(INDEX($J$66:$J$74,MATCH($B33,$I$66:$I$74,0),1),0))),2)</f>
        <v>46.25</v>
      </c>
      <c r="F33" s="128">
        <f t="shared" si="4"/>
        <v>67.16</v>
      </c>
      <c r="G33" s="130">
        <f t="shared" si="5"/>
        <v>61.423903481211511</v>
      </c>
      <c r="H33" s="186">
        <v>1</v>
      </c>
      <c r="I33" s="128"/>
      <c r="J33" s="130">
        <f t="shared" si="7"/>
        <v>62.423903481211511</v>
      </c>
      <c r="K33" s="130">
        <f t="shared" ref="K33:K37" si="8">ROUND(J33*$C$63*8.76,2)</f>
        <v>238.42</v>
      </c>
      <c r="L33" s="128">
        <f t="shared" si="1"/>
        <v>234.6</v>
      </c>
      <c r="M33" s="119"/>
      <c r="O33" s="117"/>
      <c r="AB33" s="265"/>
    </row>
    <row r="34" spans="2:28">
      <c r="B34" s="135">
        <f t="shared" si="0"/>
        <v>2040</v>
      </c>
      <c r="C34" s="136"/>
      <c r="D34" s="128">
        <f t="shared" si="3"/>
        <v>123.98</v>
      </c>
      <c r="E34" s="352">
        <f>ROUND(E33*(1+(IFERROR(INDEX($D$66:$D$74,MATCH($B34,$C$66:$C$74,0),1),0)+IFERROR(INDEX($G$66:$G$74,MATCH($B34,$F$66:$F$74,0),1),0)+IFERROR(INDEX($J$66:$J$74,MATCH($B34,$I$66:$I$74,0),1),0))),2)</f>
        <v>47.31</v>
      </c>
      <c r="F34" s="128">
        <f t="shared" si="4"/>
        <v>68.7</v>
      </c>
      <c r="G34" s="130">
        <f t="shared" si="5"/>
        <v>62.835134682250427</v>
      </c>
      <c r="H34" s="186">
        <v>1</v>
      </c>
      <c r="I34" s="128"/>
      <c r="J34" s="130">
        <f t="shared" si="7"/>
        <v>63.835134682250427</v>
      </c>
      <c r="K34" s="130">
        <f t="shared" si="8"/>
        <v>243.81</v>
      </c>
      <c r="L34" s="128">
        <f t="shared" si="1"/>
        <v>239.99</v>
      </c>
      <c r="M34" s="119"/>
      <c r="O34" s="117"/>
      <c r="AB34" s="265"/>
    </row>
    <row r="35" spans="2:28">
      <c r="B35" s="135">
        <f t="shared" si="0"/>
        <v>2041</v>
      </c>
      <c r="C35" s="136"/>
      <c r="D35" s="128">
        <f t="shared" si="3"/>
        <v>126.83</v>
      </c>
      <c r="E35" s="352">
        <f>ROUND(E34*(1+(IFERROR(INDEX($D$66:$D$74,MATCH($B35,$C$66:$C$74,0),1),0)+IFERROR(INDEX($G$66:$G$74,MATCH($B35,$F$66:$F$74,0),1),0)+IFERROR(INDEX($J$66:$J$74,MATCH($B35,$I$66:$I$74,0),1),0))),2)</f>
        <v>48.4</v>
      </c>
      <c r="F35" s="128">
        <f t="shared" si="4"/>
        <v>70.28</v>
      </c>
      <c r="G35" s="130">
        <f t="shared" si="5"/>
        <v>64.280402999455404</v>
      </c>
      <c r="H35" s="186">
        <v>1</v>
      </c>
      <c r="I35" s="128"/>
      <c r="J35" s="130">
        <f t="shared" si="7"/>
        <v>65.280402999455404</v>
      </c>
      <c r="K35" s="130">
        <f t="shared" si="8"/>
        <v>249.33</v>
      </c>
      <c r="L35" s="128">
        <f t="shared" si="1"/>
        <v>245.51</v>
      </c>
      <c r="M35" s="119"/>
      <c r="O35" s="117"/>
      <c r="AB35" s="265"/>
    </row>
    <row r="36" spans="2:28">
      <c r="B36" s="135">
        <f t="shared" si="0"/>
        <v>2042</v>
      </c>
      <c r="C36" s="136"/>
      <c r="D36" s="128">
        <f t="shared" si="3"/>
        <v>129.75</v>
      </c>
      <c r="E36" s="352">
        <f>ROUND(E35*(1+(IFERROR(INDEX($D$66:$D$74,MATCH($B36,$C$66:$C$74,0),1),0)+IFERROR(INDEX($G$66:$G$74,MATCH($B36,$F$66:$F$74,0),1),0)+IFERROR(INDEX($J$66:$J$74,MATCH($B36,$I$66:$I$74,0),1),0))),2)</f>
        <v>49.51</v>
      </c>
      <c r="F36" s="128">
        <f t="shared" si="4"/>
        <v>71.900000000000006</v>
      </c>
      <c r="G36" s="130">
        <f t="shared" si="5"/>
        <v>65.759708432826443</v>
      </c>
      <c r="H36" s="186">
        <v>1</v>
      </c>
      <c r="I36" s="128"/>
      <c r="J36" s="130">
        <f t="shared" si="7"/>
        <v>66.759708432826443</v>
      </c>
      <c r="K36" s="130">
        <f t="shared" si="8"/>
        <v>254.98</v>
      </c>
      <c r="L36" s="128">
        <f t="shared" si="1"/>
        <v>251.16</v>
      </c>
      <c r="M36" s="119"/>
      <c r="O36" s="117"/>
      <c r="AB36" s="265"/>
    </row>
    <row r="37" spans="2:28">
      <c r="B37" s="135">
        <f t="shared" si="0"/>
        <v>2043</v>
      </c>
      <c r="C37" s="136"/>
      <c r="D37" s="128">
        <f t="shared" si="3"/>
        <v>132.86000000000001</v>
      </c>
      <c r="E37" s="352">
        <f>ROUND(E36*(1+(IFERROR(INDEX($D$66:$D$74,MATCH($B37,$C$66:$C$74,0),1),0)+IFERROR(INDEX($G$66:$G$74,MATCH($B37,$F$66:$F$74,0),1),0)+IFERROR(INDEX($J$66:$J$74,MATCH($B37,$I$66:$I$74,0),1),0))),2)</f>
        <v>50.7</v>
      </c>
      <c r="F37" s="128">
        <f t="shared" si="4"/>
        <v>73.63</v>
      </c>
      <c r="G37" s="130">
        <f t="shared" si="5"/>
        <v>67.338506974990565</v>
      </c>
      <c r="H37" s="186">
        <v>1</v>
      </c>
      <c r="I37" s="128"/>
      <c r="J37" s="130">
        <f t="shared" si="7"/>
        <v>68.338506974990565</v>
      </c>
      <c r="K37" s="130">
        <f t="shared" si="8"/>
        <v>261.01</v>
      </c>
      <c r="L37" s="128">
        <f t="shared" si="1"/>
        <v>257.19</v>
      </c>
      <c r="AB37" s="265"/>
    </row>
    <row r="38" spans="2:28">
      <c r="B38" s="126"/>
      <c r="C38" s="131"/>
      <c r="D38" s="128"/>
      <c r="E38" s="128"/>
      <c r="F38" s="129"/>
      <c r="G38" s="128"/>
      <c r="H38" s="128"/>
      <c r="I38" s="128"/>
      <c r="J38" s="130"/>
      <c r="K38" s="130"/>
      <c r="L38" s="137"/>
      <c r="AB38" s="265"/>
    </row>
    <row r="39" spans="2:28">
      <c r="B39" s="126"/>
      <c r="C39" s="131"/>
      <c r="D39" s="128"/>
      <c r="E39" s="128"/>
      <c r="F39" s="129"/>
      <c r="G39" s="128"/>
      <c r="H39" s="128"/>
      <c r="I39" s="128"/>
      <c r="J39" s="130"/>
      <c r="K39" s="130"/>
      <c r="L39" s="137"/>
      <c r="AB39" s="265"/>
    </row>
    <row r="40" spans="2:28">
      <c r="B40" s="126"/>
      <c r="C40" s="131"/>
      <c r="D40" s="128"/>
      <c r="E40" s="128"/>
      <c r="F40" s="129"/>
      <c r="G40" s="128"/>
      <c r="H40" s="128"/>
      <c r="I40" s="128"/>
      <c r="J40" s="130"/>
      <c r="K40" s="130"/>
      <c r="L40" s="137"/>
      <c r="AB40" s="265"/>
    </row>
    <row r="41" spans="2:28">
      <c r="AB41" s="265"/>
    </row>
    <row r="42" spans="2:28" ht="14.25">
      <c r="B42" s="138" t="s">
        <v>25</v>
      </c>
      <c r="C42" s="139"/>
      <c r="D42" s="139"/>
      <c r="E42" s="139"/>
      <c r="F42" s="139"/>
      <c r="G42" s="139"/>
      <c r="H42" s="139"/>
      <c r="I42" s="139"/>
      <c r="AB42" s="265"/>
    </row>
    <row r="43" spans="2:28">
      <c r="AB43" s="265"/>
    </row>
    <row r="44" spans="2:28">
      <c r="B44" s="117" t="s">
        <v>63</v>
      </c>
      <c r="C44" s="140" t="s">
        <v>64</v>
      </c>
      <c r="D44" s="141" t="s">
        <v>102</v>
      </c>
      <c r="AB44" s="265"/>
    </row>
    <row r="45" spans="2:28">
      <c r="C45" s="140" t="str">
        <f>C7</f>
        <v>(a)</v>
      </c>
      <c r="D45" s="117" t="s">
        <v>65</v>
      </c>
      <c r="AB45" s="265"/>
    </row>
    <row r="46" spans="2:28">
      <c r="C46" s="140" t="str">
        <f>D7</f>
        <v>(b)</v>
      </c>
      <c r="D46" s="130" t="str">
        <f>"= "&amp;C7&amp;" x "&amp;C62</f>
        <v>= (a) x 0.0689863805027125</v>
      </c>
      <c r="AB46" s="265"/>
    </row>
    <row r="47" spans="2:28">
      <c r="C47" s="140" t="str">
        <f>G7</f>
        <v>(e)</v>
      </c>
      <c r="D47" s="130" t="str">
        <f>"= ("&amp;$D$7&amp;" + "&amp;$E$7&amp;") /  (8.76 x "&amp;TEXT(C63,"0.0%")&amp;")"</f>
        <v>= ((b) + (c)) /  (8.76 x 43.6%)</v>
      </c>
      <c r="AB47" s="265"/>
    </row>
    <row r="48" spans="2:28">
      <c r="C48" s="140" t="str">
        <f>J7</f>
        <v>(h)</v>
      </c>
      <c r="D48" s="130" t="str">
        <f>"= "&amp;$G$7&amp;" + "&amp;$H$7&amp;" + "&amp;$I$7</f>
        <v>= (e) + (f) + (g)</v>
      </c>
    </row>
    <row r="49" spans="2:28">
      <c r="C49" s="140" t="str">
        <f>L7</f>
        <v>(i)</v>
      </c>
      <c r="D49" s="85" t="str">
        <f>D44</f>
        <v>Plant Costs  - 2019 IRP Update - Table 6.1 &amp; 6.2</v>
      </c>
      <c r="AB49" s="266"/>
    </row>
    <row r="50" spans="2:28">
      <c r="C50" s="140"/>
      <c r="D50" s="130"/>
    </row>
    <row r="51" spans="2:28" ht="13.5" thickBot="1"/>
    <row r="52" spans="2:28" ht="13.5" thickBot="1">
      <c r="C52" s="42" t="str">
        <f>B2&amp;" - "&amp;B3</f>
        <v>2019 IRP Wyoming Wind Resource - 44% Capacity Factor</v>
      </c>
      <c r="D52" s="142"/>
      <c r="E52" s="142"/>
      <c r="F52" s="142"/>
      <c r="G52" s="142"/>
      <c r="H52" s="142"/>
      <c r="I52" s="142"/>
      <c r="J52" s="143"/>
      <c r="K52" s="143"/>
      <c r="L52" s="144"/>
    </row>
    <row r="53" spans="2:28" ht="13.5" thickBot="1">
      <c r="C53" s="145" t="s">
        <v>66</v>
      </c>
      <c r="D53" s="146" t="s">
        <v>67</v>
      </c>
      <c r="E53" s="146"/>
      <c r="F53" s="146"/>
      <c r="G53" s="146"/>
      <c r="H53" s="146"/>
      <c r="I53" s="147"/>
      <c r="J53" s="143"/>
      <c r="K53" s="143"/>
      <c r="L53" s="144"/>
    </row>
    <row r="54" spans="2:28">
      <c r="Q54" s="117" t="s">
        <v>103</v>
      </c>
      <c r="R54" s="117">
        <v>2024</v>
      </c>
    </row>
    <row r="55" spans="2:28">
      <c r="B55" s="85" t="s">
        <v>101</v>
      </c>
      <c r="C55" s="170">
        <v>1301.4978814276944</v>
      </c>
      <c r="D55" s="117" t="s">
        <v>65</v>
      </c>
      <c r="P55" s="117">
        <v>1920</v>
      </c>
      <c r="Q55" s="117" t="s">
        <v>32</v>
      </c>
      <c r="R55" s="117" t="s">
        <v>100</v>
      </c>
      <c r="U55" s="117" t="str">
        <f>$R$55&amp;"Proposed Station Capital Costs"</f>
        <v>H4.AE1_WDProposed Station Capital Costs</v>
      </c>
    </row>
    <row r="56" spans="2:28">
      <c r="B56" s="85" t="s">
        <v>101</v>
      </c>
      <c r="C56" s="256">
        <v>28.802174620531375</v>
      </c>
      <c r="D56" s="117" t="s">
        <v>68</v>
      </c>
      <c r="U56" s="117" t="str">
        <f>$R$55&amp;"Proposed Station Fixed Costs"</f>
        <v>H4.AE1_WDProposed Station Fixed Costs</v>
      </c>
    </row>
    <row r="57" spans="2:28" ht="24" customHeight="1">
      <c r="B57" s="85"/>
      <c r="C57" s="258"/>
      <c r="D57" s="117" t="s">
        <v>105</v>
      </c>
      <c r="R57" s="201" t="str">
        <f>R55&amp;R54</f>
        <v>H4.AE1_WD2024</v>
      </c>
      <c r="U57" s="117" t="str">
        <f>$R$55&amp;"Proposed Station Variable O&amp;M Costs"</f>
        <v>H4.AE1_WDProposed Station Variable O&amp;M Costs</v>
      </c>
    </row>
    <row r="58" spans="2:28">
      <c r="B58" s="85" t="s">
        <v>101</v>
      </c>
      <c r="C58" s="256">
        <v>0.65</v>
      </c>
      <c r="D58" s="117" t="s">
        <v>69</v>
      </c>
      <c r="F58" s="117" t="s">
        <v>152</v>
      </c>
      <c r="L58" s="119"/>
      <c r="M58" s="149"/>
      <c r="N58" s="52"/>
      <c r="O58" s="163"/>
      <c r="P58" s="52"/>
      <c r="Q58" s="52"/>
      <c r="R58" s="119"/>
      <c r="S58" s="119"/>
      <c r="U58" s="119"/>
      <c r="V58" s="119"/>
      <c r="W58" s="119"/>
      <c r="X58" s="119"/>
      <c r="Y58" s="119"/>
      <c r="Z58" s="119"/>
    </row>
    <row r="59" spans="2:28">
      <c r="B59" s="85"/>
      <c r="C59" s="158">
        <v>-6.2214116072769627</v>
      </c>
      <c r="D59" s="117" t="s">
        <v>70</v>
      </c>
      <c r="J59" s="184" t="s">
        <v>91</v>
      </c>
      <c r="M59" s="151"/>
      <c r="N59" s="152"/>
      <c r="P59" s="150"/>
      <c r="Q59" s="119"/>
      <c r="R59" s="119"/>
      <c r="S59" s="119"/>
      <c r="U59" s="119"/>
      <c r="V59" s="119"/>
      <c r="W59" s="119"/>
      <c r="X59" s="119"/>
      <c r="Y59" s="119"/>
      <c r="Z59" s="119"/>
    </row>
    <row r="60" spans="2:28">
      <c r="B60" s="357" t="str">
        <f>LEFT(RIGHT(INDEX('Table 3 TransCost'!$39:$39,1,MATCH(F60,'Table 3 TransCost'!$4:$4,0)),6),5)</f>
        <v>2024$</v>
      </c>
      <c r="C60" s="258">
        <f>INDEX('Table 3 TransCost'!$39:$39,1,MATCH(F60,'Table 3 TransCost'!$4:$4,0)+2)</f>
        <v>47.870308055404152</v>
      </c>
      <c r="D60" s="117" t="s">
        <v>218</v>
      </c>
      <c r="F60" s="262" t="s">
        <v>179</v>
      </c>
      <c r="L60" s="151"/>
      <c r="M60" s="151"/>
      <c r="N60" s="151"/>
      <c r="O60" s="164"/>
      <c r="P60" s="150"/>
      <c r="Q60" s="119"/>
      <c r="R60" s="119"/>
      <c r="S60" s="119"/>
      <c r="U60" s="119"/>
      <c r="V60" s="119"/>
      <c r="W60" s="119"/>
      <c r="X60" s="119"/>
      <c r="Y60" s="119"/>
      <c r="Z60" s="119"/>
    </row>
    <row r="61" spans="2:28">
      <c r="B61" s="85"/>
      <c r="C61" s="187"/>
      <c r="L61" s="151"/>
      <c r="M61" s="151"/>
      <c r="N61" s="151"/>
      <c r="O61" s="164"/>
      <c r="P61" s="151"/>
      <c r="S61" s="119"/>
      <c r="U61" s="119"/>
      <c r="V61" s="119"/>
      <c r="W61" s="119"/>
      <c r="X61" s="119"/>
      <c r="Y61" s="119"/>
      <c r="Z61" s="119"/>
    </row>
    <row r="62" spans="2:28">
      <c r="C62" s="257">
        <v>6.898638050271251E-2</v>
      </c>
      <c r="D62" s="117" t="s">
        <v>36</v>
      </c>
      <c r="L62" s="155"/>
      <c r="M62" s="156"/>
      <c r="N62" s="156"/>
      <c r="P62" s="157"/>
    </row>
    <row r="63" spans="2:28">
      <c r="C63" s="195">
        <v>0.436</v>
      </c>
      <c r="D63" s="117" t="s">
        <v>37</v>
      </c>
    </row>
    <row r="64" spans="2:28" ht="13.5" thickBot="1">
      <c r="D64" s="154"/>
    </row>
    <row r="65" spans="3:15" ht="13.5" thickBot="1">
      <c r="C65" s="40" t="str">
        <f>"Company Official Inflation Forecast Dated "&amp;TEXT('Table 4'!$H$5,"mmmm dd, yyyy")</f>
        <v>Company Official Inflation Forecast Dated December 31, 2020</v>
      </c>
      <c r="D65" s="142"/>
      <c r="E65" s="142"/>
      <c r="F65" s="142"/>
      <c r="G65" s="142"/>
      <c r="H65" s="142"/>
      <c r="I65" s="142"/>
      <c r="J65" s="142"/>
      <c r="K65" s="142"/>
      <c r="L65" s="144"/>
    </row>
    <row r="66" spans="3:15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41"/>
      <c r="I66" s="87">
        <f>F74+1</f>
        <v>2035</v>
      </c>
      <c r="J66" s="41">
        <v>2.3E-2</v>
      </c>
    </row>
    <row r="67" spans="3:15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5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2.3E-2</v>
      </c>
      <c r="H68" s="41"/>
      <c r="I68" s="87">
        <f t="shared" ref="I68:I74" si="11">I67+1</f>
        <v>2037</v>
      </c>
      <c r="J68" s="41">
        <v>2.3E-2</v>
      </c>
    </row>
    <row r="69" spans="3:15">
      <c r="C69" s="87">
        <f t="shared" si="9"/>
        <v>2020</v>
      </c>
      <c r="D69" s="41">
        <v>1.2E-2</v>
      </c>
      <c r="E69" s="85"/>
      <c r="F69" s="87">
        <f t="shared" si="10"/>
        <v>2029</v>
      </c>
      <c r="G69" s="41">
        <v>2.3E-2</v>
      </c>
      <c r="H69" s="41"/>
      <c r="I69" s="87">
        <f t="shared" si="11"/>
        <v>2038</v>
      </c>
      <c r="J69" s="41">
        <v>2.3E-2</v>
      </c>
    </row>
    <row r="70" spans="3:15">
      <c r="C70" s="87">
        <f t="shared" si="9"/>
        <v>2021</v>
      </c>
      <c r="D70" s="41">
        <v>1.9E-2</v>
      </c>
      <c r="E70" s="85"/>
      <c r="F70" s="87">
        <f t="shared" si="10"/>
        <v>2030</v>
      </c>
      <c r="G70" s="41">
        <v>2.3E-2</v>
      </c>
      <c r="H70" s="41"/>
      <c r="I70" s="87">
        <f t="shared" si="11"/>
        <v>2039</v>
      </c>
      <c r="J70" s="41">
        <v>2.3E-2</v>
      </c>
    </row>
    <row r="71" spans="3:15">
      <c r="C71" s="87">
        <f t="shared" si="9"/>
        <v>2022</v>
      </c>
      <c r="D71" s="41">
        <v>2.1999999999999999E-2</v>
      </c>
      <c r="E71" s="85"/>
      <c r="F71" s="87">
        <f t="shared" si="10"/>
        <v>2031</v>
      </c>
      <c r="G71" s="41">
        <v>2.3E-2</v>
      </c>
      <c r="H71" s="41"/>
      <c r="I71" s="87">
        <f t="shared" si="11"/>
        <v>2040</v>
      </c>
      <c r="J71" s="41">
        <v>2.3E-2</v>
      </c>
    </row>
    <row r="72" spans="3:15" s="119" customFormat="1">
      <c r="C72" s="87">
        <f t="shared" si="9"/>
        <v>2023</v>
      </c>
      <c r="D72" s="41">
        <v>0.02</v>
      </c>
      <c r="E72" s="86"/>
      <c r="F72" s="87">
        <f t="shared" si="10"/>
        <v>2032</v>
      </c>
      <c r="G72" s="41">
        <v>2.3E-2</v>
      </c>
      <c r="H72" s="41"/>
      <c r="I72" s="87">
        <f t="shared" si="11"/>
        <v>2041</v>
      </c>
      <c r="J72" s="41">
        <v>2.3E-2</v>
      </c>
      <c r="O72" s="164"/>
    </row>
    <row r="73" spans="3:15" s="119" customFormat="1">
      <c r="C73" s="87">
        <f t="shared" si="9"/>
        <v>2024</v>
      </c>
      <c r="D73" s="41">
        <v>0.02</v>
      </c>
      <c r="E73" s="86"/>
      <c r="F73" s="87">
        <f t="shared" si="10"/>
        <v>2033</v>
      </c>
      <c r="G73" s="41">
        <v>2.3E-2</v>
      </c>
      <c r="H73" s="41"/>
      <c r="I73" s="87">
        <f t="shared" si="11"/>
        <v>2042</v>
      </c>
      <c r="J73" s="41">
        <v>2.3E-2</v>
      </c>
      <c r="O73" s="164"/>
    </row>
    <row r="74" spans="3:15" s="119" customFormat="1">
      <c r="C74" s="87">
        <f t="shared" si="9"/>
        <v>2025</v>
      </c>
      <c r="D74" s="41">
        <v>2.1000000000000001E-2</v>
      </c>
      <c r="E74" s="86"/>
      <c r="F74" s="87">
        <f t="shared" si="10"/>
        <v>2034</v>
      </c>
      <c r="G74" s="41">
        <v>2.3E-2</v>
      </c>
      <c r="H74" s="41"/>
      <c r="I74" s="87">
        <f t="shared" si="11"/>
        <v>2043</v>
      </c>
      <c r="J74" s="41">
        <v>2.4E-2</v>
      </c>
      <c r="O74" s="164"/>
    </row>
    <row r="75" spans="3:15" s="119" customFormat="1">
      <c r="O75" s="164"/>
    </row>
    <row r="76" spans="3:15" s="119" customFormat="1">
      <c r="O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A102"/>
  <sheetViews>
    <sheetView zoomScale="70" zoomScaleNormal="70" workbookViewId="0">
      <selection activeCell="K23" sqref="K23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1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/>
    <col min="16" max="16" width="10" style="117" customWidth="1"/>
    <col min="17" max="17" width="25.1640625" style="117" customWidth="1"/>
    <col min="18" max="18" width="18.1640625" style="117" customWidth="1"/>
    <col min="19" max="19" width="9.33203125" style="117"/>
    <col min="20" max="20" width="16.6640625" style="117" customWidth="1"/>
    <col min="21" max="21" width="9.33203125" style="117"/>
    <col min="22" max="22" width="9.6640625" style="117" bestFit="1" customWidth="1"/>
    <col min="23" max="16384" width="9.33203125" style="117"/>
  </cols>
  <sheetData>
    <row r="1" spans="2:24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4" ht="15.75">
      <c r="B2" s="115" t="s">
        <v>155</v>
      </c>
      <c r="C2" s="116"/>
      <c r="D2" s="116"/>
      <c r="E2" s="116"/>
      <c r="F2" s="116"/>
      <c r="G2" s="116"/>
      <c r="H2" s="116"/>
      <c r="I2" s="116"/>
      <c r="J2" s="116"/>
    </row>
    <row r="3" spans="2:24" ht="15.75">
      <c r="B3" s="115" t="str">
        <f>TEXT($C$63,"0%")&amp;" Capacity Factor"</f>
        <v>37%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</row>
    <row r="4" spans="2:24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</row>
    <row r="5" spans="2:24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01"/>
      <c r="N5" s="201"/>
      <c r="P5" s="201"/>
      <c r="R5" s="263"/>
      <c r="S5" s="119"/>
      <c r="T5" s="119"/>
      <c r="U5" s="119"/>
      <c r="V5" s="119"/>
      <c r="W5" s="119"/>
      <c r="X5" s="119"/>
    </row>
    <row r="6" spans="2:24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64"/>
      <c r="S6" s="119"/>
      <c r="T6" s="119"/>
      <c r="U6" s="119"/>
      <c r="V6" s="119"/>
      <c r="W6" s="119"/>
      <c r="X6" s="119"/>
    </row>
    <row r="7" spans="2:24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</row>
    <row r="8" spans="2:24" ht="6" customHeight="1">
      <c r="K8" s="119"/>
      <c r="R8" s="119"/>
      <c r="S8" s="119"/>
      <c r="T8" s="119"/>
      <c r="U8" s="119"/>
      <c r="V8" s="119"/>
      <c r="W8" s="119"/>
      <c r="X8" s="119"/>
    </row>
    <row r="9" spans="2:24" ht="15.75">
      <c r="B9" s="43" t="str">
        <f>C52</f>
        <v>2019 IRP Idaho Wind Resource - 37% Capacity Factor</v>
      </c>
      <c r="C9" s="119"/>
      <c r="E9" s="119"/>
      <c r="F9" s="119"/>
      <c r="G9" s="119"/>
      <c r="H9" s="119"/>
      <c r="I9" s="119"/>
      <c r="J9" s="119"/>
      <c r="K9" s="119"/>
      <c r="N9" s="117"/>
    </row>
    <row r="10" spans="2:24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</row>
    <row r="11" spans="2:24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</row>
    <row r="12" spans="2:24">
      <c r="B12" s="135">
        <f t="shared" si="0"/>
        <v>2018</v>
      </c>
      <c r="C12" s="136"/>
      <c r="D12" s="128"/>
      <c r="E12" s="148"/>
      <c r="F12" s="148"/>
      <c r="G12" s="130"/>
      <c r="H12" s="148">
        <f>$C$58</f>
        <v>0</v>
      </c>
      <c r="I12" s="130"/>
      <c r="J12" s="130"/>
      <c r="K12" s="128">
        <f>(D12+E12+F12)</f>
        <v>0</v>
      </c>
      <c r="L12" s="119"/>
      <c r="N12" s="117"/>
      <c r="R12" s="148"/>
      <c r="T12" s="161"/>
      <c r="U12" s="153"/>
      <c r="V12" s="153"/>
    </row>
    <row r="13" spans="2:24">
      <c r="B13" s="135">
        <f t="shared" si="0"/>
        <v>2019</v>
      </c>
      <c r="C13" s="136"/>
      <c r="D13" s="128"/>
      <c r="E13" s="148"/>
      <c r="F13" s="148"/>
      <c r="G13" s="130"/>
      <c r="H13" s="128">
        <f t="shared" ref="H13:H37" si="1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2">(D13+E13+F13)</f>
        <v>0</v>
      </c>
      <c r="L13" s="119"/>
      <c r="N13" s="117"/>
      <c r="V13" s="153"/>
      <c r="X13" s="159"/>
    </row>
    <row r="14" spans="2:24">
      <c r="B14" s="135">
        <f t="shared" si="0"/>
        <v>2020</v>
      </c>
      <c r="C14" s="136"/>
      <c r="D14" s="128"/>
      <c r="E14" s="128"/>
      <c r="F14" s="128"/>
      <c r="G14" s="130"/>
      <c r="H14" s="128">
        <f t="shared" si="1"/>
        <v>0</v>
      </c>
      <c r="I14" s="130"/>
      <c r="J14" s="130"/>
      <c r="K14" s="128">
        <f t="shared" si="2"/>
        <v>0</v>
      </c>
      <c r="L14" s="119"/>
      <c r="N14" s="117"/>
      <c r="O14" s="132"/>
      <c r="P14" s="133"/>
      <c r="Q14" s="134"/>
      <c r="V14" s="153"/>
      <c r="X14" s="159"/>
    </row>
    <row r="15" spans="2:24">
      <c r="B15" s="135">
        <f t="shared" si="0"/>
        <v>2021</v>
      </c>
      <c r="C15" s="136"/>
      <c r="D15" s="128"/>
      <c r="E15" s="128"/>
      <c r="F15" s="128"/>
      <c r="G15" s="130"/>
      <c r="H15" s="128">
        <f t="shared" si="1"/>
        <v>0</v>
      </c>
      <c r="I15" s="130"/>
      <c r="J15" s="130"/>
      <c r="K15" s="128">
        <f t="shared" si="2"/>
        <v>0</v>
      </c>
      <c r="L15" s="119"/>
      <c r="N15" s="117"/>
      <c r="O15" s="259"/>
      <c r="P15" s="133"/>
      <c r="Q15" s="134"/>
      <c r="V15" s="153"/>
      <c r="X15" s="159"/>
    </row>
    <row r="16" spans="2:24">
      <c r="B16" s="135">
        <f t="shared" si="0"/>
        <v>2022</v>
      </c>
      <c r="C16" s="136"/>
      <c r="D16" s="128"/>
      <c r="E16" s="128"/>
      <c r="F16" s="128"/>
      <c r="G16" s="130"/>
      <c r="H16" s="128">
        <f t="shared" si="1"/>
        <v>0</v>
      </c>
      <c r="I16" s="130"/>
      <c r="J16" s="130"/>
      <c r="K16" s="128">
        <f t="shared" si="2"/>
        <v>0</v>
      </c>
      <c r="L16" s="119"/>
      <c r="N16" s="117"/>
      <c r="V16" s="153"/>
      <c r="X16" s="159"/>
    </row>
    <row r="17" spans="2:25">
      <c r="B17" s="135">
        <f t="shared" si="0"/>
        <v>2023</v>
      </c>
      <c r="C17" s="136"/>
      <c r="D17" s="128"/>
      <c r="E17" s="128"/>
      <c r="F17" s="128"/>
      <c r="G17" s="130"/>
      <c r="H17" s="128">
        <f t="shared" si="1"/>
        <v>0</v>
      </c>
      <c r="I17" s="130"/>
      <c r="J17" s="130"/>
      <c r="K17" s="128">
        <f t="shared" si="2"/>
        <v>0</v>
      </c>
      <c r="L17" s="119"/>
      <c r="N17" s="117"/>
      <c r="O17" s="132"/>
      <c r="V17" s="153"/>
      <c r="X17" s="159"/>
    </row>
    <row r="18" spans="2:25">
      <c r="B18" s="135">
        <f t="shared" si="0"/>
        <v>2024</v>
      </c>
      <c r="C18" s="136"/>
      <c r="D18" s="128"/>
      <c r="E18" s="148"/>
      <c r="F18" s="148"/>
      <c r="G18" s="130"/>
      <c r="H18" s="128">
        <f t="shared" si="1"/>
        <v>0</v>
      </c>
      <c r="I18" s="130"/>
      <c r="J18" s="130"/>
      <c r="K18" s="128">
        <f t="shared" si="2"/>
        <v>0</v>
      </c>
      <c r="L18" s="119"/>
      <c r="N18" s="117"/>
      <c r="T18" s="161"/>
      <c r="U18" s="153"/>
      <c r="V18" s="153"/>
      <c r="W18" s="153"/>
      <c r="X18" s="159"/>
      <c r="Y18" s="153"/>
    </row>
    <row r="19" spans="2:25">
      <c r="B19" s="135">
        <f t="shared" si="0"/>
        <v>2025</v>
      </c>
      <c r="C19" s="136"/>
      <c r="D19" s="128"/>
      <c r="E19" s="148"/>
      <c r="F19" s="148"/>
      <c r="G19" s="130"/>
      <c r="H19" s="128">
        <f t="shared" si="1"/>
        <v>0</v>
      </c>
      <c r="I19" s="130"/>
      <c r="J19" s="130"/>
      <c r="K19" s="128">
        <f t="shared" si="2"/>
        <v>0</v>
      </c>
      <c r="L19" s="119"/>
      <c r="N19" s="117"/>
      <c r="T19" s="161"/>
      <c r="U19" s="153"/>
      <c r="V19" s="153"/>
      <c r="W19" s="153"/>
      <c r="X19" s="159"/>
      <c r="Y19" s="153"/>
    </row>
    <row r="20" spans="2:25">
      <c r="B20" s="135">
        <f t="shared" si="0"/>
        <v>2026</v>
      </c>
      <c r="C20" s="136"/>
      <c r="D20" s="128"/>
      <c r="E20" s="148"/>
      <c r="F20" s="148"/>
      <c r="G20" s="130"/>
      <c r="H20" s="128">
        <f t="shared" si="1"/>
        <v>0</v>
      </c>
      <c r="I20" s="130"/>
      <c r="J20" s="130"/>
      <c r="K20" s="128">
        <f t="shared" si="2"/>
        <v>0</v>
      </c>
      <c r="L20" s="119"/>
      <c r="N20" s="117"/>
      <c r="R20" s="153"/>
      <c r="T20" s="161"/>
      <c r="U20" s="153"/>
      <c r="V20" s="153"/>
      <c r="W20" s="153"/>
      <c r="X20" s="159"/>
      <c r="Y20" s="153"/>
    </row>
    <row r="21" spans="2:25">
      <c r="B21" s="135">
        <f t="shared" si="0"/>
        <v>2027</v>
      </c>
      <c r="C21" s="136"/>
      <c r="D21" s="128"/>
      <c r="E21" s="148"/>
      <c r="F21" s="148"/>
      <c r="G21" s="130"/>
      <c r="H21" s="128">
        <f t="shared" si="1"/>
        <v>0</v>
      </c>
      <c r="I21" s="130"/>
      <c r="J21" s="130"/>
      <c r="K21" s="128">
        <f t="shared" si="2"/>
        <v>0</v>
      </c>
      <c r="L21" s="119"/>
      <c r="N21" s="117"/>
      <c r="R21" s="153"/>
      <c r="T21" s="161"/>
      <c r="U21" s="153"/>
      <c r="V21" s="153"/>
      <c r="W21" s="153"/>
      <c r="X21" s="159"/>
      <c r="Y21" s="153"/>
    </row>
    <row r="22" spans="2:25">
      <c r="B22" s="135">
        <f t="shared" si="0"/>
        <v>2028</v>
      </c>
      <c r="C22" s="136"/>
      <c r="D22" s="128"/>
      <c r="E22" s="148"/>
      <c r="F22" s="148"/>
      <c r="G22" s="130"/>
      <c r="H22" s="128">
        <f t="shared" si="1"/>
        <v>0</v>
      </c>
      <c r="I22" s="130"/>
      <c r="J22" s="130"/>
      <c r="K22" s="128">
        <f t="shared" si="2"/>
        <v>0</v>
      </c>
      <c r="L22" s="119"/>
      <c r="N22" s="117"/>
      <c r="R22" s="153"/>
      <c r="T22" s="161"/>
      <c r="U22" s="153"/>
      <c r="V22" s="153"/>
      <c r="W22" s="153"/>
      <c r="X22" s="159"/>
      <c r="Y22" s="153"/>
    </row>
    <row r="23" spans="2:25">
      <c r="B23" s="135">
        <f t="shared" si="0"/>
        <v>2029</v>
      </c>
      <c r="C23" s="136"/>
      <c r="D23" s="128"/>
      <c r="E23" s="148"/>
      <c r="F23" s="148"/>
      <c r="G23" s="130"/>
      <c r="H23" s="128">
        <f t="shared" si="1"/>
        <v>0</v>
      </c>
      <c r="I23" s="130"/>
      <c r="J23" s="130"/>
      <c r="K23" s="128">
        <f t="shared" si="2"/>
        <v>0</v>
      </c>
      <c r="L23" s="119"/>
      <c r="N23" s="117"/>
      <c r="R23" s="153"/>
      <c r="T23" s="161"/>
      <c r="U23" s="153"/>
      <c r="V23" s="153"/>
      <c r="W23" s="153"/>
      <c r="X23" s="159"/>
      <c r="Y23" s="153"/>
    </row>
    <row r="24" spans="2:25">
      <c r="B24" s="135">
        <f t="shared" si="0"/>
        <v>2030</v>
      </c>
      <c r="C24" s="335">
        <v>1253.063829787234</v>
      </c>
      <c r="D24" s="128">
        <f>C24*$C$62</f>
        <v>86.448873617021263</v>
      </c>
      <c r="E24" s="256">
        <v>37.749134282416321</v>
      </c>
      <c r="F24" s="128">
        <f>C60</f>
        <v>12.097273854334603</v>
      </c>
      <c r="G24" s="130">
        <f>(D24+E24+F24)/(8.76*$C$63)</f>
        <v>41.937525924556674</v>
      </c>
      <c r="H24" s="128">
        <f t="shared" si="1"/>
        <v>0</v>
      </c>
      <c r="I24" s="130">
        <f>(G24+H24)</f>
        <v>41.937525924556674</v>
      </c>
      <c r="J24" s="130">
        <f t="shared" ref="J24:J32" si="3">ROUND(I24*$C$63*8.76,2)</f>
        <v>136.30000000000001</v>
      </c>
      <c r="K24" s="128">
        <f t="shared" si="2"/>
        <v>136.2952817537722</v>
      </c>
      <c r="L24" s="119"/>
      <c r="N24" s="117"/>
      <c r="R24" s="153"/>
      <c r="T24" s="161"/>
      <c r="U24" s="153"/>
      <c r="V24" s="153"/>
      <c r="W24" s="153"/>
      <c r="X24" s="159"/>
      <c r="Y24" s="153"/>
    </row>
    <row r="25" spans="2:25">
      <c r="B25" s="135">
        <f t="shared" si="0"/>
        <v>2031</v>
      </c>
      <c r="C25" s="136"/>
      <c r="D25" s="128">
        <f t="shared" ref="D25:E37" si="4">ROUND(D24*(1+(IFERROR(INDEX($D$66:$D$74,MATCH($B25,$C$66:$C$74,0),1),0)+IFERROR(INDEX($G$66:$G$74,MATCH($B25,$F$66:$F$74,0),1),0)+IFERROR(INDEX($J$66:$J$74,MATCH($B25,$I$66:$I$74,0),1),0))),2)</f>
        <v>88.44</v>
      </c>
      <c r="E25" s="256">
        <v>38.610042323970752</v>
      </c>
      <c r="F25" s="128">
        <f t="shared" ref="F25" si="5">ROUND(F24*(1+(IFERROR(INDEX($D$66:$D$74,MATCH($B25,$C$66:$C$74,0),1),0)+IFERROR(INDEX($G$66:$G$74,MATCH($B25,$F$66:$F$74,0),1),0)+IFERROR(INDEX($J$66:$J$74,MATCH($B25,$I$66:$I$74,0),1),0))),2)</f>
        <v>12.38</v>
      </c>
      <c r="G25" s="130">
        <f t="shared" ref="G25:G37" si="6">(D25+E25+F25)/(8.76*$C$63)</f>
        <v>42.902079509892665</v>
      </c>
      <c r="H25" s="128">
        <f t="shared" si="1"/>
        <v>0</v>
      </c>
      <c r="I25" s="130">
        <f t="shared" ref="I25:I37" si="7">(G25+H25)</f>
        <v>42.902079509892665</v>
      </c>
      <c r="J25" s="130">
        <f t="shared" si="3"/>
        <v>139.43</v>
      </c>
      <c r="K25" s="128">
        <f t="shared" si="2"/>
        <v>139.43004232397075</v>
      </c>
      <c r="L25" s="119"/>
      <c r="N25" s="117"/>
      <c r="R25" s="153"/>
      <c r="T25" s="161"/>
      <c r="U25" s="153"/>
      <c r="V25" s="153"/>
      <c r="W25" s="153"/>
      <c r="X25" s="159"/>
      <c r="Y25" s="153"/>
    </row>
    <row r="26" spans="2:25">
      <c r="B26" s="135">
        <f t="shared" si="0"/>
        <v>2032</v>
      </c>
      <c r="C26" s="136"/>
      <c r="D26" s="128">
        <f t="shared" si="4"/>
        <v>90.47</v>
      </c>
      <c r="E26" s="256">
        <v>39.490188534051562</v>
      </c>
      <c r="F26" s="128">
        <f t="shared" ref="F26" si="8">ROUND(F25*(1+(IFERROR(INDEX($D$66:$D$74,MATCH($B26,$C$66:$C$74,0),1),0)+IFERROR(INDEX($G$66:$G$74,MATCH($B26,$F$66:$F$74,0),1),0)+IFERROR(INDEX($J$66:$J$74,MATCH($B26,$I$66:$I$74,0),1),0))),2)</f>
        <v>12.66</v>
      </c>
      <c r="G26" s="130">
        <f t="shared" si="6"/>
        <v>43.883675040324057</v>
      </c>
      <c r="H26" s="128">
        <f t="shared" si="1"/>
        <v>0</v>
      </c>
      <c r="I26" s="130">
        <f t="shared" si="7"/>
        <v>43.883675040324057</v>
      </c>
      <c r="J26" s="130">
        <f t="shared" si="3"/>
        <v>142.62</v>
      </c>
      <c r="K26" s="128">
        <f t="shared" si="2"/>
        <v>142.62018853405155</v>
      </c>
      <c r="L26" s="119"/>
      <c r="N26" s="117"/>
      <c r="R26" s="153"/>
      <c r="T26" s="161"/>
      <c r="U26" s="153"/>
      <c r="V26" s="153"/>
      <c r="W26" s="153"/>
      <c r="X26" s="159"/>
      <c r="Y26" s="153"/>
    </row>
    <row r="27" spans="2:25">
      <c r="B27" s="135">
        <f t="shared" si="0"/>
        <v>2033</v>
      </c>
      <c r="C27" s="136"/>
      <c r="D27" s="128">
        <f t="shared" si="4"/>
        <v>92.55</v>
      </c>
      <c r="E27" s="256">
        <v>40.389572912658728</v>
      </c>
      <c r="F27" s="128">
        <f t="shared" ref="F27" si="9">ROUND(F26*(1+(IFERROR(INDEX($D$66:$D$74,MATCH($B27,$C$66:$C$74,0),1),0)+IFERROR(INDEX($G$66:$G$74,MATCH($B27,$F$66:$F$74,0),1),0)+IFERROR(INDEX($J$66:$J$74,MATCH($B27,$I$66:$I$74,0),1),0))),2)</f>
        <v>12.95</v>
      </c>
      <c r="G27" s="130">
        <f t="shared" si="6"/>
        <v>44.889651845763858</v>
      </c>
      <c r="H27" s="128">
        <f t="shared" si="1"/>
        <v>0</v>
      </c>
      <c r="I27" s="130">
        <f t="shared" si="7"/>
        <v>44.889651845763858</v>
      </c>
      <c r="J27" s="130">
        <f t="shared" si="3"/>
        <v>145.88999999999999</v>
      </c>
      <c r="K27" s="128">
        <f t="shared" si="2"/>
        <v>145.88957291265871</v>
      </c>
      <c r="L27" s="119"/>
      <c r="N27" s="117"/>
      <c r="R27" s="153"/>
      <c r="T27" s="161"/>
      <c r="U27" s="153"/>
      <c r="V27" s="153"/>
      <c r="W27" s="153"/>
      <c r="X27" s="159"/>
      <c r="Y27" s="153"/>
    </row>
    <row r="28" spans="2:25">
      <c r="B28" s="135">
        <f t="shared" si="0"/>
        <v>2034</v>
      </c>
      <c r="C28" s="136"/>
      <c r="D28" s="128">
        <f t="shared" si="4"/>
        <v>94.68</v>
      </c>
      <c r="E28" s="256">
        <v>41.310119276644869</v>
      </c>
      <c r="F28" s="128">
        <f t="shared" ref="F28" si="10">ROUND(F27*(1+(IFERROR(INDEX($D$66:$D$74,MATCH($B28,$C$66:$C$74,0),1),0)+IFERROR(INDEX($G$66:$G$74,MATCH($B28,$F$66:$F$74,0),1),0)+IFERROR(INDEX($J$66:$J$74,MATCH($B28,$I$66:$I$74,0),1),0))),2)</f>
        <v>13.25</v>
      </c>
      <c r="G28" s="130">
        <f t="shared" si="6"/>
        <v>45.920601877144605</v>
      </c>
      <c r="H28" s="128">
        <f t="shared" si="1"/>
        <v>0</v>
      </c>
      <c r="I28" s="130">
        <f t="shared" si="7"/>
        <v>45.920601877144605</v>
      </c>
      <c r="J28" s="130">
        <f t="shared" si="3"/>
        <v>149.24</v>
      </c>
      <c r="K28" s="128">
        <f t="shared" si="2"/>
        <v>149.24011927664486</v>
      </c>
      <c r="L28" s="119"/>
      <c r="N28" s="117"/>
      <c r="R28" s="153"/>
      <c r="T28" s="161"/>
      <c r="U28" s="153"/>
      <c r="V28" s="153"/>
      <c r="W28" s="153"/>
      <c r="X28" s="159"/>
      <c r="Y28" s="153"/>
    </row>
    <row r="29" spans="2:25">
      <c r="B29" s="135">
        <f t="shared" si="0"/>
        <v>2035</v>
      </c>
      <c r="C29" s="136"/>
      <c r="D29" s="128">
        <f t="shared" si="4"/>
        <v>96.86</v>
      </c>
      <c r="E29" s="256">
        <v>42.249903809157374</v>
      </c>
      <c r="F29" s="128">
        <f t="shared" ref="F29" si="11">ROUND(F28*(1+(IFERROR(INDEX($D$66:$D$74,MATCH($B29,$C$66:$C$74,0),1),0)+IFERROR(INDEX($G$66:$G$74,MATCH($B29,$F$66:$F$74,0),1),0)+IFERROR(INDEX($J$66:$J$74,MATCH($B29,$I$66:$I$74,0),1),0))),2)</f>
        <v>13.55</v>
      </c>
      <c r="G29" s="130">
        <f t="shared" si="6"/>
        <v>46.972856222586557</v>
      </c>
      <c r="H29" s="128">
        <f t="shared" si="1"/>
        <v>0</v>
      </c>
      <c r="I29" s="130">
        <f t="shared" si="7"/>
        <v>46.972856222586557</v>
      </c>
      <c r="J29" s="130">
        <f t="shared" si="3"/>
        <v>152.66</v>
      </c>
      <c r="K29" s="128">
        <f t="shared" si="2"/>
        <v>152.65990380915738</v>
      </c>
      <c r="L29" s="119"/>
      <c r="N29" s="117"/>
      <c r="R29" s="153"/>
      <c r="T29" s="161"/>
      <c r="U29" s="153"/>
      <c r="V29" s="153"/>
      <c r="W29" s="153"/>
      <c r="X29" s="159"/>
      <c r="Y29" s="153"/>
    </row>
    <row r="30" spans="2:25">
      <c r="B30" s="135">
        <f t="shared" si="0"/>
        <v>2036</v>
      </c>
      <c r="C30" s="136"/>
      <c r="D30" s="128">
        <f t="shared" si="4"/>
        <v>99.09</v>
      </c>
      <c r="E30" s="256">
        <v>43.219507502885733</v>
      </c>
      <c r="F30" s="128">
        <f t="shared" ref="F30" si="12">ROUND(F29*(1+(IFERROR(INDEX($D$66:$D$74,MATCH($B30,$C$66:$C$74,0),1),0)+IFERROR(INDEX($G$66:$G$74,MATCH($B30,$F$66:$F$74,0),1),0)+IFERROR(INDEX($J$66:$J$74,MATCH($B30,$I$66:$I$74,0),1),0))),2)</f>
        <v>13.86</v>
      </c>
      <c r="G30" s="130">
        <f t="shared" si="6"/>
        <v>48.052747573165739</v>
      </c>
      <c r="H30" s="128">
        <f t="shared" si="1"/>
        <v>0</v>
      </c>
      <c r="I30" s="130">
        <f t="shared" si="7"/>
        <v>48.052747573165739</v>
      </c>
      <c r="J30" s="130">
        <f t="shared" si="3"/>
        <v>156.16999999999999</v>
      </c>
      <c r="K30" s="128">
        <f t="shared" si="2"/>
        <v>156.16950750288572</v>
      </c>
      <c r="L30" s="119"/>
      <c r="N30" s="117"/>
      <c r="R30" s="153"/>
      <c r="T30" s="161"/>
      <c r="U30" s="153"/>
      <c r="V30" s="153"/>
      <c r="W30" s="153"/>
      <c r="X30" s="159"/>
      <c r="Y30" s="153"/>
    </row>
    <row r="31" spans="2:25">
      <c r="B31" s="135">
        <f t="shared" si="0"/>
        <v>2037</v>
      </c>
      <c r="C31" s="136"/>
      <c r="D31" s="128">
        <f t="shared" si="4"/>
        <v>101.37</v>
      </c>
      <c r="E31" s="256">
        <v>44.199692189303583</v>
      </c>
      <c r="F31" s="128">
        <f t="shared" ref="F31" si="13">ROUND(F30*(1+(IFERROR(INDEX($D$66:$D$74,MATCH($B31,$C$66:$C$74,0),1),0)+IFERROR(INDEX($G$66:$G$74,MATCH($B31,$F$66:$F$74,0),1),0)+IFERROR(INDEX($J$66:$J$74,MATCH($B31,$I$66:$I$74,0),1),0))),2)</f>
        <v>14.18</v>
      </c>
      <c r="G31" s="130">
        <f t="shared" si="6"/>
        <v>49.154356419557047</v>
      </c>
      <c r="H31" s="128">
        <f t="shared" si="1"/>
        <v>0</v>
      </c>
      <c r="I31" s="130">
        <f t="shared" si="7"/>
        <v>49.154356419557047</v>
      </c>
      <c r="J31" s="130">
        <f t="shared" si="3"/>
        <v>159.75</v>
      </c>
      <c r="K31" s="128">
        <f t="shared" si="2"/>
        <v>159.7496921893036</v>
      </c>
      <c r="L31" s="119"/>
      <c r="N31" s="117"/>
      <c r="R31" s="153"/>
      <c r="T31" s="161"/>
      <c r="U31" s="153"/>
      <c r="V31" s="153"/>
      <c r="W31" s="153"/>
      <c r="X31" s="159"/>
      <c r="Y31" s="153"/>
    </row>
    <row r="32" spans="2:25">
      <c r="B32" s="135">
        <f t="shared" si="0"/>
        <v>2038</v>
      </c>
      <c r="C32" s="136"/>
      <c r="D32" s="128">
        <f t="shared" si="4"/>
        <v>103.7</v>
      </c>
      <c r="E32" s="256">
        <v>45.210657945363607</v>
      </c>
      <c r="F32" s="128">
        <f t="shared" ref="F32" si="14">ROUND(F31*(1+(IFERROR(INDEX($D$66:$D$74,MATCH($B32,$C$66:$C$74,0),1),0)+IFERROR(INDEX($G$66:$G$74,MATCH($B32,$F$66:$F$74,0),1),0)+IFERROR(INDEX($J$66:$J$74,MATCH($B32,$I$66:$I$74,0),1),0))),2)</f>
        <v>14.51</v>
      </c>
      <c r="G32" s="130">
        <f t="shared" si="6"/>
        <v>50.283898246551836</v>
      </c>
      <c r="H32" s="128">
        <f t="shared" si="1"/>
        <v>0</v>
      </c>
      <c r="I32" s="130">
        <f t="shared" si="7"/>
        <v>50.283898246551836</v>
      </c>
      <c r="J32" s="130">
        <f t="shared" si="3"/>
        <v>163.41999999999999</v>
      </c>
      <c r="K32" s="128">
        <f t="shared" si="2"/>
        <v>163.42065794536359</v>
      </c>
      <c r="L32" s="119"/>
      <c r="N32" s="117"/>
      <c r="R32" s="153"/>
      <c r="T32" s="161"/>
      <c r="U32" s="153"/>
      <c r="V32" s="153"/>
      <c r="W32" s="153"/>
      <c r="X32" s="159"/>
      <c r="Y32" s="153"/>
    </row>
    <row r="33" spans="2:27">
      <c r="B33" s="135">
        <f t="shared" si="0"/>
        <v>2039</v>
      </c>
      <c r="C33" s="136"/>
      <c r="D33" s="128">
        <f t="shared" si="4"/>
        <v>106.09</v>
      </c>
      <c r="E33" s="128">
        <f t="shared" si="4"/>
        <v>46.25</v>
      </c>
      <c r="F33" s="128">
        <f t="shared" ref="F33" si="15">ROUND(F32*(1+(IFERROR(INDEX($D$66:$D$74,MATCH($B33,$C$66:$C$74,0),1),0)+IFERROR(INDEX($G$66:$G$74,MATCH($B33,$F$66:$F$74,0),1),0)+IFERROR(INDEX($J$66:$J$74,MATCH($B33,$I$66:$I$74,0),1),0))),2)</f>
        <v>14.84</v>
      </c>
      <c r="G33" s="130">
        <f t="shared" si="6"/>
        <v>51.440633115484502</v>
      </c>
      <c r="H33" s="128">
        <f t="shared" si="1"/>
        <v>0</v>
      </c>
      <c r="I33" s="130">
        <f t="shared" si="7"/>
        <v>51.440633115484502</v>
      </c>
      <c r="J33" s="130">
        <f t="shared" ref="J33:J37" si="16">ROUND(I33*$C$63*8.76,2)</f>
        <v>167.18</v>
      </c>
      <c r="K33" s="128">
        <f t="shared" si="2"/>
        <v>167.18</v>
      </c>
      <c r="L33" s="119"/>
      <c r="N33" s="117"/>
      <c r="AA33" s="265"/>
    </row>
    <row r="34" spans="2:27">
      <c r="B34" s="135">
        <f t="shared" si="0"/>
        <v>2040</v>
      </c>
      <c r="C34" s="136"/>
      <c r="D34" s="128">
        <f t="shared" si="4"/>
        <v>108.53</v>
      </c>
      <c r="E34" s="128">
        <f t="shared" ref="E34:F34" si="17">ROUND(E33*(1+(IFERROR(INDEX($D$66:$D$74,MATCH($B34,$C$66:$C$74,0),1),0)+IFERROR(INDEX($G$66:$G$74,MATCH($B34,$F$66:$F$74,0),1),0)+IFERROR(INDEX($J$66:$J$74,MATCH($B34,$I$66:$I$74,0),1),0))),2)</f>
        <v>47.31</v>
      </c>
      <c r="F34" s="128">
        <f t="shared" si="17"/>
        <v>15.18</v>
      </c>
      <c r="G34" s="130">
        <f t="shared" si="6"/>
        <v>52.622186119213779</v>
      </c>
      <c r="H34" s="128">
        <f t="shared" si="1"/>
        <v>0</v>
      </c>
      <c r="I34" s="130">
        <f t="shared" si="7"/>
        <v>52.622186119213779</v>
      </c>
      <c r="J34" s="130">
        <f t="shared" si="16"/>
        <v>171.02</v>
      </c>
      <c r="K34" s="128">
        <f t="shared" si="2"/>
        <v>171.02</v>
      </c>
      <c r="L34" s="119"/>
      <c r="N34" s="117"/>
      <c r="AA34" s="265"/>
    </row>
    <row r="35" spans="2:27">
      <c r="B35" s="135">
        <f t="shared" si="0"/>
        <v>2041</v>
      </c>
      <c r="C35" s="136"/>
      <c r="D35" s="128">
        <f t="shared" si="4"/>
        <v>111.03</v>
      </c>
      <c r="E35" s="128">
        <f t="shared" ref="E35:F35" si="18">ROUND(E34*(1+(IFERROR(INDEX($D$66:$D$74,MATCH($B35,$C$66:$C$74,0),1),0)+IFERROR(INDEX($G$66:$G$74,MATCH($B35,$F$66:$F$74,0),1),0)+IFERROR(INDEX($J$66:$J$74,MATCH($B35,$I$66:$I$74,0),1),0))),2)</f>
        <v>48.4</v>
      </c>
      <c r="F35" s="128">
        <f t="shared" si="18"/>
        <v>15.53</v>
      </c>
      <c r="G35" s="130">
        <f t="shared" si="6"/>
        <v>53.834508732415173</v>
      </c>
      <c r="H35" s="128">
        <f t="shared" si="1"/>
        <v>0</v>
      </c>
      <c r="I35" s="130">
        <f t="shared" si="7"/>
        <v>53.834508732415173</v>
      </c>
      <c r="J35" s="130">
        <f t="shared" si="16"/>
        <v>174.96</v>
      </c>
      <c r="K35" s="128">
        <f t="shared" si="2"/>
        <v>174.96</v>
      </c>
      <c r="L35" s="119"/>
      <c r="N35" s="117"/>
      <c r="AA35" s="265"/>
    </row>
    <row r="36" spans="2:27">
      <c r="B36" s="135">
        <f t="shared" si="0"/>
        <v>2042</v>
      </c>
      <c r="C36" s="136"/>
      <c r="D36" s="128">
        <f t="shared" si="4"/>
        <v>113.58</v>
      </c>
      <c r="E36" s="128">
        <f t="shared" ref="E36:F36" si="19">ROUND(E35*(1+(IFERROR(INDEX($D$66:$D$74,MATCH($B36,$C$66:$C$74,0),1),0)+IFERROR(INDEX($G$66:$G$74,MATCH($B36,$F$66:$F$74,0),1),0)+IFERROR(INDEX($J$66:$J$74,MATCH($B36,$I$66:$I$74,0),1),0))),2)</f>
        <v>49.51</v>
      </c>
      <c r="F36" s="128">
        <f t="shared" si="19"/>
        <v>15.89</v>
      </c>
      <c r="G36" s="130">
        <f t="shared" si="6"/>
        <v>55.071447033194268</v>
      </c>
      <c r="H36" s="128">
        <f t="shared" si="1"/>
        <v>0</v>
      </c>
      <c r="I36" s="130">
        <f t="shared" si="7"/>
        <v>55.071447033194268</v>
      </c>
      <c r="J36" s="130">
        <f t="shared" si="16"/>
        <v>178.98</v>
      </c>
      <c r="K36" s="128">
        <f t="shared" si="2"/>
        <v>178.98000000000002</v>
      </c>
      <c r="L36" s="119"/>
      <c r="N36" s="117"/>
      <c r="AA36" s="265"/>
    </row>
    <row r="37" spans="2:27">
      <c r="B37" s="135">
        <f t="shared" si="0"/>
        <v>2043</v>
      </c>
      <c r="C37" s="136"/>
      <c r="D37" s="128">
        <f t="shared" si="4"/>
        <v>116.31</v>
      </c>
      <c r="E37" s="128">
        <f t="shared" ref="E37:F37" si="20">ROUND(E36*(1+(IFERROR(INDEX($D$66:$D$74,MATCH($B37,$C$66:$C$74,0),1),0)+IFERROR(INDEX($G$66:$G$74,MATCH($B37,$F$66:$F$74,0),1),0)+IFERROR(INDEX($J$66:$J$74,MATCH($B37,$I$66:$I$74,0),1),0))),2)</f>
        <v>50.7</v>
      </c>
      <c r="F37" s="128">
        <f t="shared" si="20"/>
        <v>16.27</v>
      </c>
      <c r="G37" s="130">
        <f t="shared" si="6"/>
        <v>56.394540240495274</v>
      </c>
      <c r="H37" s="128">
        <f t="shared" si="1"/>
        <v>0</v>
      </c>
      <c r="I37" s="130">
        <f t="shared" si="7"/>
        <v>56.394540240495274</v>
      </c>
      <c r="J37" s="130">
        <f t="shared" si="16"/>
        <v>183.28</v>
      </c>
      <c r="K37" s="128">
        <f t="shared" si="2"/>
        <v>183.28</v>
      </c>
      <c r="L37" s="119"/>
      <c r="AA37" s="265"/>
    </row>
    <row r="38" spans="2:27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  <c r="AA38" s="265"/>
    </row>
    <row r="39" spans="2:27">
      <c r="B39" s="135"/>
      <c r="C39" s="136"/>
      <c r="D39" s="128"/>
      <c r="E39" s="128"/>
      <c r="F39" s="130"/>
      <c r="G39" s="128"/>
      <c r="H39" s="128"/>
      <c r="I39" s="130"/>
      <c r="J39" s="130"/>
      <c r="K39" s="128"/>
      <c r="L39" s="119"/>
      <c r="AA39" s="265"/>
    </row>
    <row r="40" spans="2:27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AA40" s="265"/>
    </row>
    <row r="41" spans="2:27">
      <c r="AA41" s="265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AA42" s="265"/>
    </row>
    <row r="43" spans="2:27">
      <c r="AA43" s="265"/>
    </row>
    <row r="44" spans="2:27">
      <c r="B44" s="117" t="s">
        <v>63</v>
      </c>
      <c r="C44" s="140" t="s">
        <v>64</v>
      </c>
      <c r="D44" s="141" t="s">
        <v>102</v>
      </c>
      <c r="AA44" s="265"/>
    </row>
    <row r="45" spans="2:27">
      <c r="C45" s="140" t="str">
        <f>C7</f>
        <v>(a)</v>
      </c>
      <c r="D45" s="117" t="s">
        <v>65</v>
      </c>
      <c r="AA45" s="265"/>
    </row>
    <row r="46" spans="2:27">
      <c r="C46" s="140" t="str">
        <f>D7</f>
        <v>(b)</v>
      </c>
      <c r="D46" s="130" t="str">
        <f>"= "&amp;C7&amp;" x "&amp;C62</f>
        <v>= (a) x 0.06899</v>
      </c>
      <c r="AA46" s="265"/>
    </row>
    <row r="47" spans="2:27">
      <c r="C47" s="140" t="str">
        <f>G7</f>
        <v>(e)</v>
      </c>
      <c r="D47" s="130" t="str">
        <f>"= ("&amp;$D$7&amp;" + "&amp;$E$7&amp;") /  (8.76 x "&amp;TEXT(C63,"0.0%")&amp;")"</f>
        <v>= ((b) + (c)) /  (8.76 x 37.1%)</v>
      </c>
      <c r="AA47" s="265"/>
    </row>
    <row r="48" spans="2:27">
      <c r="C48" s="140" t="str">
        <f>I7</f>
        <v>(g)</v>
      </c>
      <c r="D48" s="130" t="str">
        <f>"= "&amp;$G$7&amp;" + "&amp;$H$7</f>
        <v>= (e) + (f)</v>
      </c>
      <c r="AA48" s="265"/>
    </row>
    <row r="49" spans="2:27">
      <c r="C49" s="140" t="str">
        <f>K7</f>
        <v>(i)</v>
      </c>
      <c r="D49" s="85" t="str">
        <f>D44</f>
        <v>Plant Costs  - 2019 IRP Update - Table 6.1 &amp; 6.2</v>
      </c>
      <c r="AA49" s="265"/>
    </row>
    <row r="50" spans="2:27">
      <c r="C50" s="140"/>
      <c r="D50" s="130"/>
      <c r="AA50" s="265"/>
    </row>
    <row r="51" spans="2:27" ht="13.5" thickBot="1">
      <c r="AA51" s="265"/>
    </row>
    <row r="52" spans="2:27" ht="13.5" thickBot="1">
      <c r="C52" s="42" t="str">
        <f>B2&amp;" - "&amp;B3</f>
        <v>2019 IRP Idaho Wind Resource - 37% Capacity Factor</v>
      </c>
      <c r="D52" s="142"/>
      <c r="E52" s="142"/>
      <c r="F52" s="142"/>
      <c r="G52" s="142"/>
      <c r="H52" s="142"/>
      <c r="I52" s="143"/>
      <c r="J52" s="143"/>
      <c r="K52" s="144"/>
      <c r="AA52" s="265"/>
    </row>
    <row r="53" spans="2:27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  <c r="AA53" s="265"/>
    </row>
    <row r="54" spans="2:27">
      <c r="P54" s="117" t="s">
        <v>103</v>
      </c>
      <c r="Q54" s="117">
        <v>2030</v>
      </c>
    </row>
    <row r="55" spans="2:27">
      <c r="B55" s="85" t="s">
        <v>101</v>
      </c>
      <c r="C55" s="170">
        <v>1358.4350565953944</v>
      </c>
      <c r="D55" s="117" t="s">
        <v>65</v>
      </c>
      <c r="T55" s="117" t="str">
        <f>$Q$56&amp;"Proposed Station Capital Costs"</f>
        <v>H_.GO2_WDProposed Station Capital Costs</v>
      </c>
    </row>
    <row r="56" spans="2:27">
      <c r="B56" s="85" t="s">
        <v>101</v>
      </c>
      <c r="C56" s="256">
        <v>28.802174620531375</v>
      </c>
      <c r="D56" s="117" t="s">
        <v>68</v>
      </c>
      <c r="O56" s="117">
        <v>470</v>
      </c>
      <c r="P56" s="117" t="s">
        <v>32</v>
      </c>
      <c r="Q56" s="117" t="s">
        <v>153</v>
      </c>
      <c r="T56" s="117" t="str">
        <f>Q56&amp;"Proposed Station Fixed Costs"</f>
        <v>H_.GO2_WDProposed Station Fixed Costs</v>
      </c>
      <c r="Z56" s="117" t="s">
        <v>110</v>
      </c>
      <c r="AA56" s="266">
        <f>PMT(0.0692,30,NPV(0.0692,AA18:AA53))</f>
        <v>0</v>
      </c>
    </row>
    <row r="57" spans="2:27" ht="24" customHeight="1">
      <c r="B57" s="85"/>
      <c r="C57" s="258"/>
      <c r="D57" s="117" t="s">
        <v>105</v>
      </c>
      <c r="O57" s="117">
        <v>569.6</v>
      </c>
      <c r="P57" s="117" t="s">
        <v>32</v>
      </c>
      <c r="Q57" s="117" t="s">
        <v>154</v>
      </c>
      <c r="T57" s="117" t="str">
        <f>Q57&amp;"Proposed Station Fixed Costs"</f>
        <v>L_.GO2_WDProposed Station Fixed Costs</v>
      </c>
    </row>
    <row r="58" spans="2:27">
      <c r="B58" s="85" t="s">
        <v>101</v>
      </c>
      <c r="C58" s="256">
        <v>0</v>
      </c>
      <c r="D58" s="117" t="s">
        <v>69</v>
      </c>
      <c r="K58" s="119"/>
      <c r="L58" s="149"/>
      <c r="M58" s="52"/>
      <c r="N58" s="163"/>
      <c r="O58" s="52"/>
      <c r="P58" s="52"/>
      <c r="Q58" s="119"/>
      <c r="R58" s="119"/>
      <c r="T58" s="117" t="str">
        <f>$Q$56&amp;"Proposed Station Variable O&amp;M Costs"</f>
        <v>H_.GO2_WDProposed Station Variable O&amp;M Costs</v>
      </c>
      <c r="U58" s="119"/>
      <c r="V58" s="119"/>
      <c r="W58" s="119"/>
      <c r="X58" s="119"/>
      <c r="Y58" s="119"/>
    </row>
    <row r="59" spans="2:27">
      <c r="B59" s="85"/>
      <c r="C59" s="158"/>
      <c r="D59" s="117" t="s">
        <v>70</v>
      </c>
      <c r="I59" s="184" t="s">
        <v>91</v>
      </c>
      <c r="L59" s="151"/>
      <c r="M59" s="152"/>
      <c r="O59" s="150"/>
      <c r="P59" s="119"/>
      <c r="Q59" s="201" t="str">
        <f>Q56&amp;Q54</f>
        <v>H_.GO2_WD2030</v>
      </c>
      <c r="R59" s="119"/>
      <c r="T59" s="117" t="str">
        <f>$Q$57&amp;"Proposed Station Variable O&amp;M Costs"</f>
        <v>L_.GO2_WDProposed Station Variable O&amp;M Costs</v>
      </c>
      <c r="U59" s="119"/>
      <c r="V59" s="119"/>
      <c r="W59" s="119"/>
      <c r="X59" s="119"/>
      <c r="Y59" s="119"/>
    </row>
    <row r="60" spans="2:27">
      <c r="B60" s="357" t="str">
        <f>LEFT(RIGHT(INDEX('Table 3 TransCost'!$39:$39,1,MATCH(F60,'Table 3 TransCost'!$4:$4,0)),6),5)</f>
        <v>2030$</v>
      </c>
      <c r="C60" s="258">
        <f>INDEX('Table 3 TransCost'!$39:$39,1,MATCH(F60,'Table 3 TransCost'!$4:$4,0)+2)</f>
        <v>12.097273854334603</v>
      </c>
      <c r="D60" s="117" t="s">
        <v>218</v>
      </c>
      <c r="F60" s="262" t="s">
        <v>184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7">
      <c r="B61" s="85"/>
      <c r="C61" s="187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7">
      <c r="C62" s="257">
        <v>6.8989999999999996E-2</v>
      </c>
      <c r="D62" s="117" t="s">
        <v>36</v>
      </c>
      <c r="K62" s="155"/>
      <c r="L62" s="156"/>
      <c r="M62" s="156"/>
      <c r="O62" s="157"/>
    </row>
    <row r="63" spans="2:27">
      <c r="C63" s="195">
        <v>0.371</v>
      </c>
      <c r="D63" s="117" t="s">
        <v>37</v>
      </c>
    </row>
    <row r="64" spans="2:27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December 31, 2020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21">C66+1</f>
        <v>2018</v>
      </c>
      <c r="D67" s="41">
        <v>2.4E-2</v>
      </c>
      <c r="E67" s="85"/>
      <c r="F67" s="87">
        <f t="shared" ref="F67:F74" si="22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21"/>
        <v>2019</v>
      </c>
      <c r="D68" s="41">
        <v>1.7999999999999999E-2</v>
      </c>
      <c r="E68" s="85"/>
      <c r="F68" s="87">
        <f t="shared" si="22"/>
        <v>2028</v>
      </c>
      <c r="G68" s="41">
        <v>2.3E-2</v>
      </c>
      <c r="H68" s="41"/>
      <c r="I68" s="87">
        <f t="shared" ref="I68:I74" si="23">I67+1</f>
        <v>2037</v>
      </c>
      <c r="J68" s="41">
        <v>2.3E-2</v>
      </c>
    </row>
    <row r="69" spans="3:14">
      <c r="C69" s="87">
        <f t="shared" si="21"/>
        <v>2020</v>
      </c>
      <c r="D69" s="41">
        <v>1.2E-2</v>
      </c>
      <c r="E69" s="85"/>
      <c r="F69" s="87">
        <f t="shared" si="22"/>
        <v>2029</v>
      </c>
      <c r="G69" s="41">
        <v>2.3E-2</v>
      </c>
      <c r="H69" s="41"/>
      <c r="I69" s="87">
        <f t="shared" si="23"/>
        <v>2038</v>
      </c>
      <c r="J69" s="41">
        <v>2.3E-2</v>
      </c>
    </row>
    <row r="70" spans="3:14">
      <c r="C70" s="87">
        <f t="shared" si="21"/>
        <v>2021</v>
      </c>
      <c r="D70" s="41">
        <v>1.9E-2</v>
      </c>
      <c r="E70" s="85"/>
      <c r="F70" s="87">
        <f t="shared" si="22"/>
        <v>2030</v>
      </c>
      <c r="G70" s="41">
        <v>2.3E-2</v>
      </c>
      <c r="H70" s="41"/>
      <c r="I70" s="87">
        <f t="shared" si="23"/>
        <v>2039</v>
      </c>
      <c r="J70" s="41">
        <v>2.3E-2</v>
      </c>
    </row>
    <row r="71" spans="3:14">
      <c r="C71" s="87">
        <f t="shared" si="21"/>
        <v>2022</v>
      </c>
      <c r="D71" s="41">
        <v>2.1999999999999999E-2</v>
      </c>
      <c r="E71" s="85"/>
      <c r="F71" s="87">
        <f t="shared" si="22"/>
        <v>2031</v>
      </c>
      <c r="G71" s="41">
        <v>2.3E-2</v>
      </c>
      <c r="H71" s="41"/>
      <c r="I71" s="87">
        <f t="shared" si="23"/>
        <v>2040</v>
      </c>
      <c r="J71" s="41">
        <v>2.3E-2</v>
      </c>
    </row>
    <row r="72" spans="3:14" s="119" customFormat="1">
      <c r="C72" s="87">
        <f t="shared" si="21"/>
        <v>2023</v>
      </c>
      <c r="D72" s="41">
        <v>0.02</v>
      </c>
      <c r="E72" s="86"/>
      <c r="F72" s="87">
        <f t="shared" si="22"/>
        <v>2032</v>
      </c>
      <c r="G72" s="41">
        <v>2.3E-2</v>
      </c>
      <c r="H72" s="41"/>
      <c r="I72" s="87">
        <f t="shared" si="23"/>
        <v>2041</v>
      </c>
      <c r="J72" s="41">
        <v>2.3E-2</v>
      </c>
      <c r="N72" s="164"/>
    </row>
    <row r="73" spans="3:14" s="119" customFormat="1">
      <c r="C73" s="87">
        <f t="shared" si="21"/>
        <v>2024</v>
      </c>
      <c r="D73" s="41">
        <v>0.02</v>
      </c>
      <c r="E73" s="86"/>
      <c r="F73" s="87">
        <f t="shared" si="22"/>
        <v>2033</v>
      </c>
      <c r="G73" s="41">
        <v>2.3E-2</v>
      </c>
      <c r="H73" s="41"/>
      <c r="I73" s="87">
        <f t="shared" si="23"/>
        <v>2042</v>
      </c>
      <c r="J73" s="41">
        <v>2.3E-2</v>
      </c>
      <c r="N73" s="164"/>
    </row>
    <row r="74" spans="3:14" s="119" customFormat="1">
      <c r="C74" s="87">
        <f t="shared" si="21"/>
        <v>2025</v>
      </c>
      <c r="D74" s="41">
        <v>2.1000000000000001E-2</v>
      </c>
      <c r="E74" s="86"/>
      <c r="F74" s="87">
        <f t="shared" si="22"/>
        <v>2034</v>
      </c>
      <c r="G74" s="41">
        <v>2.3E-2</v>
      </c>
      <c r="H74" s="41"/>
      <c r="I74" s="87">
        <f t="shared" si="23"/>
        <v>2043</v>
      </c>
      <c r="J74" s="41">
        <v>2.4E-2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55</vt:i4>
      </vt:variant>
    </vt:vector>
  </HeadingPairs>
  <TitlesOfParts>
    <vt:vector size="75" baseType="lpstr">
      <vt:lpstr>Appendix B.2</vt:lpstr>
      <vt:lpstr>Table 1</vt:lpstr>
      <vt:lpstr>Table 2</vt:lpstr>
      <vt:lpstr>Table 4</vt:lpstr>
      <vt:lpstr>Table3ACsummary</vt:lpstr>
      <vt:lpstr>Table 5</vt:lpstr>
      <vt:lpstr>Table 3 UT CP Wind_2023</vt:lpstr>
      <vt:lpstr>Table 3 WYAE Wind_2024</vt:lpstr>
      <vt:lpstr>Table 3 ID Wind_2030</vt:lpstr>
      <vt:lpstr>Table 3 PV wS UTS_2024</vt:lpstr>
      <vt:lpstr>Table 3 PV wS UTS_2030</vt:lpstr>
      <vt:lpstr>Table 3 PV wS JB_2024</vt:lpstr>
      <vt:lpstr>Table 3 PV wS JB_2029</vt:lpstr>
      <vt:lpstr>Table 3 PV wS SO_2024</vt:lpstr>
      <vt:lpstr>Table 3 PV wS YK_2024</vt:lpstr>
      <vt:lpstr>Table 3 PV wS UTN_2024</vt:lpstr>
      <vt:lpstr>Table 3 185 MW (NTN) 2026)</vt:lpstr>
      <vt:lpstr>Table 3 YK Wind wS_2029</vt:lpstr>
      <vt:lpstr>Table 3 ID Wind wS_2032</vt:lpstr>
      <vt:lpstr>Table 3 TransCost</vt:lpstr>
      <vt:lpstr>_200_SCCT_UtahN</vt:lpstr>
      <vt:lpstr>_200_SCCT_WYNE</vt:lpstr>
      <vt:lpstr>'Table 3 185 MW (NTN) 2026)'!_30_Geo_West</vt:lpstr>
      <vt:lpstr>'Table 3 TransCost'!_30_Geo_West</vt:lpstr>
      <vt:lpstr>_30_Geo_West</vt:lpstr>
      <vt:lpstr>'Table 3 185 MW (NTN) 2026)'!_436_CCCT_WestMain</vt:lpstr>
      <vt:lpstr>'Table 3 TransCost'!_436_CCCT_WestMain</vt:lpstr>
      <vt:lpstr>_436_CCCT_WestMain</vt:lpstr>
      <vt:lpstr>'Table 2'!_477_CCCT_WestMain</vt:lpstr>
      <vt:lpstr>_477_CCCT_WYNE</vt:lpstr>
      <vt:lpstr>'Table 2'!_635_CCCT_UtahS</vt:lpstr>
      <vt:lpstr>'Table 2'!_635_CCCT_WyoNE</vt:lpstr>
      <vt:lpstr>_774_Wind_IDGoshen</vt:lpstr>
      <vt:lpstr>_85_Wind_DJ_2031</vt:lpstr>
      <vt:lpstr>_UtahS_Solar_2031</vt:lpstr>
      <vt:lpstr>_UtahS_Solar_2032</vt:lpstr>
      <vt:lpstr>_UtahS_Solar_2033</vt:lpstr>
      <vt:lpstr>_UtahS_Solar_2034</vt:lpstr>
      <vt:lpstr>_UtahS_Solar_2035</vt:lpstr>
      <vt:lpstr>_UtahS_Solar_2036</vt:lpstr>
      <vt:lpstr>_Yakima_Solar_2028</vt:lpstr>
      <vt:lpstr>_Yakima_Solar_2029</vt:lpstr>
      <vt:lpstr>_Yakima_Solar_2031</vt:lpstr>
      <vt:lpstr>_Yakima_Solar_2032</vt:lpstr>
      <vt:lpstr>_Yakima_Solar_2033</vt:lpstr>
      <vt:lpstr>_Yakima_Solar_2034</vt:lpstr>
      <vt:lpstr>Discount_Rate</vt:lpstr>
      <vt:lpstr>'Appendix B.2'!Print_Area</vt:lpstr>
      <vt:lpstr>'Table 1'!Print_Area</vt:lpstr>
      <vt:lpstr>'Table 2'!Print_Area</vt:lpstr>
      <vt:lpstr>'Table 3 185 MW (NTN) 2026)'!Print_Area</vt:lpstr>
      <vt:lpstr>'Table 3 ID Wind wS_2032'!Print_Area</vt:lpstr>
      <vt:lpstr>'Table 3 ID Wind_2030'!Print_Area</vt:lpstr>
      <vt:lpstr>'Table 3 PV wS JB_2024'!Print_Area</vt:lpstr>
      <vt:lpstr>'Table 3 PV wS JB_2029'!Print_Area</vt:lpstr>
      <vt:lpstr>'Table 3 PV wS SO_2024'!Print_Area</vt:lpstr>
      <vt:lpstr>'Table 3 PV wS UTN_2024'!Print_Area</vt:lpstr>
      <vt:lpstr>'Table 3 PV wS UTS_2024'!Print_Area</vt:lpstr>
      <vt:lpstr>'Table 3 PV wS UTS_2030'!Print_Area</vt:lpstr>
      <vt:lpstr>'Table 3 PV wS YK_2024'!Print_Area</vt:lpstr>
      <vt:lpstr>'Table 3 TransCost'!Print_Area</vt:lpstr>
      <vt:lpstr>'Table 3 UT CP Wind_2023'!Print_Area</vt:lpstr>
      <vt:lpstr>'Table 3 WYAE Wind_2024'!Print_Area</vt:lpstr>
      <vt:lpstr>'Table 3 YK Wind wS_2029'!Print_Area</vt:lpstr>
      <vt:lpstr>'Table 4'!Print_Area</vt:lpstr>
      <vt:lpstr>'Table 5'!Print_Area</vt:lpstr>
      <vt:lpstr>Table3ACsummary!Print_Area</vt:lpstr>
      <vt:lpstr>'Table 2'!Print_Titles</vt:lpstr>
      <vt:lpstr>'Table 3 185 MW (NTN) 2026)'!Print_Titles</vt:lpstr>
      <vt:lpstr>'Table 2'!Study_Cap_Adj</vt:lpstr>
      <vt:lpstr>'Table 3 185 MW (NTN) 2026)'!Study_Cap_Adj</vt:lpstr>
      <vt:lpstr>'Table 3 TransCost'!Study_Cap_Adj</vt:lpstr>
      <vt:lpstr>Study_Cap_Adj</vt:lpstr>
      <vt:lpstr>Study_CF</vt:lpstr>
      <vt:lpstr>Study_MW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Fred Nass</cp:lastModifiedBy>
  <cp:lastPrinted>2021-03-29T22:11:31Z</cp:lastPrinted>
  <dcterms:created xsi:type="dcterms:W3CDTF">2001-03-19T15:45:46Z</dcterms:created>
  <dcterms:modified xsi:type="dcterms:W3CDTF">2021-03-30T17:54:41Z</dcterms:modified>
</cp:coreProperties>
</file>