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0\"/>
    </mc:Choice>
  </mc:AlternateContent>
  <bookViews>
    <workbookView xWindow="0" yWindow="0" windowWidth="19200" windowHeight="12885"/>
  </bookViews>
  <sheets>
    <sheet name="Summary" sheetId="14" r:id="rId1"/>
    <sheet name="Incremental" sheetId="6" r:id="rId2"/>
    <sheet name="Total" sheetId="5" r:id="rId3"/>
    <sheet name="Energy" sheetId="12" r:id="rId4"/>
    <sheet name="Capacity" sheetId="10" r:id="rId5"/>
  </sheets>
  <definedNames>
    <definedName name="_Order1" hidden="1">255</definedName>
    <definedName name="_Order2" hidden="1">0</definedName>
    <definedName name="Discount_Rate" localSheetId="0">Total!$B$40</definedName>
    <definedName name="Discount_Rate">Total!$B$40</definedName>
    <definedName name="_xlnm.Print_Area" localSheetId="4">Capacity!$A$1:$H$37</definedName>
    <definedName name="_xlnm.Print_Area" localSheetId="3">Energy!$A$1:$F$37</definedName>
    <definedName name="_xlnm.Print_Area" localSheetId="1">Incremental!$A$1:$E$37</definedName>
    <definedName name="_xlnm.Print_Area" localSheetId="0">Summary!$A$1:$I$21</definedName>
    <definedName name="_xlnm.Print_Area" localSheetId="2">Total!$A$1:$F$37</definedName>
    <definedName name="Study_CF">#REF!</definedName>
    <definedName name="Study_MW">#REF!</definedName>
    <definedName name="Study_Name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5" l="1"/>
  <c r="B11" i="6" s="1"/>
  <c r="B37" i="5" l="1"/>
  <c r="B34" i="10"/>
  <c r="B35" i="12"/>
  <c r="D7" i="6" l="1"/>
  <c r="C6" i="14" s="1"/>
  <c r="E7" i="5"/>
  <c r="D8" i="10" l="1"/>
  <c r="C7" i="6" l="1"/>
  <c r="C5" i="14" l="1"/>
  <c r="G8" i="10"/>
  <c r="B4" i="10"/>
  <c r="F11" i="10" l="1"/>
  <c r="B12" i="10"/>
  <c r="F10" i="10"/>
  <c r="F12" i="10" l="1"/>
  <c r="B13" i="10"/>
  <c r="F13" i="10" l="1"/>
  <c r="B14" i="10"/>
  <c r="F14" i="10" l="1"/>
  <c r="B15" i="10"/>
  <c r="F15" i="10" l="1"/>
  <c r="B16" i="10"/>
  <c r="F16" i="10" l="1"/>
  <c r="B17" i="10"/>
  <c r="F17" i="10" l="1"/>
  <c r="B18" i="10"/>
  <c r="F18" i="10" l="1"/>
  <c r="B19" i="10"/>
  <c r="F19" i="10" l="1"/>
  <c r="B20" i="10"/>
  <c r="F20" i="10" l="1"/>
  <c r="B21" i="10"/>
  <c r="F21" i="10" l="1"/>
  <c r="B22" i="10"/>
  <c r="F22" i="10" l="1"/>
  <c r="B23" i="10"/>
  <c r="F23" i="10" l="1"/>
  <c r="B24" i="10"/>
  <c r="F24" i="10" l="1"/>
  <c r="B25" i="10"/>
  <c r="F25" i="10" l="1"/>
  <c r="B30" i="10"/>
  <c r="B26" i="10"/>
  <c r="F26" i="10" l="1"/>
  <c r="B31" i="10"/>
  <c r="B27" i="10"/>
  <c r="F27" i="10" l="1"/>
  <c r="B32" i="10"/>
  <c r="C7" i="12" l="1"/>
  <c r="C8" i="5" l="1"/>
  <c r="C7" i="5"/>
  <c r="B1" i="12" l="1"/>
  <c r="B3" i="12"/>
  <c r="B10" i="12"/>
  <c r="B34" i="12"/>
  <c r="B12" i="12" l="1"/>
  <c r="C11" i="5" l="1"/>
  <c r="B13" i="12"/>
  <c r="C12" i="5" l="1"/>
  <c r="B14" i="12"/>
  <c r="C13" i="5" l="1"/>
  <c r="B15" i="12"/>
  <c r="C14" i="5" l="1"/>
  <c r="B16" i="12"/>
  <c r="C15" i="5" l="1"/>
  <c r="B17" i="12"/>
  <c r="C16" i="5" l="1"/>
  <c r="B18" i="12"/>
  <c r="C17" i="5" l="1"/>
  <c r="B19" i="12"/>
  <c r="C18" i="5" l="1"/>
  <c r="B20" i="12"/>
  <c r="C19" i="5" l="1"/>
  <c r="B21" i="12"/>
  <c r="C20" i="5" l="1"/>
  <c r="B22" i="12"/>
  <c r="C21" i="5" l="1"/>
  <c r="B23" i="12"/>
  <c r="C22" i="5" l="1"/>
  <c r="B24" i="12"/>
  <c r="B25" i="12" l="1"/>
  <c r="C23" i="5"/>
  <c r="B30" i="12" l="1"/>
  <c r="B26" i="12"/>
  <c r="C24" i="5"/>
  <c r="B31" i="12" l="1"/>
  <c r="B27" i="12"/>
  <c r="C25" i="5"/>
  <c r="B34" i="6"/>
  <c r="B32" i="12" l="1"/>
  <c r="C26" i="5"/>
  <c r="D7" i="5"/>
  <c r="C27" i="5" l="1"/>
  <c r="B10" i="6" l="1"/>
  <c r="B3" i="6"/>
  <c r="B1" i="6"/>
  <c r="B12" i="5" l="1"/>
  <c r="B13" i="5" l="1"/>
  <c r="B12" i="6"/>
  <c r="B13" i="6" l="1"/>
  <c r="B14" i="5"/>
  <c r="B4" i="12"/>
  <c r="B4" i="6"/>
  <c r="B4" i="5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0" i="6" s="1"/>
  <c r="D3" i="14" s="1"/>
  <c r="B15" i="5"/>
  <c r="B26" i="6" l="1"/>
  <c r="B31" i="6" s="1"/>
  <c r="F3" i="14" s="1"/>
  <c r="B16" i="5"/>
  <c r="B27" i="6" l="1"/>
  <c r="B32" i="6" s="1"/>
  <c r="H3" i="14" s="1"/>
  <c r="B17" i="5"/>
  <c r="B18" i="5" l="1"/>
  <c r="B19" i="5" l="1"/>
  <c r="B20" i="5" l="1"/>
  <c r="B21" i="5" l="1"/>
  <c r="B22" i="5" l="1"/>
  <c r="B23" i="5" l="1"/>
  <c r="B24" i="5" l="1"/>
  <c r="B25" i="5" l="1"/>
  <c r="B30" i="5" s="1"/>
  <c r="B35" i="5"/>
  <c r="B26" i="5" l="1"/>
  <c r="B31" i="5" s="1"/>
  <c r="B35" i="6"/>
  <c r="B27" i="5" l="1"/>
  <c r="B32" i="5" s="1"/>
  <c r="G16" i="10" l="1"/>
  <c r="G14" i="10"/>
  <c r="G27" i="10"/>
  <c r="G26" i="10"/>
  <c r="G25" i="10"/>
  <c r="G21" i="10"/>
  <c r="G19" i="10"/>
  <c r="G23" i="10"/>
  <c r="G22" i="10"/>
  <c r="G20" i="10"/>
  <c r="G17" i="10"/>
  <c r="G24" i="10"/>
  <c r="G15" i="10"/>
  <c r="G18" i="10"/>
  <c r="D23" i="5" l="1"/>
  <c r="D19" i="5"/>
  <c r="D27" i="5"/>
  <c r="D17" i="5"/>
  <c r="D21" i="5"/>
  <c r="D14" i="5"/>
  <c r="D24" i="5"/>
  <c r="D26" i="5"/>
  <c r="D18" i="5"/>
  <c r="D20" i="5"/>
  <c r="D15" i="5"/>
  <c r="D22" i="5"/>
  <c r="D25" i="5"/>
  <c r="D16" i="5"/>
  <c r="G11" i="10"/>
  <c r="G12" i="10"/>
  <c r="G13" i="10"/>
  <c r="G10" i="10"/>
  <c r="D13" i="5" l="1"/>
  <c r="D12" i="5"/>
  <c r="D11" i="5"/>
  <c r="C21" i="6"/>
  <c r="C25" i="6" l="1"/>
  <c r="C27" i="6"/>
  <c r="C26" i="6"/>
  <c r="C22" i="6" l="1"/>
  <c r="C24" i="6"/>
  <c r="C23" i="6"/>
  <c r="C20" i="6" l="1"/>
  <c r="C18" i="6" l="1"/>
  <c r="C14" i="6"/>
  <c r="C15" i="6"/>
  <c r="C19" i="6"/>
  <c r="C17" i="6"/>
  <c r="C16" i="6"/>
  <c r="C13" i="6"/>
  <c r="C12" i="6"/>
  <c r="C11" i="6"/>
  <c r="E20" i="5" l="1"/>
  <c r="D20" i="6" s="1"/>
  <c r="E20" i="6" l="1"/>
  <c r="E13" i="5" l="1"/>
  <c r="D13" i="6" s="1"/>
  <c r="E11" i="5"/>
  <c r="D11" i="6" s="1"/>
  <c r="E12" i="5"/>
  <c r="D12" i="6" s="1"/>
  <c r="E14" i="5"/>
  <c r="D14" i="6" s="1"/>
  <c r="E19" i="5"/>
  <c r="D19" i="6" s="1"/>
  <c r="E18" i="5"/>
  <c r="D18" i="6" s="1"/>
  <c r="E16" i="5"/>
  <c r="D16" i="6" s="1"/>
  <c r="E15" i="5"/>
  <c r="D15" i="6" s="1"/>
  <c r="E17" i="5"/>
  <c r="D17" i="6" s="1"/>
  <c r="E14" i="6" l="1"/>
  <c r="E15" i="6"/>
  <c r="E18" i="6"/>
  <c r="E19" i="6"/>
  <c r="E17" i="6"/>
  <c r="E16" i="6"/>
  <c r="E11" i="6"/>
  <c r="E12" i="6"/>
  <c r="E13" i="6"/>
  <c r="E26" i="5" l="1"/>
  <c r="D26" i="6" s="1"/>
  <c r="E24" i="5"/>
  <c r="D24" i="6" s="1"/>
  <c r="E27" i="5"/>
  <c r="D27" i="6" s="1"/>
  <c r="E22" i="5"/>
  <c r="D22" i="6" s="1"/>
  <c r="E23" i="5"/>
  <c r="D23" i="6" s="1"/>
  <c r="E25" i="5"/>
  <c r="D25" i="6" s="1"/>
  <c r="E23" i="6" l="1"/>
  <c r="E27" i="6" l="1"/>
  <c r="E25" i="6"/>
  <c r="E22" i="6"/>
  <c r="E26" i="6"/>
  <c r="E24" i="6"/>
  <c r="E21" i="5" l="1"/>
  <c r="D21" i="6" s="1"/>
  <c r="E21" i="6" l="1"/>
  <c r="F8" i="10" l="1"/>
  <c r="C10" i="6" l="1"/>
  <c r="D10" i="6"/>
  <c r="E10" i="6" l="1"/>
  <c r="B36" i="5" l="1"/>
  <c r="B39" i="12"/>
  <c r="B36" i="6" l="1"/>
  <c r="B36" i="12"/>
  <c r="C32" i="5" l="1"/>
  <c r="H4" i="14" s="1"/>
  <c r="B29" i="5"/>
  <c r="B29" i="6" s="1"/>
  <c r="C2" i="14" s="1"/>
  <c r="D30" i="5"/>
  <c r="D32" i="5"/>
  <c r="C32" i="6" s="1"/>
  <c r="B40" i="12"/>
  <c r="B41" i="6"/>
  <c r="E31" i="5"/>
  <c r="C30" i="5"/>
  <c r="D4" i="14" s="1"/>
  <c r="D31" i="5"/>
  <c r="E32" i="5"/>
  <c r="E30" i="5"/>
  <c r="C31" i="5"/>
  <c r="F4" i="14" s="1"/>
  <c r="B40" i="10"/>
  <c r="I5" i="14" l="1"/>
  <c r="E32" i="6"/>
  <c r="G32" i="6" s="1"/>
  <c r="D30" i="6"/>
  <c r="E6" i="14" s="1"/>
  <c r="D7" i="14"/>
  <c r="D31" i="6"/>
  <c r="G6" i="14" s="1"/>
  <c r="F7" i="14"/>
  <c r="C30" i="6"/>
  <c r="D32" i="6"/>
  <c r="I6" i="14" s="1"/>
  <c r="H7" i="14"/>
  <c r="C32" i="10"/>
  <c r="D32" i="10"/>
  <c r="G31" i="10"/>
  <c r="D30" i="10"/>
  <c r="B29" i="10"/>
  <c r="C31" i="10"/>
  <c r="G30" i="10"/>
  <c r="F30" i="10"/>
  <c r="F32" i="10"/>
  <c r="F31" i="10"/>
  <c r="G32" i="10"/>
  <c r="C30" i="10"/>
  <c r="D31" i="10"/>
  <c r="C31" i="6"/>
  <c r="C32" i="12"/>
  <c r="D31" i="12"/>
  <c r="E32" i="12"/>
  <c r="D30" i="12"/>
  <c r="C31" i="12"/>
  <c r="C30" i="12"/>
  <c r="E31" i="12"/>
  <c r="B29" i="12"/>
  <c r="D32" i="12"/>
  <c r="E30" i="12"/>
  <c r="G5" i="14" l="1"/>
  <c r="E31" i="6"/>
  <c r="G31" i="6" s="1"/>
  <c r="E5" i="14"/>
  <c r="E30" i="6"/>
  <c r="G30" i="6" s="1"/>
</calcChain>
</file>

<file path=xl/sharedStrings.xml><?xml version="1.0" encoding="utf-8"?>
<sst xmlns="http://schemas.openxmlformats.org/spreadsheetml/2006/main" count="38" uniqueCount="28">
  <si>
    <t>Year</t>
  </si>
  <si>
    <t>Utah Quarterly Compliance Filing</t>
  </si>
  <si>
    <t>$/kW-Year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</si>
  <si>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</si>
  <si>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</si>
  <si>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</si>
  <si>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</si>
  <si>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</si>
  <si>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</si>
  <si>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</si>
  <si>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</si>
  <si>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</si>
  <si>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</si>
  <si>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</si>
  <si>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Avoided Cost Impact of Changing Assumptions $/MWH (1)</t>
  </si>
  <si>
    <t>Chck</t>
  </si>
  <si>
    <t>(2)</t>
  </si>
  <si>
    <t>(3)   No Capacity costs - No deferrable thermal resources</t>
  </si>
  <si>
    <t>Capacity Factor</t>
  </si>
  <si>
    <t>2020.Q3</t>
  </si>
  <si>
    <t>2020.Q4</t>
  </si>
  <si>
    <t>2020.Q3 As Filed</t>
  </si>
  <si>
    <t>2020.Q4 As Filed</t>
  </si>
  <si>
    <t>Discount Rate - 2019 IRP</t>
  </si>
  <si>
    <t>Queue</t>
  </si>
  <si>
    <t>OFPC</t>
  </si>
  <si>
    <t>(2)   Discount Rate - 2019 IRP</t>
  </si>
  <si>
    <t>2020.Q3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</si>
</sst>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#,##0.000_);[Red]\(#,##0.000\)"/>
    <numFmt numFmtId="176" formatCode="_(* #,##0.0_);[Red]_(* \(#,##0.0\);_(* &quot;-&quot;_);_(@_)"/>
    <numFmt numFmtId="177" formatCode="_(* #,##0.00_);[Red]_(* \(#,##0.0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  <xf numFmtId="41" fontId="7" fillId="0" borderId="0"/>
  </cellStyleXfs>
  <cellXfs count="109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4" fillId="0" borderId="0" xfId="4" applyFont="1" applyAlignment="1"/>
    <xf numFmtId="165" fontId="0" fillId="0" borderId="0" xfId="0" applyAlignment="1"/>
    <xf numFmtId="172" fontId="3" fillId="0" borderId="1" xfId="0" applyNumberFormat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8" fontId="4" fillId="0" borderId="0" xfId="0" applyNumberFormat="1" applyFont="1" applyBorder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8" fontId="4" fillId="0" borderId="2" xfId="4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74" fontId="4" fillId="0" borderId="0" xfId="0" applyNumberFormat="1" applyFont="1"/>
    <xf numFmtId="165" fontId="3" fillId="0" borderId="1" xfId="0" quotePrefix="1" applyFont="1" applyBorder="1" applyAlignment="1">
      <alignment horizontal="center"/>
    </xf>
    <xf numFmtId="175" fontId="4" fillId="0" borderId="0" xfId="0" applyNumberFormat="1" applyFont="1"/>
    <xf numFmtId="172" fontId="3" fillId="0" borderId="1" xfId="0" quotePrefix="1" applyNumberFormat="1" applyFont="1" applyFill="1" applyBorder="1" applyAlignment="1">
      <alignment horizontal="center"/>
    </xf>
    <xf numFmtId="165" fontId="4" fillId="0" borderId="9" xfId="4" applyFont="1" applyBorder="1"/>
    <xf numFmtId="0" fontId="3" fillId="0" borderId="9" xfId="4" applyNumberFormat="1" applyFont="1" applyBorder="1" applyAlignment="1">
      <alignment horizontal="center"/>
    </xf>
    <xf numFmtId="0" fontId="3" fillId="0" borderId="4" xfId="4" applyNumberFormat="1" applyFont="1" applyBorder="1" applyAlignment="1">
      <alignment horizontal="center"/>
    </xf>
    <xf numFmtId="165" fontId="12" fillId="6" borderId="0" xfId="4" applyFont="1" applyFill="1"/>
    <xf numFmtId="165" fontId="1" fillId="6" borderId="0" xfId="4" applyFill="1"/>
    <xf numFmtId="165" fontId="1" fillId="0" borderId="0" xfId="4"/>
    <xf numFmtId="165" fontId="12" fillId="6" borderId="0" xfId="4" applyFont="1" applyFill="1" applyAlignment="1"/>
    <xf numFmtId="165" fontId="12" fillId="6" borderId="0" xfId="4" applyFont="1" applyFill="1" applyAlignment="1">
      <alignment horizontal="left" vertical="top"/>
    </xf>
    <xf numFmtId="165" fontId="12" fillId="6" borderId="0" xfId="4" applyFont="1" applyFill="1" applyAlignment="1">
      <alignment horizontal="center"/>
    </xf>
    <xf numFmtId="165" fontId="1" fillId="6" borderId="0" xfId="4" applyFill="1" applyAlignment="1">
      <alignment vertical="center"/>
    </xf>
    <xf numFmtId="7" fontId="0" fillId="6" borderId="0" xfId="7" applyNumberFormat="1" applyFont="1" applyFill="1"/>
    <xf numFmtId="165" fontId="1" fillId="6" borderId="0" xfId="4" applyFill="1" applyAlignment="1">
      <alignment horizontal="right"/>
    </xf>
    <xf numFmtId="7" fontId="1" fillId="6" borderId="0" xfId="4" applyNumberFormat="1" applyFill="1"/>
    <xf numFmtId="165" fontId="1" fillId="0" borderId="0" xfId="4" applyFill="1"/>
    <xf numFmtId="165" fontId="12" fillId="6" borderId="0" xfId="0" applyFont="1" applyFill="1"/>
    <xf numFmtId="165" fontId="0" fillId="6" borderId="0" xfId="0" applyFill="1"/>
    <xf numFmtId="165" fontId="0" fillId="0" borderId="0" xfId="0" applyFill="1"/>
    <xf numFmtId="165" fontId="0" fillId="0" borderId="0" xfId="0" applyFill="1" applyAlignment="1">
      <alignment horizontal="right"/>
    </xf>
    <xf numFmtId="8" fontId="0" fillId="0" borderId="0" xfId="7" applyNumberFormat="1" applyFont="1" applyFill="1"/>
    <xf numFmtId="8" fontId="7" fillId="0" borderId="0" xfId="18" applyNumberFormat="1" applyFont="1" applyFill="1" applyBorder="1" applyAlignment="1">
      <alignment horizontal="center"/>
    </xf>
    <xf numFmtId="176" fontId="0" fillId="0" borderId="0" xfId="0" applyNumberFormat="1" applyFill="1"/>
    <xf numFmtId="165" fontId="4" fillId="0" borderId="10" xfId="4" applyFont="1" applyBorder="1"/>
    <xf numFmtId="8" fontId="4" fillId="0" borderId="10" xfId="4" applyNumberFormat="1" applyFont="1" applyFill="1" applyBorder="1" applyAlignment="1">
      <alignment horizontal="center"/>
    </xf>
    <xf numFmtId="165" fontId="3" fillId="0" borderId="1" xfId="4" quotePrefix="1" applyFont="1" applyBorder="1" applyAlignment="1">
      <alignment horizontal="center"/>
    </xf>
    <xf numFmtId="9" fontId="4" fillId="0" borderId="0" xfId="3" applyFont="1"/>
    <xf numFmtId="177" fontId="1" fillId="0" borderId="0" xfId="4" applyNumberFormat="1" applyFill="1"/>
    <xf numFmtId="177" fontId="4" fillId="0" borderId="0" xfId="0" applyNumberFormat="1" applyFont="1" applyBorder="1"/>
    <xf numFmtId="177" fontId="4" fillId="0" borderId="0" xfId="0" applyNumberFormat="1" applyFont="1" applyBorder="1" applyAlignment="1">
      <alignment horizontal="center"/>
    </xf>
    <xf numFmtId="8" fontId="4" fillId="0" borderId="0" xfId="4" applyNumberFormat="1" applyFont="1" applyFill="1" applyBorder="1" applyAlignment="1">
      <alignment horizontal="center"/>
    </xf>
    <xf numFmtId="8" fontId="4" fillId="0" borderId="11" xfId="4" applyNumberFormat="1" applyFont="1" applyFill="1" applyBorder="1" applyAlignment="1">
      <alignment horizontal="center"/>
    </xf>
    <xf numFmtId="8" fontId="4" fillId="0" borderId="12" xfId="4" applyNumberFormat="1" applyFont="1" applyFill="1" applyBorder="1" applyAlignment="1">
      <alignment horizontal="center"/>
    </xf>
    <xf numFmtId="8" fontId="4" fillId="0" borderId="13" xfId="4" applyNumberFormat="1" applyFont="1" applyFill="1" applyBorder="1" applyAlignment="1">
      <alignment horizontal="center"/>
    </xf>
    <xf numFmtId="8" fontId="4" fillId="0" borderId="0" xfId="4" applyNumberFormat="1" applyFont="1" applyBorder="1" applyAlignment="1">
      <alignment horizontal="center"/>
    </xf>
    <xf numFmtId="8" fontId="4" fillId="0" borderId="11" xfId="4" applyNumberFormat="1" applyFont="1" applyBorder="1" applyAlignment="1">
      <alignment horizontal="center"/>
    </xf>
    <xf numFmtId="165" fontId="3" fillId="0" borderId="3" xfId="4" applyFont="1" applyBorder="1" applyAlignment="1">
      <alignment horizontal="center"/>
    </xf>
    <xf numFmtId="8" fontId="4" fillId="0" borderId="9" xfId="4" applyNumberFormat="1" applyFont="1" applyFill="1" applyBorder="1" applyAlignment="1">
      <alignment horizontal="center"/>
    </xf>
    <xf numFmtId="165" fontId="3" fillId="0" borderId="14" xfId="4" quotePrefix="1" applyFont="1" applyBorder="1" applyAlignment="1">
      <alignment horizontal="center"/>
    </xf>
    <xf numFmtId="165" fontId="3" fillId="0" borderId="13" xfId="4" quotePrefix="1" applyFont="1" applyBorder="1" applyAlignment="1">
      <alignment horizontal="center"/>
    </xf>
    <xf numFmtId="165" fontId="4" fillId="0" borderId="11" xfId="4" applyFont="1" applyBorder="1"/>
    <xf numFmtId="8" fontId="4" fillId="0" borderId="1" xfId="4" applyNumberFormat="1" applyFont="1" applyFill="1" applyBorder="1" applyAlignment="1">
      <alignment horizontal="center"/>
    </xf>
    <xf numFmtId="165" fontId="12" fillId="6" borderId="0" xfId="4" applyFont="1" applyFill="1" applyAlignment="1">
      <alignment horizontal="left" vertical="top"/>
    </xf>
  </cellXfs>
  <cellStyles count="19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Normal_UT 2008.Q2 - Compliance - Appendix B - AC Study_2008 08 05" xfId="18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C2:L29"/>
  <sheetViews>
    <sheetView tabSelected="1" zoomScale="80" zoomScaleNormal="80" workbookViewId="0">
      <selection activeCell="D22" sqref="D22"/>
    </sheetView>
  </sheetViews>
  <sheetFormatPr defaultColWidth="9.140625" defaultRowHeight="12.75" x14ac:dyDescent="0.2"/>
  <cols>
    <col min="1" max="1" width="9.140625" style="73"/>
    <col min="2" max="2" width="12.28515625" style="73" customWidth="1"/>
    <col min="3" max="3" width="22" style="73" customWidth="1"/>
    <col min="4" max="4" width="9.140625" style="73"/>
    <col min="5" max="5" width="11.28515625" style="73" customWidth="1"/>
    <col min="6" max="16384" width="9.140625" style="73"/>
  </cols>
  <sheetData>
    <row r="2" spans="3:12" x14ac:dyDescent="0.2">
      <c r="C2" s="71" t="str">
        <f>Incremental!$B$30&amp;",  "&amp;LEFT(Incremental!$B$29,50)</f>
        <v xml:space="preserve">2021 - 2035,  Nominal Levelized Payment at 6.920% Discount Rate </v>
      </c>
      <c r="D2" s="72"/>
      <c r="E2" s="72"/>
      <c r="F2" s="72"/>
      <c r="G2" s="72"/>
      <c r="H2" s="72"/>
      <c r="I2" s="72"/>
      <c r="J2" s="72"/>
    </row>
    <row r="3" spans="3:12" ht="15.75" customHeight="1" x14ac:dyDescent="0.2">
      <c r="C3" s="72"/>
      <c r="D3" s="74" t="str">
        <f>Incremental!B30</f>
        <v>2021 - 2035</v>
      </c>
      <c r="E3" s="74"/>
      <c r="F3" s="108" t="str">
        <f>Incremental!B31</f>
        <v>2022 - 2036</v>
      </c>
      <c r="G3" s="108"/>
      <c r="H3" s="75" t="str">
        <f>Incremental!B32</f>
        <v>2023 - 2037</v>
      </c>
      <c r="I3" s="76"/>
      <c r="J3" s="72"/>
    </row>
    <row r="4" spans="3:12" x14ac:dyDescent="0.2">
      <c r="C4" s="77" t="s">
        <v>21</v>
      </c>
      <c r="D4" s="78">
        <f>Total!$C$30</f>
        <v>30.95</v>
      </c>
      <c r="E4" s="78"/>
      <c r="F4" s="78">
        <f>Total!$C$31</f>
        <v>32.89</v>
      </c>
      <c r="G4" s="78"/>
      <c r="H4" s="78">
        <f>Total!$C$32</f>
        <v>35.049999999999997</v>
      </c>
      <c r="I4" s="78"/>
      <c r="J4" s="72"/>
    </row>
    <row r="5" spans="3:12" ht="13.5" customHeight="1" x14ac:dyDescent="0.2">
      <c r="C5" s="79" t="str">
        <f>Incremental!C7</f>
        <v>Queue</v>
      </c>
      <c r="D5" s="78"/>
      <c r="E5" s="78" t="str">
        <f>TEXT(Incremental!$C$30,"$0.00")</f>
        <v>$0.45</v>
      </c>
      <c r="F5" s="78"/>
      <c r="G5" s="78" t="str">
        <f>TEXT(Incremental!$C$31,"$0.00")</f>
        <v>$0.49</v>
      </c>
      <c r="H5" s="78"/>
      <c r="I5" s="78" t="str">
        <f>TEXT(Incremental!$C$32,"$0.00")</f>
        <v>$0.56</v>
      </c>
      <c r="J5" s="72"/>
    </row>
    <row r="6" spans="3:12" x14ac:dyDescent="0.2">
      <c r="C6" s="79" t="str">
        <f>Incremental!D7</f>
        <v>OFPC</v>
      </c>
      <c r="D6" s="78"/>
      <c r="E6" s="78" t="str">
        <f>TEXT(Incremental!$D$30,"$0.00")</f>
        <v>$0.27</v>
      </c>
      <c r="F6" s="78"/>
      <c r="G6" s="78" t="str">
        <f>TEXT(Incremental!$D$31,"$0.00")</f>
        <v>$0.32</v>
      </c>
      <c r="H6" s="78"/>
      <c r="I6" s="78" t="str">
        <f>TEXT(Incremental!$D$32,"$0.00")</f>
        <v>$0.25</v>
      </c>
      <c r="J6" s="72"/>
    </row>
    <row r="7" spans="3:12" x14ac:dyDescent="0.2">
      <c r="C7" s="72" t="s">
        <v>22</v>
      </c>
      <c r="D7" s="78">
        <f>Total!E30</f>
        <v>31.67</v>
      </c>
      <c r="E7" s="78"/>
      <c r="F7" s="78">
        <f>Total!E31</f>
        <v>33.700000000000003</v>
      </c>
      <c r="G7" s="78"/>
      <c r="H7" s="78">
        <f>Total!E32</f>
        <v>35.86</v>
      </c>
      <c r="I7" s="78"/>
      <c r="J7" s="72"/>
    </row>
    <row r="8" spans="3:12" x14ac:dyDescent="0.2">
      <c r="C8" s="72"/>
      <c r="D8" s="80"/>
      <c r="E8" s="80"/>
      <c r="F8" s="72"/>
      <c r="G8" s="72"/>
      <c r="H8" s="72"/>
      <c r="I8" s="72"/>
      <c r="J8" s="72"/>
    </row>
    <row r="9" spans="3:12" x14ac:dyDescent="0.2">
      <c r="C9" s="72"/>
      <c r="D9" s="80"/>
      <c r="E9" s="80"/>
      <c r="F9" s="72"/>
      <c r="G9" s="72"/>
      <c r="H9" s="72"/>
      <c r="I9" s="72"/>
      <c r="J9" s="72"/>
    </row>
    <row r="10" spans="3:12" x14ac:dyDescent="0.2">
      <c r="C10" s="81"/>
      <c r="D10" s="93"/>
      <c r="E10" s="81"/>
      <c r="F10" s="81"/>
      <c r="G10" s="81"/>
      <c r="H10" s="81"/>
      <c r="I10" s="81"/>
      <c r="J10" s="81"/>
      <c r="K10" s="81"/>
      <c r="L10" s="81"/>
    </row>
    <row r="11" spans="3:12" x14ac:dyDescent="0.2"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21" spans="3:10" x14ac:dyDescent="0.2">
      <c r="C21" s="82"/>
      <c r="D21" s="83"/>
      <c r="E21" s="83"/>
      <c r="F21" s="83"/>
      <c r="G21" s="83"/>
      <c r="H21" s="83"/>
      <c r="I21" s="83"/>
      <c r="J21" s="83"/>
    </row>
    <row r="22" spans="3:10" x14ac:dyDescent="0.2">
      <c r="C22" s="84"/>
      <c r="D22" s="84"/>
      <c r="E22" s="84"/>
      <c r="F22" s="84"/>
      <c r="G22" s="84"/>
      <c r="H22" s="84"/>
      <c r="I22" s="84"/>
      <c r="J22" s="84"/>
    </row>
    <row r="23" spans="3:10" x14ac:dyDescent="0.2">
      <c r="C23" s="85"/>
      <c r="D23" s="84"/>
      <c r="E23" s="86"/>
      <c r="F23" s="87"/>
      <c r="G23" s="87"/>
      <c r="H23" s="84"/>
      <c r="I23" s="84"/>
      <c r="J23" s="84"/>
    </row>
    <row r="24" spans="3:10" x14ac:dyDescent="0.2">
      <c r="C24" s="84"/>
      <c r="D24" s="84"/>
      <c r="E24" s="86"/>
      <c r="F24" s="86"/>
      <c r="G24" s="86"/>
      <c r="H24" s="88"/>
      <c r="I24" s="88"/>
      <c r="J24" s="88"/>
    </row>
    <row r="25" spans="3:10" x14ac:dyDescent="0.2">
      <c r="C25" s="84"/>
      <c r="D25" s="84"/>
      <c r="E25" s="86"/>
      <c r="F25" s="86"/>
      <c r="G25" s="86"/>
      <c r="H25" s="88"/>
      <c r="I25" s="88"/>
      <c r="J25" s="88"/>
    </row>
    <row r="26" spans="3:10" x14ac:dyDescent="0.2">
      <c r="C26" s="84"/>
      <c r="D26" s="84"/>
      <c r="E26" s="86"/>
      <c r="F26" s="86"/>
      <c r="G26" s="86"/>
      <c r="H26" s="88"/>
      <c r="I26" s="88"/>
      <c r="J26" s="88"/>
    </row>
    <row r="27" spans="3:10" x14ac:dyDescent="0.2">
      <c r="C27" s="84"/>
      <c r="D27" s="84"/>
      <c r="E27" s="86"/>
      <c r="F27" s="86"/>
      <c r="G27" s="86"/>
      <c r="H27" s="88"/>
      <c r="I27" s="88"/>
      <c r="J27" s="88"/>
    </row>
    <row r="28" spans="3:10" x14ac:dyDescent="0.2">
      <c r="C28" s="84"/>
      <c r="D28" s="84"/>
      <c r="E28" s="86"/>
      <c r="F28" s="86"/>
      <c r="G28" s="86"/>
      <c r="H28" s="88"/>
      <c r="I28" s="88"/>
      <c r="J28" s="88"/>
    </row>
    <row r="29" spans="3:10" x14ac:dyDescent="0.2">
      <c r="C29" s="84"/>
      <c r="D29" s="84"/>
      <c r="E29" s="86"/>
      <c r="F29" s="86"/>
      <c r="G29" s="86"/>
      <c r="H29" s="88"/>
      <c r="I29" s="88"/>
      <c r="J29" s="88"/>
    </row>
  </sheetData>
  <mergeCells count="1">
    <mergeCell ref="F3:G3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H41"/>
  <sheetViews>
    <sheetView showGridLines="0" zoomScale="60" zoomScaleNormal="60" workbookViewId="0">
      <pane xSplit="2" ySplit="9" topLeftCell="C16" activePane="bottomRight" state="frozen"/>
      <selection activeCell="E37" sqref="E37"/>
      <selection pane="topRight" activeCell="E37" sqref="E37"/>
      <selection pane="bottomLeft" activeCell="E37" sqref="E37"/>
      <selection pane="bottomRight" activeCell="B1" sqref="B1:F36"/>
    </sheetView>
  </sheetViews>
  <sheetFormatPr defaultColWidth="9.140625" defaultRowHeight="15" x14ac:dyDescent="0.2"/>
  <cols>
    <col min="1" max="1" width="1.85546875" style="1" customWidth="1"/>
    <col min="2" max="2" width="17" style="1" customWidth="1"/>
    <col min="3" max="4" width="15.7109375" style="1" customWidth="1"/>
    <col min="5" max="5" width="15.5703125" style="1" customWidth="1"/>
    <col min="6" max="6" width="25.140625" style="1" customWidth="1"/>
    <col min="7" max="7" width="11" style="1" customWidth="1"/>
    <col min="8" max="8" width="10.85546875" style="1" bestFit="1" customWidth="1"/>
    <col min="9" max="16384" width="9.140625" style="1"/>
  </cols>
  <sheetData>
    <row r="1" spans="2:8" ht="15.75" x14ac:dyDescent="0.25">
      <c r="B1" s="6" t="str">
        <f>Total!B1</f>
        <v>Appendix C</v>
      </c>
      <c r="C1" s="6"/>
      <c r="D1" s="6"/>
      <c r="E1" s="6"/>
    </row>
    <row r="2" spans="2:8" ht="8.25" customHeight="1" x14ac:dyDescent="0.25">
      <c r="B2" s="6"/>
      <c r="C2" s="6"/>
      <c r="D2" s="6"/>
      <c r="E2" s="6"/>
    </row>
    <row r="3" spans="2:8" ht="15.75" x14ac:dyDescent="0.25">
      <c r="B3" s="6" t="str">
        <f>Total!B3</f>
        <v>Utah Quarterly Compliance Filing</v>
      </c>
      <c r="C3" s="6"/>
      <c r="D3" s="6"/>
      <c r="E3" s="6"/>
    </row>
    <row r="4" spans="2:8" ht="15.75" x14ac:dyDescent="0.25">
      <c r="B4" s="6" t="str">
        <f>Capacity!$B$4</f>
        <v>Step Study between 2020.Q4 and 2020.Q3 Compliance Filing</v>
      </c>
      <c r="C4" s="6"/>
      <c r="D4" s="6"/>
      <c r="E4" s="6"/>
    </row>
    <row r="5" spans="2:8" ht="15.75" x14ac:dyDescent="0.25">
      <c r="B5" s="6" t="s">
        <v>14</v>
      </c>
      <c r="C5" s="6"/>
      <c r="D5" s="6"/>
      <c r="E5" s="6"/>
    </row>
    <row r="6" spans="2:8" x14ac:dyDescent="0.2">
      <c r="C6" s="9"/>
      <c r="D6" s="9"/>
      <c r="E6" s="9"/>
    </row>
    <row r="7" spans="2:8" s="4" customFormat="1" ht="15.75" x14ac:dyDescent="0.25">
      <c r="B7" s="14"/>
      <c r="C7" s="11" t="str">
        <f>Energy!D7</f>
        <v>Queue</v>
      </c>
      <c r="D7" s="11" t="str">
        <f>Energy!E7</f>
        <v>OFPC</v>
      </c>
      <c r="E7" s="11" t="s">
        <v>4</v>
      </c>
      <c r="F7" s="1"/>
    </row>
    <row r="8" spans="2:8" s="4" customFormat="1" ht="15.75" x14ac:dyDescent="0.25">
      <c r="B8" s="15" t="s">
        <v>0</v>
      </c>
      <c r="C8" s="67" t="s">
        <v>16</v>
      </c>
      <c r="D8" s="52"/>
      <c r="E8" s="12" t="s">
        <v>12</v>
      </c>
      <c r="F8" s="1"/>
    </row>
    <row r="9" spans="2:8" ht="4.5" customHeight="1" x14ac:dyDescent="0.2"/>
    <row r="10" spans="2:8" ht="15.75" hidden="1" x14ac:dyDescent="0.25">
      <c r="B10" s="3">
        <f>Total!B10</f>
        <v>0</v>
      </c>
      <c r="C10" s="57">
        <f>ROUND(Total!D10-Total!C10,3)</f>
        <v>0</v>
      </c>
      <c r="D10" s="57" t="e">
        <f>ROUND(Total!E10-Total!#REF!,3)</f>
        <v>#REF!</v>
      </c>
      <c r="E10" s="57" t="e">
        <f t="shared" ref="E10:E27" si="0">SUM(C10:D10)</f>
        <v>#REF!</v>
      </c>
      <c r="F10" s="56"/>
      <c r="G10" s="66"/>
      <c r="H10" s="19"/>
    </row>
    <row r="11" spans="2:8" ht="15.75" x14ac:dyDescent="0.25">
      <c r="B11" s="3">
        <f>Total!B11</f>
        <v>2021</v>
      </c>
      <c r="C11" s="57">
        <f>ROUND(Total!D11-Total!C11,3)</f>
        <v>0.14499999999999999</v>
      </c>
      <c r="D11" s="57">
        <f>ROUND(Total!E11-Total!D11,3)</f>
        <v>-0.50800000000000001</v>
      </c>
      <c r="E11" s="57">
        <f t="shared" si="0"/>
        <v>-0.36299999999999999</v>
      </c>
      <c r="F11" s="56"/>
      <c r="G11" s="66"/>
      <c r="H11" s="19"/>
    </row>
    <row r="12" spans="2:8" ht="15.75" x14ac:dyDescent="0.25">
      <c r="B12" s="3">
        <f t="shared" ref="B12:B27" si="1">B11+1</f>
        <v>2022</v>
      </c>
      <c r="C12" s="57">
        <f>ROUND(Total!D12-Total!C12,3)</f>
        <v>7.0000000000000007E-2</v>
      </c>
      <c r="D12" s="57">
        <f>ROUND(Total!E12-Total!D12,3)</f>
        <v>0.70899999999999996</v>
      </c>
      <c r="E12" s="57">
        <f t="shared" si="0"/>
        <v>0.77899999999999991</v>
      </c>
      <c r="F12" s="56"/>
      <c r="G12" s="66"/>
      <c r="H12" s="19"/>
    </row>
    <row r="13" spans="2:8" ht="15.75" x14ac:dyDescent="0.25">
      <c r="B13" s="3">
        <f t="shared" si="1"/>
        <v>2023</v>
      </c>
      <c r="C13" s="57">
        <f>ROUND(Total!D13-Total!C13,3)</f>
        <v>0.28899999999999998</v>
      </c>
      <c r="D13" s="57">
        <f>ROUND(Total!E13-Total!D13,3)</f>
        <v>0.27</v>
      </c>
      <c r="E13" s="57">
        <f t="shared" si="0"/>
        <v>0.55899999999999994</v>
      </c>
      <c r="F13" s="56"/>
      <c r="G13" s="66"/>
      <c r="H13" s="19"/>
    </row>
    <row r="14" spans="2:8" ht="15.75" x14ac:dyDescent="0.25">
      <c r="B14" s="3">
        <f t="shared" si="1"/>
        <v>2024</v>
      </c>
      <c r="C14" s="57">
        <f>ROUND(Total!D14-Total!C14,3)</f>
        <v>0.71099999999999997</v>
      </c>
      <c r="D14" s="57">
        <f>ROUND(Total!E14-Total!D14,3)</f>
        <v>0.73699999999999999</v>
      </c>
      <c r="E14" s="57">
        <f t="shared" si="0"/>
        <v>1.448</v>
      </c>
      <c r="F14" s="56"/>
      <c r="G14" s="66"/>
      <c r="H14" s="19"/>
    </row>
    <row r="15" spans="2:8" ht="15.75" x14ac:dyDescent="0.25">
      <c r="B15" s="3">
        <f t="shared" si="1"/>
        <v>2025</v>
      </c>
      <c r="C15" s="57">
        <f>ROUND(Total!D15-Total!C15,3)</f>
        <v>0.78600000000000003</v>
      </c>
      <c r="D15" s="57">
        <f>ROUND(Total!E15-Total!D15,3)</f>
        <v>1.732</v>
      </c>
      <c r="E15" s="57">
        <f t="shared" si="0"/>
        <v>2.5179999999999998</v>
      </c>
      <c r="F15" s="56"/>
      <c r="G15" s="66"/>
      <c r="H15" s="19"/>
    </row>
    <row r="16" spans="2:8" ht="15.75" x14ac:dyDescent="0.25">
      <c r="B16" s="3">
        <f t="shared" si="1"/>
        <v>2026</v>
      </c>
      <c r="C16" s="57">
        <f>ROUND(Total!D16-Total!C16,3)</f>
        <v>0.58899999999999997</v>
      </c>
      <c r="D16" s="57">
        <f>ROUND(Total!E16-Total!D16,3)</f>
        <v>0.58399999999999996</v>
      </c>
      <c r="E16" s="57">
        <f t="shared" si="0"/>
        <v>1.173</v>
      </c>
      <c r="F16" s="56"/>
      <c r="G16" s="66"/>
      <c r="H16" s="19"/>
    </row>
    <row r="17" spans="2:8" ht="15.75" x14ac:dyDescent="0.25">
      <c r="B17" s="3">
        <f t="shared" si="1"/>
        <v>2027</v>
      </c>
      <c r="C17" s="57">
        <f>ROUND(Total!D17-Total!C17,3)</f>
        <v>0.61399999999999999</v>
      </c>
      <c r="D17" s="57">
        <f>ROUND(Total!E17-Total!D17,3)</f>
        <v>0.99</v>
      </c>
      <c r="E17" s="57">
        <f t="shared" si="0"/>
        <v>1.6040000000000001</v>
      </c>
      <c r="F17" s="56"/>
      <c r="G17" s="66"/>
      <c r="H17" s="19"/>
    </row>
    <row r="18" spans="2:8" ht="15.75" x14ac:dyDescent="0.25">
      <c r="B18" s="3">
        <f t="shared" si="1"/>
        <v>2028</v>
      </c>
      <c r="C18" s="57">
        <f>ROUND(Total!D18-Total!C18,3)</f>
        <v>0.55000000000000004</v>
      </c>
      <c r="D18" s="57">
        <f>ROUND(Total!E18-Total!D18,3)</f>
        <v>0.55800000000000005</v>
      </c>
      <c r="E18" s="57">
        <f t="shared" si="0"/>
        <v>1.1080000000000001</v>
      </c>
      <c r="F18" s="56"/>
      <c r="G18" s="66"/>
      <c r="H18" s="19"/>
    </row>
    <row r="19" spans="2:8" ht="15.75" x14ac:dyDescent="0.25">
      <c r="B19" s="3">
        <f t="shared" si="1"/>
        <v>2029</v>
      </c>
      <c r="C19" s="57">
        <f>ROUND(Total!D19-Total!C19,3)</f>
        <v>0.50700000000000001</v>
      </c>
      <c r="D19" s="57">
        <f>ROUND(Total!E19-Total!D19,3)</f>
        <v>0.76800000000000002</v>
      </c>
      <c r="E19" s="57">
        <f t="shared" si="0"/>
        <v>1.2749999999999999</v>
      </c>
      <c r="F19" s="56"/>
      <c r="G19" s="66"/>
      <c r="H19" s="19"/>
    </row>
    <row r="20" spans="2:8" ht="15.75" x14ac:dyDescent="0.25">
      <c r="B20" s="3">
        <f t="shared" si="1"/>
        <v>2030</v>
      </c>
      <c r="C20" s="57">
        <f>ROUND(Total!D20-Total!C20,3)</f>
        <v>0.53100000000000003</v>
      </c>
      <c r="D20" s="57">
        <f>ROUND(Total!E20-Total!D20,3)</f>
        <v>-0.25900000000000001</v>
      </c>
      <c r="E20" s="57">
        <f t="shared" si="0"/>
        <v>0.27200000000000002</v>
      </c>
      <c r="F20" s="56"/>
      <c r="G20" s="66"/>
      <c r="H20" s="19"/>
    </row>
    <row r="21" spans="2:8" ht="15.75" x14ac:dyDescent="0.25">
      <c r="B21" s="3">
        <f t="shared" si="1"/>
        <v>2031</v>
      </c>
      <c r="C21" s="57">
        <f>ROUND(Total!D21-Total!C21,3)</f>
        <v>0.46200000000000002</v>
      </c>
      <c r="D21" s="57">
        <f>ROUND(Total!E21-Total!D21,3)</f>
        <v>-0.94399999999999995</v>
      </c>
      <c r="E21" s="57">
        <f t="shared" si="0"/>
        <v>-0.48199999999999993</v>
      </c>
      <c r="F21" s="56"/>
      <c r="G21" s="66"/>
      <c r="H21" s="19"/>
    </row>
    <row r="22" spans="2:8" ht="15.75" x14ac:dyDescent="0.25">
      <c r="B22" s="3">
        <f t="shared" si="1"/>
        <v>2032</v>
      </c>
      <c r="C22" s="57">
        <f>ROUND(Total!D22-Total!C22,3)</f>
        <v>0.437</v>
      </c>
      <c r="D22" s="57">
        <f>ROUND(Total!E22-Total!D22,3)</f>
        <v>-0.41299999999999998</v>
      </c>
      <c r="E22" s="57">
        <f t="shared" si="0"/>
        <v>2.4000000000000021E-2</v>
      </c>
      <c r="F22" s="56"/>
      <c r="G22" s="66"/>
      <c r="H22" s="19"/>
    </row>
    <row r="23" spans="2:8" ht="15.75" x14ac:dyDescent="0.25">
      <c r="B23" s="3">
        <f t="shared" si="1"/>
        <v>2033</v>
      </c>
      <c r="C23" s="57">
        <f>ROUND(Total!D23-Total!C23,3)</f>
        <v>0.47499999999999998</v>
      </c>
      <c r="D23" s="57">
        <f>ROUND(Total!E23-Total!D23,3)</f>
        <v>-0.69199999999999995</v>
      </c>
      <c r="E23" s="57">
        <f t="shared" si="0"/>
        <v>-0.21699999999999997</v>
      </c>
      <c r="F23" s="56"/>
      <c r="G23" s="66"/>
      <c r="H23" s="19"/>
    </row>
    <row r="24" spans="2:8" ht="15.75" x14ac:dyDescent="0.25">
      <c r="B24" s="3">
        <f t="shared" si="1"/>
        <v>2034</v>
      </c>
      <c r="C24" s="57">
        <f>ROUND(Total!D24-Total!C24,3)</f>
        <v>0.46899999999999997</v>
      </c>
      <c r="D24" s="57">
        <f>ROUND(Total!E24-Total!D24,3)</f>
        <v>-0.67500000000000004</v>
      </c>
      <c r="E24" s="57">
        <f t="shared" si="0"/>
        <v>-0.20600000000000007</v>
      </c>
      <c r="F24" s="56"/>
      <c r="G24" s="66"/>
      <c r="H24" s="19"/>
    </row>
    <row r="25" spans="2:8" ht="15.75" x14ac:dyDescent="0.25">
      <c r="B25" s="3">
        <f t="shared" si="1"/>
        <v>2035</v>
      </c>
      <c r="C25" s="57">
        <f>ROUND(Total!D25-Total!C25,3)</f>
        <v>0.45200000000000001</v>
      </c>
      <c r="D25" s="57">
        <f>ROUND(Total!E25-Total!D25,3)</f>
        <v>-0.315</v>
      </c>
      <c r="E25" s="57">
        <f t="shared" si="0"/>
        <v>0.13700000000000001</v>
      </c>
      <c r="F25" s="56"/>
      <c r="G25" s="66"/>
      <c r="H25" s="19"/>
    </row>
    <row r="26" spans="2:8" ht="15.75" x14ac:dyDescent="0.25">
      <c r="B26" s="3">
        <f t="shared" si="1"/>
        <v>2036</v>
      </c>
      <c r="C26" s="57">
        <f>ROUND(Total!D26-Total!C26,3)</f>
        <v>0.41899999999999998</v>
      </c>
      <c r="D26" s="57">
        <f>ROUND(Total!E26-Total!D26,3)</f>
        <v>-0.56200000000000006</v>
      </c>
      <c r="E26" s="57">
        <f t="shared" si="0"/>
        <v>-0.14300000000000007</v>
      </c>
      <c r="F26" s="56"/>
      <c r="G26" s="66"/>
      <c r="H26" s="19"/>
    </row>
    <row r="27" spans="2:8" ht="15.75" x14ac:dyDescent="0.25">
      <c r="B27" s="3">
        <f t="shared" si="1"/>
        <v>2037</v>
      </c>
      <c r="C27" s="57">
        <f>ROUND(Total!D27-Total!C27,3)</f>
        <v>1.212</v>
      </c>
      <c r="D27" s="57">
        <f>ROUND(Total!E27-Total!D27,3)</f>
        <v>-0.44500000000000001</v>
      </c>
      <c r="E27" s="57">
        <f t="shared" si="0"/>
        <v>0.7669999999999999</v>
      </c>
      <c r="F27" s="56"/>
      <c r="G27" s="66"/>
      <c r="H27" s="19"/>
    </row>
    <row r="28" spans="2:8" x14ac:dyDescent="0.2">
      <c r="C28" s="46"/>
      <c r="D28" s="46"/>
      <c r="E28" s="46"/>
      <c r="F28" s="56"/>
    </row>
    <row r="29" spans="2:8" x14ac:dyDescent="0.2">
      <c r="B29" s="13" t="str">
        <f>Total!B29</f>
        <v>Nominal Levelized Payment at 6.920% Discount Rate (3)</v>
      </c>
      <c r="C29" s="59"/>
      <c r="D29" s="59"/>
      <c r="E29" s="59"/>
      <c r="F29" s="56"/>
      <c r="G29" s="1" t="s">
        <v>15</v>
      </c>
    </row>
    <row r="30" spans="2:8" x14ac:dyDescent="0.2">
      <c r="B30" s="8" t="str">
        <f>B11&amp;" - "&amp;B25</f>
        <v>2021 - 2035</v>
      </c>
      <c r="C30" s="58">
        <f>ROUND(Total!D30-Total!C30,3)</f>
        <v>0.45</v>
      </c>
      <c r="D30" s="58">
        <f>ROUND(Total!E30-Total!D30,3)</f>
        <v>0.27</v>
      </c>
      <c r="E30" s="58">
        <f>SUM(C30:D30)</f>
        <v>0.72</v>
      </c>
      <c r="F30" s="56"/>
      <c r="G30" s="64">
        <f>SUM(C30:D30)-E30</f>
        <v>0</v>
      </c>
    </row>
    <row r="31" spans="2:8" x14ac:dyDescent="0.2">
      <c r="B31" s="8" t="str">
        <f>B12&amp;" - "&amp;B26</f>
        <v>2022 - 2036</v>
      </c>
      <c r="C31" s="58">
        <f>ROUND(Total!D31-Total!C31,3)</f>
        <v>0.49</v>
      </c>
      <c r="D31" s="58">
        <f>ROUND(Total!E31-Total!D31,3)</f>
        <v>0.32</v>
      </c>
      <c r="E31" s="58">
        <f>SUM(C31:D31)</f>
        <v>0.81</v>
      </c>
      <c r="F31" s="56"/>
      <c r="G31" s="64">
        <f>SUM(C31:D31)-E31</f>
        <v>0</v>
      </c>
    </row>
    <row r="32" spans="2:8" x14ac:dyDescent="0.2">
      <c r="B32" s="8" t="str">
        <f>B13&amp;" - "&amp;B27</f>
        <v>2023 - 2037</v>
      </c>
      <c r="C32" s="58">
        <f>ROUND(Total!D32-Total!C32,3)</f>
        <v>0.56000000000000005</v>
      </c>
      <c r="D32" s="58">
        <f>ROUND(Total!E32-Total!D32,3)</f>
        <v>0.25</v>
      </c>
      <c r="E32" s="58">
        <f>SUM(C32:D32)</f>
        <v>0.81</v>
      </c>
      <c r="F32" s="56"/>
      <c r="G32" s="64">
        <f>SUM(C32:D32)-E32</f>
        <v>0</v>
      </c>
    </row>
    <row r="33" spans="2:5" x14ac:dyDescent="0.2">
      <c r="C33" s="46"/>
      <c r="D33" s="46"/>
      <c r="E33" s="48"/>
    </row>
    <row r="34" spans="2:5" x14ac:dyDescent="0.2">
      <c r="B34" s="1" t="str">
        <f>Total!B34</f>
        <v>(1)   Studies are sequential.  The order of the studies would affect the price impact.</v>
      </c>
      <c r="C34" s="46"/>
      <c r="D34" s="46"/>
      <c r="E34" s="46"/>
    </row>
    <row r="35" spans="2:5" x14ac:dyDescent="0.2">
      <c r="B35" s="1" t="str">
        <f>Total!B35</f>
        <v>(2)   Official Forward Price Curve Dated December 2020</v>
      </c>
    </row>
    <row r="36" spans="2:5" x14ac:dyDescent="0.2">
      <c r="B36" s="1" t="str">
        <f>Total!B36</f>
        <v>(3)   Discount Rate - 2019 IRP - Calculated Annually</v>
      </c>
      <c r="C36" s="8"/>
    </row>
    <row r="40" spans="2:5" hidden="1" x14ac:dyDescent="0.2">
      <c r="B40" s="21" t="s">
        <v>11</v>
      </c>
    </row>
    <row r="41" spans="2:5" hidden="1" x14ac:dyDescent="0.2">
      <c r="B41" s="37">
        <f>Discount_Rate</f>
        <v>6.9199999999999998E-2</v>
      </c>
    </row>
  </sheetData>
  <phoneticPr fontId="2" type="noConversion"/>
  <printOptions horizontalCentered="1"/>
  <pageMargins left="0.25" right="0.25" top="0.75" bottom="0.75" header="0.3" footer="0.2"/>
  <pageSetup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N44"/>
  <sheetViews>
    <sheetView view="pageBreakPreview" zoomScale="60" zoomScaleNormal="70" workbookViewId="0">
      <pane xSplit="2" ySplit="9" topLeftCell="C12" activePane="bottomRight" state="frozen"/>
      <selection activeCell="E37" sqref="E37"/>
      <selection pane="topRight" activeCell="E37" sqref="E37"/>
      <selection pane="bottomLeft" activeCell="E37" sqref="E37"/>
      <selection pane="bottomRight" activeCell="E30" sqref="E30"/>
    </sheetView>
  </sheetViews>
  <sheetFormatPr defaultColWidth="9.140625" defaultRowHeight="15" x14ac:dyDescent="0.2"/>
  <cols>
    <col min="1" max="1" width="1.85546875" style="1" customWidth="1"/>
    <col min="2" max="2" width="18.7109375" style="1" customWidth="1"/>
    <col min="3" max="5" width="17.7109375" style="1" customWidth="1"/>
    <col min="6" max="6" width="16.28515625" style="1" customWidth="1"/>
    <col min="7" max="7" width="11.5703125" style="1" customWidth="1"/>
    <col min="8" max="8" width="16.42578125" style="1" customWidth="1"/>
    <col min="9" max="9" width="13.85546875" style="1" customWidth="1"/>
    <col min="10" max="12" width="9.140625" style="1"/>
    <col min="13" max="13" width="10.28515625" style="1" customWidth="1"/>
    <col min="14" max="16384" width="9.140625" style="1"/>
  </cols>
  <sheetData>
    <row r="1" spans="2:14" ht="15.75" x14ac:dyDescent="0.25">
      <c r="B1" s="6" t="s">
        <v>3</v>
      </c>
      <c r="C1" s="6"/>
      <c r="D1" s="6"/>
      <c r="E1" s="6"/>
    </row>
    <row r="2" spans="2:14" ht="8.25" customHeight="1" x14ac:dyDescent="0.25">
      <c r="B2" s="6"/>
      <c r="C2" s="6"/>
      <c r="D2" s="6"/>
      <c r="E2" s="6"/>
    </row>
    <row r="3" spans="2:14" ht="15.75" x14ac:dyDescent="0.25">
      <c r="B3" s="6" t="s">
        <v>1</v>
      </c>
      <c r="C3" s="6"/>
      <c r="D3" s="6"/>
      <c r="E3" s="6"/>
    </row>
    <row r="4" spans="2:14" ht="15.75" x14ac:dyDescent="0.25">
      <c r="B4" s="6" t="str">
        <f>Capacity!$B$4</f>
        <v>Step Study between 2020.Q4 and 2020.Q3 Compliance Filing</v>
      </c>
      <c r="C4" s="6"/>
      <c r="D4" s="6"/>
      <c r="E4" s="6"/>
    </row>
    <row r="5" spans="2:14" ht="15.75" x14ac:dyDescent="0.25">
      <c r="B5" s="6" t="s">
        <v>9</v>
      </c>
      <c r="C5" s="6"/>
      <c r="D5" s="6"/>
      <c r="E5" s="6"/>
    </row>
    <row r="6" spans="2:14" s="18" customFormat="1" ht="15.75" x14ac:dyDescent="0.25">
      <c r="B6" s="16"/>
      <c r="C6" s="16"/>
      <c r="D6" s="16"/>
      <c r="E6" s="17"/>
    </row>
    <row r="7" spans="2:14" ht="17.25" customHeight="1" x14ac:dyDescent="0.25">
      <c r="B7" s="41"/>
      <c r="C7" s="42" t="str">
        <f>Energy!C7</f>
        <v>2020.Q3</v>
      </c>
      <c r="D7" s="42" t="str">
        <f>Energy!D7</f>
        <v>Queue</v>
      </c>
      <c r="E7" s="42" t="str">
        <f>Energy!E7</f>
        <v>OFPC</v>
      </c>
    </row>
    <row r="8" spans="2:14" ht="15.75" x14ac:dyDescent="0.25">
      <c r="B8" s="7" t="s">
        <v>0</v>
      </c>
      <c r="C8" s="2" t="str">
        <f>Energy!C8</f>
        <v>As Filed</v>
      </c>
      <c r="D8" s="65" t="s">
        <v>16</v>
      </c>
      <c r="E8" s="2"/>
    </row>
    <row r="9" spans="2:14" ht="4.5" customHeight="1" x14ac:dyDescent="0.2"/>
    <row r="10" spans="2:14" ht="15.75" hidden="1" x14ac:dyDescent="0.25">
      <c r="B10" s="3"/>
      <c r="C10" s="61"/>
      <c r="D10" s="61"/>
      <c r="E10" s="61"/>
      <c r="G10" s="43"/>
      <c r="H10" s="49"/>
      <c r="I10" s="43"/>
      <c r="J10" s="43"/>
      <c r="K10" s="43"/>
      <c r="L10" s="43"/>
      <c r="M10" s="43"/>
    </row>
    <row r="11" spans="2:14" ht="15.75" x14ac:dyDescent="0.25">
      <c r="B11" s="3">
        <f>Energy!B11</f>
        <v>2021</v>
      </c>
      <c r="C11" s="61">
        <f>ROUND(Capacity!$F11+Energy!C11,3)</f>
        <v>20.689</v>
      </c>
      <c r="D11" s="61">
        <f>ROUND(Capacity!$G11+Energy!D11,3)</f>
        <v>20.834</v>
      </c>
      <c r="E11" s="61">
        <f>ROUND(Capacity!$G11+Energy!E11,3)</f>
        <v>20.326000000000001</v>
      </c>
      <c r="F11" s="64"/>
      <c r="G11" s="64"/>
      <c r="H11" s="64"/>
      <c r="I11" s="64"/>
      <c r="J11" s="43"/>
      <c r="K11" s="43"/>
      <c r="L11" s="43"/>
      <c r="M11" s="43"/>
    </row>
    <row r="12" spans="2:14" ht="15.75" x14ac:dyDescent="0.25">
      <c r="B12" s="3">
        <f t="shared" ref="B12:B27" si="0">B11+1</f>
        <v>2022</v>
      </c>
      <c r="C12" s="61">
        <f>ROUND(Capacity!$F12+Energy!C12,3)</f>
        <v>20.404</v>
      </c>
      <c r="D12" s="61">
        <f>ROUND(Capacity!$G12+Energy!D12,3)</f>
        <v>20.474</v>
      </c>
      <c r="E12" s="61">
        <f>ROUND(Capacity!$G12+Energy!E12,3)</f>
        <v>21.183</v>
      </c>
      <c r="F12" s="64"/>
      <c r="G12" s="64"/>
      <c r="H12" s="64"/>
      <c r="I12" s="64"/>
      <c r="J12" s="43"/>
      <c r="K12" s="43"/>
      <c r="L12" s="43"/>
      <c r="M12" s="43"/>
    </row>
    <row r="13" spans="2:14" ht="15.75" x14ac:dyDescent="0.25">
      <c r="B13" s="3">
        <f t="shared" si="0"/>
        <v>2023</v>
      </c>
      <c r="C13" s="61">
        <f>ROUND(Capacity!$F13+Energy!C13,3)</f>
        <v>19.585999999999999</v>
      </c>
      <c r="D13" s="61">
        <f>ROUND(Capacity!$G13+Energy!D13,3)</f>
        <v>19.875</v>
      </c>
      <c r="E13" s="61">
        <f>ROUND(Capacity!$G13+Energy!E13,3)</f>
        <v>20.145</v>
      </c>
      <c r="F13" s="64"/>
      <c r="G13" s="64"/>
      <c r="H13" s="64"/>
      <c r="I13" s="64"/>
      <c r="J13" s="43"/>
      <c r="K13" s="43"/>
      <c r="L13" s="43"/>
      <c r="M13" s="43"/>
      <c r="N13" s="5"/>
    </row>
    <row r="14" spans="2:14" ht="15.75" x14ac:dyDescent="0.25">
      <c r="B14" s="3">
        <f t="shared" si="0"/>
        <v>2024</v>
      </c>
      <c r="C14" s="61">
        <f>ROUND(Capacity!$F14+Energy!C14,3)</f>
        <v>15.824999999999999</v>
      </c>
      <c r="D14" s="61">
        <f>ROUND(Capacity!$G14+Energy!D14,3)</f>
        <v>16.536000000000001</v>
      </c>
      <c r="E14" s="61">
        <f>ROUND(Capacity!$G14+Energy!E14,3)</f>
        <v>17.273</v>
      </c>
      <c r="F14" s="64"/>
      <c r="G14" s="64"/>
      <c r="H14" s="64"/>
      <c r="I14" s="64"/>
      <c r="J14" s="43"/>
      <c r="K14" s="43"/>
      <c r="L14" s="43"/>
      <c r="M14" s="43"/>
    </row>
    <row r="15" spans="2:14" ht="15.75" x14ac:dyDescent="0.25">
      <c r="B15" s="3">
        <f t="shared" si="0"/>
        <v>2025</v>
      </c>
      <c r="C15" s="61">
        <f>ROUND(Capacity!$F15+Energy!C15,3)</f>
        <v>17.925000000000001</v>
      </c>
      <c r="D15" s="61">
        <f>ROUND(Capacity!$G15+Energy!D15,3)</f>
        <v>18.710999999999999</v>
      </c>
      <c r="E15" s="61">
        <f>ROUND(Capacity!$G15+Energy!E15,3)</f>
        <v>20.443000000000001</v>
      </c>
      <c r="F15" s="64"/>
      <c r="G15" s="64"/>
      <c r="H15" s="64"/>
      <c r="I15" s="64"/>
      <c r="J15" s="43"/>
      <c r="K15" s="43"/>
      <c r="L15" s="43"/>
      <c r="M15" s="43"/>
    </row>
    <row r="16" spans="2:14" ht="15.75" x14ac:dyDescent="0.25">
      <c r="B16" s="3">
        <f t="shared" si="0"/>
        <v>2026</v>
      </c>
      <c r="C16" s="61">
        <f>ROUND(Capacity!$F16+Energy!C16,3)</f>
        <v>33.006999999999998</v>
      </c>
      <c r="D16" s="61">
        <f>ROUND(Capacity!$G16+Energy!D16,3)</f>
        <v>33.595999999999997</v>
      </c>
      <c r="E16" s="61">
        <f>ROUND(Capacity!$G16+Energy!E16,3)</f>
        <v>34.18</v>
      </c>
      <c r="F16" s="64"/>
      <c r="G16" s="64"/>
      <c r="H16" s="64"/>
      <c r="I16" s="64"/>
      <c r="J16" s="43"/>
      <c r="K16" s="43"/>
      <c r="L16" s="43"/>
      <c r="M16" s="43"/>
    </row>
    <row r="17" spans="2:13" ht="15.75" x14ac:dyDescent="0.25">
      <c r="B17" s="3">
        <f t="shared" si="0"/>
        <v>2027</v>
      </c>
      <c r="C17" s="61">
        <f>ROUND(Capacity!$F17+Energy!C17,3)</f>
        <v>34.232999999999997</v>
      </c>
      <c r="D17" s="61">
        <f>ROUND(Capacity!$G17+Energy!D17,3)</f>
        <v>34.847000000000001</v>
      </c>
      <c r="E17" s="61">
        <f>ROUND(Capacity!$G17+Energy!E17,3)</f>
        <v>35.837000000000003</v>
      </c>
      <c r="F17" s="64"/>
      <c r="G17" s="64"/>
      <c r="H17" s="64"/>
      <c r="I17" s="64"/>
      <c r="J17" s="43"/>
      <c r="K17" s="43"/>
      <c r="L17" s="43"/>
      <c r="M17" s="43"/>
    </row>
    <row r="18" spans="2:13" ht="15.75" x14ac:dyDescent="0.25">
      <c r="B18" s="3">
        <f t="shared" si="0"/>
        <v>2028</v>
      </c>
      <c r="C18" s="61">
        <f>ROUND(Capacity!$F18+Energy!C18,3)</f>
        <v>38.145000000000003</v>
      </c>
      <c r="D18" s="61">
        <f>ROUND(Capacity!$G18+Energy!D18,3)</f>
        <v>38.695</v>
      </c>
      <c r="E18" s="61">
        <f>ROUND(Capacity!$G18+Energy!E18,3)</f>
        <v>39.253</v>
      </c>
      <c r="F18" s="64"/>
      <c r="G18" s="64"/>
      <c r="H18" s="64"/>
      <c r="I18" s="64"/>
      <c r="J18" s="43"/>
      <c r="K18" s="43"/>
      <c r="L18" s="43"/>
      <c r="M18" s="43"/>
    </row>
    <row r="19" spans="2:13" ht="15.75" x14ac:dyDescent="0.25">
      <c r="B19" s="3">
        <f t="shared" si="0"/>
        <v>2029</v>
      </c>
      <c r="C19" s="61">
        <f>ROUND(Capacity!$F19+Energy!C19,3)</f>
        <v>40.395000000000003</v>
      </c>
      <c r="D19" s="61">
        <f>ROUND(Capacity!$G19+Energy!D19,3)</f>
        <v>40.902000000000001</v>
      </c>
      <c r="E19" s="61">
        <f>ROUND(Capacity!$G19+Energy!E19,3)</f>
        <v>41.67</v>
      </c>
      <c r="F19" s="64"/>
      <c r="G19" s="64"/>
      <c r="H19" s="64"/>
      <c r="I19" s="64"/>
      <c r="J19" s="43"/>
      <c r="K19" s="43"/>
      <c r="L19" s="43"/>
      <c r="M19" s="43"/>
    </row>
    <row r="20" spans="2:13" ht="15.75" x14ac:dyDescent="0.25">
      <c r="B20" s="3">
        <f t="shared" si="0"/>
        <v>2030</v>
      </c>
      <c r="C20" s="61">
        <f>ROUND(Capacity!$F20+Energy!C20,3)</f>
        <v>40.42</v>
      </c>
      <c r="D20" s="61">
        <f>ROUND(Capacity!$G20+Energy!D20,3)</f>
        <v>40.951000000000001</v>
      </c>
      <c r="E20" s="61">
        <f>ROUND(Capacity!$G20+Energy!E20,3)</f>
        <v>40.692</v>
      </c>
      <c r="F20" s="64"/>
      <c r="G20" s="64"/>
      <c r="H20" s="64"/>
      <c r="I20" s="64"/>
      <c r="J20" s="43"/>
      <c r="K20" s="43"/>
      <c r="L20" s="43"/>
      <c r="M20" s="43"/>
    </row>
    <row r="21" spans="2:13" ht="15.75" x14ac:dyDescent="0.25">
      <c r="B21" s="3">
        <f t="shared" si="0"/>
        <v>2031</v>
      </c>
      <c r="C21" s="61">
        <f>ROUND(Capacity!$F21+Energy!C21,3)</f>
        <v>43.002000000000002</v>
      </c>
      <c r="D21" s="61">
        <f>ROUND(Capacity!$G21+Energy!D21,3)</f>
        <v>43.463999999999999</v>
      </c>
      <c r="E21" s="61">
        <f>ROUND(Capacity!$G21+Energy!E21,3)</f>
        <v>42.52</v>
      </c>
      <c r="F21" s="64"/>
      <c r="G21" s="64"/>
      <c r="H21" s="64"/>
      <c r="I21" s="64"/>
      <c r="J21" s="43"/>
      <c r="K21" s="43"/>
      <c r="L21" s="43"/>
      <c r="M21" s="43"/>
    </row>
    <row r="22" spans="2:13" ht="15.75" x14ac:dyDescent="0.25">
      <c r="B22" s="3">
        <f t="shared" si="0"/>
        <v>2032</v>
      </c>
      <c r="C22" s="61">
        <f>ROUND(Capacity!$F22+Energy!C22,3)</f>
        <v>44.71</v>
      </c>
      <c r="D22" s="61">
        <f>ROUND(Capacity!$G22+Energy!D22,3)</f>
        <v>45.146999999999998</v>
      </c>
      <c r="E22" s="61">
        <f>ROUND(Capacity!$G22+Energy!E22,3)</f>
        <v>44.734000000000002</v>
      </c>
      <c r="F22" s="64"/>
      <c r="G22" s="64"/>
      <c r="H22" s="64"/>
      <c r="I22" s="64"/>
      <c r="J22" s="43"/>
      <c r="K22" s="43"/>
      <c r="L22" s="43"/>
      <c r="M22" s="43"/>
    </row>
    <row r="23" spans="2:13" ht="15.75" x14ac:dyDescent="0.25">
      <c r="B23" s="3">
        <f t="shared" si="0"/>
        <v>2033</v>
      </c>
      <c r="C23" s="61">
        <f>ROUND(Capacity!$F23+Energy!C23,3)</f>
        <v>45.877000000000002</v>
      </c>
      <c r="D23" s="61">
        <f>ROUND(Capacity!$G23+Energy!D23,3)</f>
        <v>46.351999999999997</v>
      </c>
      <c r="E23" s="61">
        <f>ROUND(Capacity!$G23+Energy!E23,3)</f>
        <v>45.66</v>
      </c>
      <c r="F23" s="64"/>
      <c r="G23" s="64"/>
      <c r="H23" s="64"/>
      <c r="I23" s="64"/>
      <c r="J23" s="43"/>
      <c r="K23" s="43"/>
      <c r="L23" s="43"/>
      <c r="M23" s="43"/>
    </row>
    <row r="24" spans="2:13" ht="15.75" x14ac:dyDescent="0.25">
      <c r="B24" s="3">
        <f t="shared" si="0"/>
        <v>2034</v>
      </c>
      <c r="C24" s="61">
        <f>ROUND(Capacity!$F24+Energy!C24,3)</f>
        <v>47.542000000000002</v>
      </c>
      <c r="D24" s="61">
        <f>ROUND(Capacity!$G24+Energy!D24,3)</f>
        <v>48.011000000000003</v>
      </c>
      <c r="E24" s="61">
        <f>ROUND(Capacity!$G24+Energy!E24,3)</f>
        <v>47.335999999999999</v>
      </c>
      <c r="F24" s="64"/>
      <c r="G24" s="64"/>
      <c r="H24" s="64"/>
      <c r="I24" s="64"/>
      <c r="J24" s="43"/>
      <c r="K24" s="43"/>
      <c r="L24" s="43"/>
      <c r="M24" s="43"/>
    </row>
    <row r="25" spans="2:13" ht="15.75" x14ac:dyDescent="0.25">
      <c r="B25" s="3">
        <f t="shared" si="0"/>
        <v>2035</v>
      </c>
      <c r="C25" s="61">
        <f>ROUND(Capacity!$F25+Energy!C25,3)</f>
        <v>49.067999999999998</v>
      </c>
      <c r="D25" s="61">
        <f>ROUND(Capacity!$G25+Energy!D25,3)</f>
        <v>49.52</v>
      </c>
      <c r="E25" s="61">
        <f>ROUND(Capacity!$G25+Energy!E25,3)</f>
        <v>49.204999999999998</v>
      </c>
      <c r="F25" s="64"/>
      <c r="G25" s="64"/>
      <c r="H25" s="64"/>
      <c r="I25" s="64"/>
      <c r="J25" s="43"/>
      <c r="K25" s="43"/>
      <c r="L25" s="43"/>
      <c r="M25" s="43"/>
    </row>
    <row r="26" spans="2:13" ht="15.75" x14ac:dyDescent="0.25">
      <c r="B26" s="3">
        <f t="shared" si="0"/>
        <v>2036</v>
      </c>
      <c r="C26" s="61">
        <f>ROUND(Capacity!$F26+Energy!C26,3)</f>
        <v>51.406999999999996</v>
      </c>
      <c r="D26" s="61">
        <f>ROUND(Capacity!$G26+Energy!D26,3)</f>
        <v>51.826000000000001</v>
      </c>
      <c r="E26" s="61">
        <f>ROUND(Capacity!$G26+Energy!E26,3)</f>
        <v>51.264000000000003</v>
      </c>
      <c r="F26" s="64"/>
      <c r="G26" s="64"/>
      <c r="H26" s="64"/>
      <c r="I26" s="64"/>
      <c r="J26" s="43"/>
      <c r="K26" s="43"/>
      <c r="L26" s="43"/>
      <c r="M26" s="43"/>
    </row>
    <row r="27" spans="2:13" ht="15.75" x14ac:dyDescent="0.25">
      <c r="B27" s="3">
        <f t="shared" si="0"/>
        <v>2037</v>
      </c>
      <c r="C27" s="61">
        <f>ROUND(Capacity!$F27+Energy!C27,3)</f>
        <v>52.747</v>
      </c>
      <c r="D27" s="61">
        <f>ROUND(Capacity!$G27+Energy!D27,3)</f>
        <v>53.959000000000003</v>
      </c>
      <c r="E27" s="61">
        <f>ROUND(Capacity!$G27+Energy!E27,3)</f>
        <v>53.514000000000003</v>
      </c>
      <c r="F27" s="64"/>
      <c r="G27" s="64"/>
      <c r="H27" s="64"/>
      <c r="I27" s="64"/>
      <c r="J27" s="43"/>
      <c r="K27" s="43"/>
      <c r="L27" s="43"/>
      <c r="M27" s="43"/>
    </row>
    <row r="28" spans="2:13" x14ac:dyDescent="0.2">
      <c r="C28" s="62"/>
      <c r="D28" s="62"/>
      <c r="E28" s="62"/>
      <c r="G28" s="43"/>
      <c r="H28" s="43"/>
    </row>
    <row r="29" spans="2:13" x14ac:dyDescent="0.2">
      <c r="B29" s="4" t="str">
        <f>"Nominal Levelized Payment at "&amp;TEXT(Discount_Rate,"0.000%")&amp;" Discount Rate (3)"</f>
        <v>Nominal Levelized Payment at 6.920% Discount Rate (3)</v>
      </c>
      <c r="C29" s="62"/>
      <c r="D29" s="62"/>
      <c r="E29" s="62"/>
      <c r="G29" s="43"/>
      <c r="H29" s="43"/>
    </row>
    <row r="30" spans="2:13" x14ac:dyDescent="0.2">
      <c r="B30" s="8" t="str">
        <f>B11&amp;" - "&amp;B25</f>
        <v>2021 - 2035</v>
      </c>
      <c r="C30" s="63">
        <f t="shared" ref="C30:E32" si="1">ROUND(PMT(Discount_Rate,COUNT(C11:C25),-NPV(Discount_Rate,C11:C25)),2)</f>
        <v>30.95</v>
      </c>
      <c r="D30" s="63">
        <f t="shared" si="1"/>
        <v>31.4</v>
      </c>
      <c r="E30" s="63">
        <f t="shared" si="1"/>
        <v>31.67</v>
      </c>
      <c r="G30" s="43"/>
      <c r="H30" s="49"/>
    </row>
    <row r="31" spans="2:13" x14ac:dyDescent="0.2">
      <c r="B31" s="8" t="str">
        <f>B12&amp;" - "&amp;B26</f>
        <v>2022 - 2036</v>
      </c>
      <c r="C31" s="63">
        <f t="shared" si="1"/>
        <v>32.89</v>
      </c>
      <c r="D31" s="63">
        <f t="shared" si="1"/>
        <v>33.380000000000003</v>
      </c>
      <c r="E31" s="63">
        <f t="shared" si="1"/>
        <v>33.700000000000003</v>
      </c>
      <c r="G31" s="43"/>
      <c r="H31" s="49"/>
    </row>
    <row r="32" spans="2:13" x14ac:dyDescent="0.2">
      <c r="B32" s="8" t="str">
        <f>B13&amp;" - "&amp;B27</f>
        <v>2023 - 2037</v>
      </c>
      <c r="C32" s="63">
        <f t="shared" si="1"/>
        <v>35.049999999999997</v>
      </c>
      <c r="D32" s="63">
        <f t="shared" si="1"/>
        <v>35.61</v>
      </c>
      <c r="E32" s="63">
        <f t="shared" si="1"/>
        <v>35.86</v>
      </c>
      <c r="G32" s="43"/>
      <c r="H32" s="49"/>
    </row>
    <row r="33" spans="2:8" x14ac:dyDescent="0.2">
      <c r="D33" s="10"/>
      <c r="E33" s="10"/>
      <c r="G33" s="43"/>
      <c r="H33" s="43"/>
    </row>
    <row r="34" spans="2:8" x14ac:dyDescent="0.2">
      <c r="B34" s="8" t="s">
        <v>13</v>
      </c>
      <c r="G34" s="43"/>
      <c r="H34" s="43"/>
    </row>
    <row r="35" spans="2:8" x14ac:dyDescent="0.2">
      <c r="B35" s="1" t="str">
        <f>"(2)   Official Forward Price Curve Dated "&amp;TEXT(B42,"MMMM YYYY")</f>
        <v>(2)   Official Forward Price Curve Dated December 2020</v>
      </c>
      <c r="G35" s="43"/>
      <c r="H35" s="43"/>
    </row>
    <row r="36" spans="2:8" x14ac:dyDescent="0.2">
      <c r="B36" s="1" t="str">
        <f>"(3)   "&amp;B39&amp;" - Calculated Annually"</f>
        <v>(3)   Discount Rate - 2019 IRP - Calculated Annually</v>
      </c>
    </row>
    <row r="37" spans="2:8" x14ac:dyDescent="0.2">
      <c r="B37" s="25" t="str">
        <f>"(4)   Capacity costs are allocated based on assumed "&amp;TEXT(B44,"00%")&amp;" capacity factor."</f>
        <v>(4)   Capacity costs are allocated based on assumed 100% capacity factor.</v>
      </c>
    </row>
    <row r="39" spans="2:8" x14ac:dyDescent="0.2">
      <c r="B39" s="21" t="s">
        <v>23</v>
      </c>
    </row>
    <row r="40" spans="2:8" x14ac:dyDescent="0.2">
      <c r="B40" s="20">
        <v>6.9199999999999998E-2</v>
      </c>
      <c r="D40" s="19"/>
    </row>
    <row r="41" spans="2:8" x14ac:dyDescent="0.2">
      <c r="B41" s="1" t="s">
        <v>10</v>
      </c>
      <c r="D41" s="19"/>
    </row>
    <row r="42" spans="2:8" x14ac:dyDescent="0.2">
      <c r="B42" s="22">
        <v>44196</v>
      </c>
      <c r="D42" s="19"/>
      <c r="E42" s="19"/>
    </row>
    <row r="43" spans="2:8" x14ac:dyDescent="0.2">
      <c r="B43" s="25" t="s">
        <v>18</v>
      </c>
    </row>
    <row r="44" spans="2:8" x14ac:dyDescent="0.2">
      <c r="B44" s="92">
        <v>1</v>
      </c>
    </row>
  </sheetData>
  <phoneticPr fontId="2" type="noConversion"/>
  <printOptions horizontalCentered="1"/>
  <pageMargins left="0.25" right="0.25" top="0.75" bottom="0.75" header="0.3" footer="0.2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H43"/>
  <sheetViews>
    <sheetView zoomScale="70" zoomScaleNormal="70" workbookViewId="0">
      <pane xSplit="2" ySplit="8" topLeftCell="C9" activePane="bottomRight" state="frozen"/>
      <selection activeCell="E37" sqref="E37"/>
      <selection pane="topRight" activeCell="E37" sqref="E37"/>
      <selection pane="bottomLeft" activeCell="E37" sqref="E37"/>
      <selection pane="bottomRight" activeCell="E15" sqref="E15"/>
    </sheetView>
  </sheetViews>
  <sheetFormatPr defaultColWidth="9.140625" defaultRowHeight="15" x14ac:dyDescent="0.2"/>
  <cols>
    <col min="1" max="1" width="1.85546875" style="25" customWidth="1"/>
    <col min="2" max="2" width="17.5703125" style="25" customWidth="1"/>
    <col min="3" max="3" width="17.7109375" style="25" customWidth="1"/>
    <col min="4" max="4" width="15.42578125" style="25" customWidth="1"/>
    <col min="5" max="5" width="17.7109375" style="25" customWidth="1"/>
    <col min="6" max="6" width="27.7109375" style="25" customWidth="1"/>
    <col min="7" max="7" width="18.85546875" style="25" customWidth="1"/>
    <col min="8" max="16384" width="9.140625" style="25"/>
  </cols>
  <sheetData>
    <row r="1" spans="2:8" ht="15.75" x14ac:dyDescent="0.25">
      <c r="B1" s="23" t="str">
        <f>Total!B1</f>
        <v>Appendix C</v>
      </c>
      <c r="C1" s="23"/>
      <c r="D1" s="23"/>
      <c r="E1" s="23"/>
    </row>
    <row r="2" spans="2:8" ht="8.25" customHeight="1" x14ac:dyDescent="0.25">
      <c r="B2" s="23"/>
      <c r="C2" s="23"/>
      <c r="D2" s="23"/>
      <c r="E2" s="23"/>
    </row>
    <row r="3" spans="2:8" ht="15.75" x14ac:dyDescent="0.25">
      <c r="B3" s="23" t="str">
        <f>Total!B3</f>
        <v>Utah Quarterly Compliance Filing</v>
      </c>
      <c r="C3" s="23"/>
      <c r="D3" s="23"/>
      <c r="E3" s="23"/>
    </row>
    <row r="4" spans="2:8" ht="15.75" x14ac:dyDescent="0.25">
      <c r="B4" s="23" t="str">
        <f>Capacity!$B$4</f>
        <v>Step Study between 2020.Q4 and 2020.Q3 Compliance Filing</v>
      </c>
      <c r="C4" s="23"/>
      <c r="D4" s="23"/>
      <c r="E4" s="23"/>
    </row>
    <row r="5" spans="2:8" ht="15.75" x14ac:dyDescent="0.25">
      <c r="B5" s="23" t="s">
        <v>5</v>
      </c>
      <c r="C5" s="23"/>
      <c r="D5" s="23"/>
      <c r="E5" s="23"/>
    </row>
    <row r="6" spans="2:8" ht="15.75" x14ac:dyDescent="0.25">
      <c r="B6" s="23"/>
      <c r="C6" s="45"/>
      <c r="D6" s="45"/>
      <c r="E6" s="45"/>
    </row>
    <row r="7" spans="2:8" ht="15.75" x14ac:dyDescent="0.25">
      <c r="B7" s="26"/>
      <c r="C7" s="102" t="str">
        <f>Capacity!K7</f>
        <v>2020.Q3</v>
      </c>
      <c r="D7" s="44" t="s">
        <v>24</v>
      </c>
      <c r="E7" s="104" t="s">
        <v>25</v>
      </c>
      <c r="G7" s="53"/>
      <c r="H7" s="54"/>
    </row>
    <row r="8" spans="2:8" ht="15.75" x14ac:dyDescent="0.25">
      <c r="B8" s="28" t="s">
        <v>0</v>
      </c>
      <c r="C8" s="28" t="s">
        <v>6</v>
      </c>
      <c r="D8" s="91" t="s">
        <v>16</v>
      </c>
      <c r="E8" s="105"/>
      <c r="G8" s="53"/>
      <c r="H8" s="54"/>
    </row>
    <row r="9" spans="2:8" ht="4.5" customHeight="1" x14ac:dyDescent="0.2">
      <c r="B9" s="68"/>
      <c r="C9" s="68"/>
      <c r="D9" s="89"/>
      <c r="E9" s="106"/>
      <c r="G9" s="94"/>
      <c r="H9" s="54"/>
    </row>
    <row r="10" spans="2:8" ht="15.75" hidden="1" x14ac:dyDescent="0.25">
      <c r="B10" s="69">
        <f>Total!B10</f>
        <v>0</v>
      </c>
      <c r="C10" s="103">
        <v>27.215</v>
      </c>
      <c r="D10" s="90">
        <v>27.215</v>
      </c>
      <c r="E10" s="97" t="e">
        <v>#REF!</v>
      </c>
      <c r="G10" s="95"/>
      <c r="H10" s="55"/>
    </row>
    <row r="11" spans="2:8" ht="15.75" x14ac:dyDescent="0.25">
      <c r="B11" s="69">
        <v>2021</v>
      </c>
      <c r="C11" s="100">
        <v>20.689</v>
      </c>
      <c r="D11" s="90">
        <v>20.834</v>
      </c>
      <c r="E11" s="101">
        <v>20.326000000000001</v>
      </c>
      <c r="G11" s="95"/>
      <c r="H11" s="55"/>
    </row>
    <row r="12" spans="2:8" ht="15.75" x14ac:dyDescent="0.25">
      <c r="B12" s="69">
        <f t="shared" ref="B12:B27" si="0">B11+1</f>
        <v>2022</v>
      </c>
      <c r="C12" s="96">
        <v>20.404</v>
      </c>
      <c r="D12" s="90">
        <v>20.474</v>
      </c>
      <c r="E12" s="97">
        <v>21.183</v>
      </c>
      <c r="G12" s="95"/>
      <c r="H12" s="55"/>
    </row>
    <row r="13" spans="2:8" ht="15.75" x14ac:dyDescent="0.25">
      <c r="B13" s="69">
        <f t="shared" si="0"/>
        <v>2023</v>
      </c>
      <c r="C13" s="96">
        <v>19.585999999999999</v>
      </c>
      <c r="D13" s="90">
        <v>19.875</v>
      </c>
      <c r="E13" s="97">
        <v>20.145</v>
      </c>
      <c r="G13" s="95"/>
      <c r="H13" s="55"/>
    </row>
    <row r="14" spans="2:8" ht="15.75" x14ac:dyDescent="0.25">
      <c r="B14" s="69">
        <f t="shared" si="0"/>
        <v>2024</v>
      </c>
      <c r="C14" s="96">
        <v>15.824999999999999</v>
      </c>
      <c r="D14" s="90">
        <v>16.536000000000001</v>
      </c>
      <c r="E14" s="97">
        <v>17.273</v>
      </c>
      <c r="G14" s="95"/>
      <c r="H14" s="55"/>
    </row>
    <row r="15" spans="2:8" ht="15.75" x14ac:dyDescent="0.25">
      <c r="B15" s="69">
        <f t="shared" si="0"/>
        <v>2025</v>
      </c>
      <c r="C15" s="96">
        <v>17.925000000000001</v>
      </c>
      <c r="D15" s="90">
        <v>18.710999999999999</v>
      </c>
      <c r="E15" s="97">
        <v>20.443000000000001</v>
      </c>
      <c r="G15" s="95"/>
      <c r="H15" s="55"/>
    </row>
    <row r="16" spans="2:8" ht="15.75" x14ac:dyDescent="0.25">
      <c r="B16" s="69">
        <f t="shared" si="0"/>
        <v>2026</v>
      </c>
      <c r="C16" s="96">
        <v>19.917000000000002</v>
      </c>
      <c r="D16" s="90">
        <v>20.506</v>
      </c>
      <c r="E16" s="97">
        <v>21.09</v>
      </c>
      <c r="G16" s="95"/>
      <c r="H16" s="55"/>
    </row>
    <row r="17" spans="2:8" ht="15.75" x14ac:dyDescent="0.25">
      <c r="B17" s="69">
        <f t="shared" si="0"/>
        <v>2027</v>
      </c>
      <c r="C17" s="96">
        <v>20.827000000000002</v>
      </c>
      <c r="D17" s="90">
        <v>21.440999999999999</v>
      </c>
      <c r="E17" s="97">
        <v>22.431000000000001</v>
      </c>
      <c r="G17" s="95"/>
      <c r="H17" s="55"/>
    </row>
    <row r="18" spans="2:8" ht="15.75" x14ac:dyDescent="0.25">
      <c r="B18" s="69">
        <f t="shared" si="0"/>
        <v>2028</v>
      </c>
      <c r="C18" s="96">
        <v>24.442</v>
      </c>
      <c r="D18" s="90">
        <v>24.992000000000001</v>
      </c>
      <c r="E18" s="97">
        <v>25.55</v>
      </c>
      <c r="G18" s="95"/>
      <c r="H18" s="55"/>
    </row>
    <row r="19" spans="2:8" ht="15.75" x14ac:dyDescent="0.25">
      <c r="B19" s="69">
        <f t="shared" si="0"/>
        <v>2029</v>
      </c>
      <c r="C19" s="96">
        <v>26.323</v>
      </c>
      <c r="D19" s="90">
        <v>26.83</v>
      </c>
      <c r="E19" s="97">
        <v>27.597999999999999</v>
      </c>
      <c r="G19" s="95"/>
      <c r="H19" s="55"/>
    </row>
    <row r="20" spans="2:8" ht="15.75" x14ac:dyDescent="0.25">
      <c r="B20" s="69">
        <f t="shared" si="0"/>
        <v>2030</v>
      </c>
      <c r="C20" s="96">
        <v>26.012</v>
      </c>
      <c r="D20" s="90">
        <v>26.542999999999999</v>
      </c>
      <c r="E20" s="97">
        <v>26.283999999999999</v>
      </c>
      <c r="G20" s="95"/>
      <c r="H20" s="55"/>
    </row>
    <row r="21" spans="2:8" ht="15.75" x14ac:dyDescent="0.25">
      <c r="B21" s="69">
        <f t="shared" si="0"/>
        <v>2031</v>
      </c>
      <c r="C21" s="96">
        <v>28.277000000000001</v>
      </c>
      <c r="D21" s="90">
        <v>28.739000000000001</v>
      </c>
      <c r="E21" s="97">
        <v>27.795000000000002</v>
      </c>
      <c r="G21" s="95"/>
      <c r="H21" s="55"/>
    </row>
    <row r="22" spans="2:8" ht="15.75" x14ac:dyDescent="0.25">
      <c r="B22" s="69">
        <f t="shared" si="0"/>
        <v>2032</v>
      </c>
      <c r="C22" s="96">
        <v>29.702999999999999</v>
      </c>
      <c r="D22" s="90">
        <v>30.14</v>
      </c>
      <c r="E22" s="97">
        <v>29.727</v>
      </c>
      <c r="G22" s="95"/>
      <c r="H22" s="55"/>
    </row>
    <row r="23" spans="2:8" ht="15.75" x14ac:dyDescent="0.25">
      <c r="B23" s="69">
        <f t="shared" si="0"/>
        <v>2033</v>
      </c>
      <c r="C23" s="96">
        <v>30.513000000000002</v>
      </c>
      <c r="D23" s="90">
        <v>30.988</v>
      </c>
      <c r="E23" s="97">
        <v>30.295999999999999</v>
      </c>
      <c r="G23" s="95"/>
      <c r="H23" s="55"/>
    </row>
    <row r="24" spans="2:8" ht="15.75" x14ac:dyDescent="0.25">
      <c r="B24" s="69">
        <f t="shared" si="0"/>
        <v>2034</v>
      </c>
      <c r="C24" s="96">
        <v>31.855</v>
      </c>
      <c r="D24" s="90">
        <v>32.323999999999998</v>
      </c>
      <c r="E24" s="97">
        <v>31.649000000000001</v>
      </c>
      <c r="G24" s="95"/>
      <c r="H24" s="55"/>
    </row>
    <row r="25" spans="2:8" ht="15.75" x14ac:dyDescent="0.25">
      <c r="B25" s="69">
        <f t="shared" si="0"/>
        <v>2035</v>
      </c>
      <c r="C25" s="96">
        <v>33.048999999999999</v>
      </c>
      <c r="D25" s="90">
        <v>33.500999999999998</v>
      </c>
      <c r="E25" s="97">
        <v>33.186</v>
      </c>
      <c r="G25" s="95"/>
      <c r="H25" s="55"/>
    </row>
    <row r="26" spans="2:8" ht="15.75" x14ac:dyDescent="0.25">
      <c r="B26" s="69">
        <f t="shared" si="0"/>
        <v>2036</v>
      </c>
      <c r="C26" s="96">
        <v>35.097000000000001</v>
      </c>
      <c r="D26" s="90">
        <v>35.515999999999998</v>
      </c>
      <c r="E26" s="97">
        <v>34.954000000000001</v>
      </c>
      <c r="G26" s="95"/>
      <c r="H26" s="55"/>
    </row>
    <row r="27" spans="2:8" ht="15.75" x14ac:dyDescent="0.25">
      <c r="B27" s="70">
        <f t="shared" si="0"/>
        <v>2037</v>
      </c>
      <c r="C27" s="98">
        <v>36.046999999999997</v>
      </c>
      <c r="D27" s="107">
        <v>37.259</v>
      </c>
      <c r="E27" s="99">
        <v>36.814</v>
      </c>
      <c r="G27" s="95"/>
      <c r="H27" s="55"/>
    </row>
    <row r="28" spans="2:8" x14ac:dyDescent="0.2">
      <c r="C28" s="39"/>
      <c r="D28" s="39"/>
      <c r="E28" s="39"/>
      <c r="G28" s="95"/>
      <c r="H28" s="55"/>
    </row>
    <row r="29" spans="2:8" x14ac:dyDescent="0.2">
      <c r="B29" s="33" t="str">
        <f>"Nominal Levelized Payment at "&amp;TEXT($B$40,"0.00%")&amp;" Discount Rate (3)"</f>
        <v>Nominal Levelized Payment at 6.92% Discount Rate (3)</v>
      </c>
      <c r="C29" s="39"/>
      <c r="D29" s="39"/>
      <c r="E29" s="39"/>
      <c r="G29" s="95"/>
      <c r="H29" s="55"/>
    </row>
    <row r="30" spans="2:8" x14ac:dyDescent="0.2">
      <c r="B30" s="34" t="str">
        <f>B11&amp;" - "&amp;B25</f>
        <v>2021 - 2035</v>
      </c>
      <c r="C30" s="60">
        <f>ROUND(PMT($B$40,COUNT(C11:C25),-NPV($B$40,C11:C25)),3)</f>
        <v>23.029</v>
      </c>
      <c r="D30" s="60">
        <f t="shared" ref="D30:E30" si="1">ROUND(PMT($B$40,COUNT(D11:D25),-NPV($B$40,D11:D25)),3)</f>
        <v>23.483000000000001</v>
      </c>
      <c r="E30" s="60">
        <f t="shared" si="1"/>
        <v>23.754999999999999</v>
      </c>
      <c r="G30" s="95"/>
      <c r="H30" s="55"/>
    </row>
    <row r="31" spans="2:8" x14ac:dyDescent="0.2">
      <c r="B31" s="34" t="str">
        <f>B12&amp;" - "&amp;B26</f>
        <v>2022 - 2036</v>
      </c>
      <c r="C31" s="60">
        <f>ROUND(PMT($B$40,COUNT(C12:C26),-NPV($B$40,C12:C26)),3)</f>
        <v>23.768000000000001</v>
      </c>
      <c r="D31" s="60">
        <f t="shared" ref="D31:E31" si="2">ROUND(PMT($B$40,COUNT(D12:D26),-NPV($B$40,D12:D26)),3)</f>
        <v>24.254000000000001</v>
      </c>
      <c r="E31" s="60">
        <f t="shared" si="2"/>
        <v>24.577999999999999</v>
      </c>
      <c r="G31" s="95"/>
      <c r="H31" s="55"/>
    </row>
    <row r="32" spans="2:8" x14ac:dyDescent="0.2">
      <c r="B32" s="34" t="str">
        <f>B13&amp;" - "&amp;B27</f>
        <v>2023 - 2037</v>
      </c>
      <c r="C32" s="60">
        <f>ROUND(PMT($B$40,COUNT(C13:C27),-NPV($B$40,C13:C27)),3)</f>
        <v>24.626999999999999</v>
      </c>
      <c r="D32" s="60">
        <f t="shared" ref="D32:E32" si="3">ROUND(PMT($B$40,COUNT(D13:D27),-NPV($B$40,D13:D27)),3)</f>
        <v>25.187999999999999</v>
      </c>
      <c r="E32" s="60">
        <f t="shared" si="3"/>
        <v>25.439</v>
      </c>
      <c r="G32" s="95"/>
      <c r="H32" s="55"/>
    </row>
    <row r="33" spans="2:5" x14ac:dyDescent="0.2">
      <c r="B33" s="34"/>
      <c r="C33" s="32"/>
      <c r="D33" s="32"/>
      <c r="E33" s="32"/>
    </row>
    <row r="34" spans="2:5" x14ac:dyDescent="0.2">
      <c r="B34" s="34" t="str">
        <f>Total!B34</f>
        <v>(1)   Studies are sequential.  The order of the studies would affect the price impact.</v>
      </c>
    </row>
    <row r="35" spans="2:5" x14ac:dyDescent="0.2">
      <c r="B35" s="1" t="str">
        <f>"(2)   Official Forward Price Curve Dated "&amp;TEXT(B42,"MMMM YYYY")</f>
        <v>(2)   Official Forward Price Curve Dated December 2020</v>
      </c>
    </row>
    <row r="36" spans="2:5" x14ac:dyDescent="0.2">
      <c r="B36" s="34" t="str">
        <f>Total!B36</f>
        <v>(3)   Discount Rate - 2019 IRP - Calculated Annually</v>
      </c>
    </row>
    <row r="39" spans="2:5" x14ac:dyDescent="0.2">
      <c r="B39" s="21" t="str">
        <f>Total!B39</f>
        <v>Discount Rate - 2019 IRP</v>
      </c>
    </row>
    <row r="40" spans="2:5" x14ac:dyDescent="0.2">
      <c r="B40" s="38">
        <f>Discount_Rate</f>
        <v>6.9199999999999998E-2</v>
      </c>
    </row>
    <row r="41" spans="2:5" x14ac:dyDescent="0.2">
      <c r="B41" s="1" t="s">
        <v>10</v>
      </c>
    </row>
    <row r="42" spans="2:5" x14ac:dyDescent="0.2">
      <c r="B42" s="22">
        <v>44196</v>
      </c>
    </row>
    <row r="43" spans="2:5" x14ac:dyDescent="0.2">
      <c r="B43"/>
      <c r="C43"/>
      <c r="D43"/>
      <c r="E43"/>
    </row>
  </sheetData>
  <printOptions horizontalCentered="1"/>
  <pageMargins left="0.25" right="0.25" top="0.75" bottom="0.75" header="0.3" footer="0.2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K42"/>
  <sheetViews>
    <sheetView view="pageBreakPreview" zoomScale="60" zoomScaleNormal="70" workbookViewId="0">
      <pane xSplit="2" ySplit="9" topLeftCell="C11" activePane="bottomRight" state="frozen"/>
      <selection activeCell="E37" sqref="E37"/>
      <selection pane="topRight" activeCell="E37" sqref="E37"/>
      <selection pane="bottomLeft" activeCell="E37" sqref="E37"/>
      <selection pane="bottomRight" activeCell="C19" sqref="C19"/>
    </sheetView>
  </sheetViews>
  <sheetFormatPr defaultColWidth="9.140625" defaultRowHeight="15" x14ac:dyDescent="0.2"/>
  <cols>
    <col min="1" max="1" width="1.85546875" style="25" customWidth="1"/>
    <col min="2" max="2" width="13.85546875" style="25" customWidth="1"/>
    <col min="3" max="4" width="19.140625" style="25" customWidth="1"/>
    <col min="5" max="5" width="1.140625" style="25" customWidth="1"/>
    <col min="6" max="7" width="19.140625" style="25" customWidth="1"/>
    <col min="8" max="8" width="21.5703125" style="25" customWidth="1"/>
    <col min="9" max="10" width="2.140625" customWidth="1"/>
    <col min="11" max="11" width="9.140625" style="25" customWidth="1"/>
    <col min="12" max="16384" width="9.140625" style="25"/>
  </cols>
  <sheetData>
    <row r="1" spans="2:11" ht="15.75" x14ac:dyDescent="0.25">
      <c r="B1" s="23" t="s">
        <v>3</v>
      </c>
      <c r="C1" s="23"/>
      <c r="D1" s="23"/>
      <c r="E1" s="24"/>
      <c r="F1" s="23"/>
      <c r="G1" s="23"/>
      <c r="H1" s="50"/>
      <c r="I1" s="51"/>
    </row>
    <row r="2" spans="2:11" ht="8.25" customHeight="1" x14ac:dyDescent="0.25">
      <c r="B2" s="23"/>
      <c r="C2" s="23"/>
      <c r="D2" s="23"/>
      <c r="E2" s="24"/>
      <c r="F2" s="23"/>
      <c r="G2" s="23"/>
      <c r="H2" s="50"/>
      <c r="I2" s="51"/>
    </row>
    <row r="3" spans="2:11" ht="15.75" x14ac:dyDescent="0.25">
      <c r="B3" s="23" t="s">
        <v>1</v>
      </c>
      <c r="C3" s="23"/>
      <c r="D3" s="23"/>
      <c r="E3" s="24"/>
      <c r="F3" s="23"/>
      <c r="G3" s="23"/>
      <c r="H3" s="50"/>
      <c r="I3" s="51"/>
    </row>
    <row r="4" spans="2:11" ht="15.75" x14ac:dyDescent="0.25">
      <c r="B4" s="23" t="str">
        <f>"Step Study between "&amp;K8&amp;" and "&amp;K7&amp;" Compliance Filing"</f>
        <v>Step Study between 2020.Q4 and 2020.Q3 Compliance Filing</v>
      </c>
      <c r="C4" s="23"/>
      <c r="D4" s="23"/>
      <c r="E4" s="24"/>
      <c r="F4" s="23"/>
      <c r="G4" s="23"/>
      <c r="H4" s="50"/>
      <c r="I4" s="51"/>
    </row>
    <row r="5" spans="2:11" ht="15.75" x14ac:dyDescent="0.25">
      <c r="B5" s="23" t="s">
        <v>8</v>
      </c>
      <c r="C5" s="23"/>
      <c r="D5" s="23"/>
      <c r="E5" s="24"/>
      <c r="F5" s="23"/>
      <c r="G5" s="23"/>
      <c r="H5" s="50"/>
      <c r="I5" s="51"/>
    </row>
    <row r="6" spans="2:11" ht="15.75" x14ac:dyDescent="0.25">
      <c r="B6" s="23"/>
      <c r="C6" s="23"/>
      <c r="D6" s="23"/>
      <c r="F6" s="23"/>
      <c r="G6" s="23"/>
      <c r="H6" s="50"/>
      <c r="I6" s="51"/>
    </row>
    <row r="7" spans="2:11" ht="15.75" x14ac:dyDescent="0.25">
      <c r="B7" s="26"/>
      <c r="C7" s="27" t="s">
        <v>2</v>
      </c>
      <c r="D7" s="27"/>
      <c r="F7" s="27" t="s">
        <v>7</v>
      </c>
      <c r="G7" s="40"/>
      <c r="H7" s="50"/>
      <c r="I7" s="51"/>
      <c r="K7" s="29" t="s">
        <v>19</v>
      </c>
    </row>
    <row r="8" spans="2:11" ht="30.75" customHeight="1" x14ac:dyDescent="0.25">
      <c r="B8" s="28" t="s">
        <v>0</v>
      </c>
      <c r="C8" s="47" t="s">
        <v>27</v>
      </c>
      <c r="D8" s="47" t="str">
        <f>K8&amp;" (3)"</f>
        <v>2020.Q4 (3)</v>
      </c>
      <c r="F8" s="29" t="str">
        <f>C8</f>
        <v>2020.Q3 (3)</v>
      </c>
      <c r="G8" s="47" t="str">
        <f>D8</f>
        <v>2020.Q4 (3)</v>
      </c>
      <c r="K8" s="29" t="s">
        <v>20</v>
      </c>
    </row>
    <row r="9" spans="2:11" ht="4.5" customHeight="1" x14ac:dyDescent="0.2"/>
    <row r="10" spans="2:11" ht="15.75" hidden="1" x14ac:dyDescent="0.25">
      <c r="B10" s="30">
        <v>2019</v>
      </c>
      <c r="C10" s="31">
        <v>0</v>
      </c>
      <c r="D10" s="31" t="e">
        <v>#N/A</v>
      </c>
      <c r="F10" s="31">
        <f t="shared" ref="F10" si="0">C10*1000/(IF(MOD($B10,4)=0,8784,8760)*0.85)</f>
        <v>0</v>
      </c>
      <c r="G10" s="31" t="e">
        <f t="shared" ref="G10" si="1">D10*1000/(IF(MOD($B10,4)=0,8784,8760)*0.85)</f>
        <v>#N/A</v>
      </c>
    </row>
    <row r="11" spans="2:11" ht="15.75" x14ac:dyDescent="0.25">
      <c r="B11" s="30">
        <v>2021</v>
      </c>
      <c r="C11" s="31">
        <v>0</v>
      </c>
      <c r="D11" s="31">
        <v>0</v>
      </c>
      <c r="F11" s="31">
        <f>C11*1000/(IF(MOD($B11,4)=0,8784,8760)*1)</f>
        <v>0</v>
      </c>
      <c r="G11" s="31">
        <f>D11*1000/(IF(MOD($B11,4)=0,8784,8760)*1)</f>
        <v>0</v>
      </c>
    </row>
    <row r="12" spans="2:11" ht="15.75" x14ac:dyDescent="0.25">
      <c r="B12" s="30">
        <f t="shared" ref="B12:B27" si="2">B11+1</f>
        <v>2022</v>
      </c>
      <c r="C12" s="31">
        <v>0</v>
      </c>
      <c r="D12" s="31">
        <v>0</v>
      </c>
      <c r="F12" s="31">
        <f t="shared" ref="F12:F27" si="3">C12*1000/(IF(MOD($B12,4)=0,8784,8760)*1)</f>
        <v>0</v>
      </c>
      <c r="G12" s="31">
        <f t="shared" ref="G12:G27" si="4">D12*1000/(IF(MOD($B12,4)=0,8784,8760)*1)</f>
        <v>0</v>
      </c>
    </row>
    <row r="13" spans="2:11" ht="15.75" x14ac:dyDescent="0.25">
      <c r="B13" s="30">
        <f t="shared" si="2"/>
        <v>2023</v>
      </c>
      <c r="C13" s="31">
        <v>0</v>
      </c>
      <c r="D13" s="31">
        <v>0</v>
      </c>
      <c r="F13" s="31">
        <f t="shared" si="3"/>
        <v>0</v>
      </c>
      <c r="G13" s="31">
        <f t="shared" si="4"/>
        <v>0</v>
      </c>
    </row>
    <row r="14" spans="2:11" ht="15.75" x14ac:dyDescent="0.25">
      <c r="B14" s="30">
        <f t="shared" si="2"/>
        <v>2024</v>
      </c>
      <c r="C14" s="31">
        <v>0</v>
      </c>
      <c r="D14" s="31">
        <v>0</v>
      </c>
      <c r="F14" s="31">
        <f t="shared" si="3"/>
        <v>0</v>
      </c>
      <c r="G14" s="31">
        <f t="shared" si="4"/>
        <v>0</v>
      </c>
    </row>
    <row r="15" spans="2:11" ht="15.75" x14ac:dyDescent="0.25">
      <c r="B15" s="30">
        <f t="shared" si="2"/>
        <v>2025</v>
      </c>
      <c r="C15" s="31">
        <v>0</v>
      </c>
      <c r="D15" s="31">
        <v>0</v>
      </c>
      <c r="F15" s="31">
        <f t="shared" si="3"/>
        <v>0</v>
      </c>
      <c r="G15" s="31">
        <f t="shared" si="4"/>
        <v>0</v>
      </c>
    </row>
    <row r="16" spans="2:11" ht="15.75" x14ac:dyDescent="0.25">
      <c r="B16" s="30">
        <f t="shared" si="2"/>
        <v>2026</v>
      </c>
      <c r="C16" s="31">
        <v>114.66715795722061</v>
      </c>
      <c r="D16" s="31">
        <v>114.66715795722061</v>
      </c>
      <c r="F16" s="31">
        <f t="shared" si="3"/>
        <v>13.089858214294591</v>
      </c>
      <c r="G16" s="31">
        <f t="shared" si="4"/>
        <v>13.089858214294591</v>
      </c>
    </row>
    <row r="17" spans="2:7" ht="15.75" x14ac:dyDescent="0.25">
      <c r="B17" s="30">
        <f t="shared" si="2"/>
        <v>2027</v>
      </c>
      <c r="C17" s="31">
        <v>117.43853206149892</v>
      </c>
      <c r="D17" s="31">
        <v>117.43853206149892</v>
      </c>
      <c r="F17" s="31">
        <f t="shared" si="3"/>
        <v>13.406225121175675</v>
      </c>
      <c r="G17" s="31">
        <f t="shared" si="4"/>
        <v>13.406225121175675</v>
      </c>
    </row>
    <row r="18" spans="2:7" ht="15.75" x14ac:dyDescent="0.25">
      <c r="B18" s="30">
        <f t="shared" si="2"/>
        <v>2028</v>
      </c>
      <c r="C18" s="31">
        <v>120.36804836413094</v>
      </c>
      <c r="D18" s="31">
        <v>120.36804836413094</v>
      </c>
      <c r="F18" s="31">
        <f t="shared" si="3"/>
        <v>13.703102045096873</v>
      </c>
      <c r="G18" s="31">
        <f t="shared" si="4"/>
        <v>13.703102045096873</v>
      </c>
    </row>
    <row r="19" spans="2:7" ht="15.75" x14ac:dyDescent="0.25">
      <c r="B19" s="30">
        <f t="shared" si="2"/>
        <v>2029</v>
      </c>
      <c r="C19" s="31">
        <v>123.26661907201685</v>
      </c>
      <c r="D19" s="31">
        <v>123.26661907201685</v>
      </c>
      <c r="F19" s="31">
        <f t="shared" si="3"/>
        <v>14.07153185753617</v>
      </c>
      <c r="G19" s="31">
        <f t="shared" si="4"/>
        <v>14.07153185753617</v>
      </c>
    </row>
    <row r="20" spans="2:7" ht="15.75" x14ac:dyDescent="0.25">
      <c r="B20" s="30">
        <f t="shared" si="2"/>
        <v>2030</v>
      </c>
      <c r="C20" s="31">
        <v>126.21676577114631</v>
      </c>
      <c r="D20" s="31">
        <v>126.21676577114631</v>
      </c>
      <c r="F20" s="31">
        <f t="shared" si="3"/>
        <v>14.408306594879717</v>
      </c>
      <c r="G20" s="31">
        <f t="shared" si="4"/>
        <v>14.408306594879717</v>
      </c>
    </row>
    <row r="21" spans="2:7" ht="15.75" x14ac:dyDescent="0.25">
      <c r="B21" s="30">
        <f t="shared" si="2"/>
        <v>2031</v>
      </c>
      <c r="C21" s="31">
        <v>128.99155410004775</v>
      </c>
      <c r="D21" s="31">
        <v>128.99155410004775</v>
      </c>
      <c r="F21" s="31">
        <f t="shared" si="3"/>
        <v>14.725063253430109</v>
      </c>
      <c r="G21" s="31">
        <f t="shared" si="4"/>
        <v>14.725063253430109</v>
      </c>
    </row>
    <row r="22" spans="2:7" ht="15.75" x14ac:dyDescent="0.25">
      <c r="B22" s="30">
        <f t="shared" si="2"/>
        <v>2032</v>
      </c>
      <c r="C22" s="31">
        <v>131.81791842019274</v>
      </c>
      <c r="D22" s="31">
        <v>131.81791842019274</v>
      </c>
      <c r="F22" s="31">
        <f t="shared" si="3"/>
        <v>15.006593627071121</v>
      </c>
      <c r="G22" s="31">
        <f t="shared" si="4"/>
        <v>15.006593627071121</v>
      </c>
    </row>
    <row r="23" spans="2:7" ht="15.75" x14ac:dyDescent="0.25">
      <c r="B23" s="30">
        <f t="shared" si="2"/>
        <v>2033</v>
      </c>
      <c r="C23" s="31">
        <v>134.59270674909422</v>
      </c>
      <c r="D23" s="31">
        <v>134.59270674909422</v>
      </c>
      <c r="F23" s="31">
        <f t="shared" si="3"/>
        <v>15.36446424076418</v>
      </c>
      <c r="G23" s="31">
        <f t="shared" si="4"/>
        <v>15.36446424076418</v>
      </c>
    </row>
    <row r="24" spans="2:7" ht="15.75" x14ac:dyDescent="0.25">
      <c r="B24" s="30">
        <f t="shared" si="2"/>
        <v>2034</v>
      </c>
      <c r="C24" s="31">
        <v>137.41907106923921</v>
      </c>
      <c r="D24" s="31">
        <v>137.41907106923921</v>
      </c>
      <c r="F24" s="31">
        <f t="shared" si="3"/>
        <v>15.687108569547854</v>
      </c>
      <c r="G24" s="31">
        <f t="shared" si="4"/>
        <v>15.687108569547854</v>
      </c>
    </row>
    <row r="25" spans="2:7" ht="15.75" x14ac:dyDescent="0.25">
      <c r="B25" s="30">
        <f t="shared" si="2"/>
        <v>2035</v>
      </c>
      <c r="C25" s="31">
        <v>140.32795697537387</v>
      </c>
      <c r="D25" s="31">
        <v>140.32795697537387</v>
      </c>
      <c r="F25" s="31">
        <f t="shared" si="3"/>
        <v>16.019173170704779</v>
      </c>
      <c r="G25" s="31">
        <f t="shared" si="4"/>
        <v>16.019173170704779</v>
      </c>
    </row>
    <row r="26" spans="2:7" ht="15.75" x14ac:dyDescent="0.25">
      <c r="B26" s="30">
        <f t="shared" si="2"/>
        <v>2036</v>
      </c>
      <c r="C26" s="31">
        <v>143.26778847625457</v>
      </c>
      <c r="D26" s="31">
        <v>143.26778847625457</v>
      </c>
      <c r="F26" s="31">
        <f t="shared" si="3"/>
        <v>16.310085209045372</v>
      </c>
      <c r="G26" s="31">
        <f t="shared" si="4"/>
        <v>16.310085209045372</v>
      </c>
    </row>
    <row r="27" spans="2:7" ht="15.75" x14ac:dyDescent="0.25">
      <c r="B27" s="30">
        <f t="shared" si="2"/>
        <v>2037</v>
      </c>
      <c r="C27" s="31">
        <v>146.29014156312493</v>
      </c>
      <c r="D27" s="31">
        <v>146.29014156312493</v>
      </c>
      <c r="F27" s="31">
        <f t="shared" si="3"/>
        <v>16.699787849671797</v>
      </c>
      <c r="G27" s="31">
        <f t="shared" si="4"/>
        <v>16.699787849671797</v>
      </c>
    </row>
    <row r="28" spans="2:7" ht="15.75" x14ac:dyDescent="0.25">
      <c r="B28" s="30"/>
      <c r="C28" s="32"/>
      <c r="D28" s="32"/>
      <c r="F28" s="32"/>
    </row>
    <row r="29" spans="2:7" x14ac:dyDescent="0.2">
      <c r="B29" s="33" t="str">
        <f>"Nominal Levelized Payment at "&amp;TEXT($B$40,"0.000%")&amp;" Discount Rate (2)"</f>
        <v>Nominal Levelized Payment at 6.920% Discount Rate (2)</v>
      </c>
    </row>
    <row r="30" spans="2:7" x14ac:dyDescent="0.2">
      <c r="B30" s="34" t="str">
        <f>$B$11&amp;" - "&amp;B25</f>
        <v>2021 - 2035</v>
      </c>
      <c r="C30" s="35">
        <f t="shared" ref="C30:D32" si="5">PMT($B$40,COUNT(C11:C25),-NPV($B$40,C11:C25))</f>
        <v>69.41397178371416</v>
      </c>
      <c r="D30" s="35">
        <f t="shared" si="5"/>
        <v>69.41397178371416</v>
      </c>
      <c r="F30" s="35">
        <f t="shared" ref="F30:G32" si="6">PMT($B$40,COUNT(F11:F25),-NPV($B$40,F11:F25))</f>
        <v>7.9195559540396001</v>
      </c>
      <c r="G30" s="35">
        <f t="shared" si="6"/>
        <v>7.9195559540396001</v>
      </c>
    </row>
    <row r="31" spans="2:7" x14ac:dyDescent="0.2">
      <c r="B31" s="34" t="str">
        <f>$B$12&amp;" - "&amp;B26</f>
        <v>2022 - 2036</v>
      </c>
      <c r="C31" s="35">
        <f t="shared" si="5"/>
        <v>79.953931180375648</v>
      </c>
      <c r="D31" s="35">
        <f t="shared" si="5"/>
        <v>79.953931180375648</v>
      </c>
      <c r="F31" s="35">
        <f t="shared" si="6"/>
        <v>9.1206530408620186</v>
      </c>
      <c r="G31" s="35">
        <f t="shared" si="6"/>
        <v>9.1206530408620186</v>
      </c>
    </row>
    <row r="32" spans="2:7" x14ac:dyDescent="0.2">
      <c r="B32" s="34" t="str">
        <f>$B$13&amp;" - "&amp;B27</f>
        <v>2023 - 2037</v>
      </c>
      <c r="C32" s="35">
        <f t="shared" si="5"/>
        <v>91.344272267892606</v>
      </c>
      <c r="D32" s="35">
        <f t="shared" si="5"/>
        <v>91.344272267892606</v>
      </c>
      <c r="F32" s="35">
        <f t="shared" si="6"/>
        <v>10.420469931042524</v>
      </c>
      <c r="G32" s="35">
        <f t="shared" si="6"/>
        <v>10.420469931042524</v>
      </c>
    </row>
    <row r="34" spans="2:10" x14ac:dyDescent="0.2">
      <c r="B34" s="25" t="str">
        <f>"(1)   Capacity costs are allocated based on assumed "&amp;TEXT(B42,"00%")&amp;" capacity factor."</f>
        <v>(1)   Capacity costs are allocated based on assumed 100% capacity factor.</v>
      </c>
    </row>
    <row r="35" spans="2:10" s="1" customFormat="1" x14ac:dyDescent="0.2">
      <c r="B35" s="25" t="s">
        <v>26</v>
      </c>
      <c r="C35" s="25"/>
      <c r="D35" s="25"/>
      <c r="E35" s="25"/>
      <c r="F35" s="25"/>
      <c r="I35"/>
      <c r="J35"/>
    </row>
    <row r="36" spans="2:10" x14ac:dyDescent="0.2">
      <c r="B36" s="25" t="s">
        <v>17</v>
      </c>
    </row>
    <row r="39" spans="2:10" x14ac:dyDescent="0.2">
      <c r="B39" s="50" t="s">
        <v>23</v>
      </c>
    </row>
    <row r="40" spans="2:10" x14ac:dyDescent="0.2">
      <c r="B40" s="36">
        <f>Discount_Rate</f>
        <v>6.9199999999999998E-2</v>
      </c>
    </row>
    <row r="41" spans="2:10" x14ac:dyDescent="0.2">
      <c r="B41" s="25" t="s">
        <v>18</v>
      </c>
    </row>
    <row r="42" spans="2:10" x14ac:dyDescent="0.2">
      <c r="B42" s="92">
        <v>1</v>
      </c>
    </row>
  </sheetData>
  <printOptions horizontalCentered="1"/>
  <pageMargins left="0.25" right="0.25" top="0.75" bottom="0.75" header="0.3" footer="0.2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</vt:lpstr>
      <vt:lpstr>Incremental</vt:lpstr>
      <vt:lpstr>Total</vt:lpstr>
      <vt:lpstr>Energy</vt:lpstr>
      <vt:lpstr>Capacity</vt:lpstr>
      <vt:lpstr>Summary!Discount_Rate</vt:lpstr>
      <vt:lpstr>Discount_Rate</vt:lpstr>
      <vt:lpstr>Capacity!Print_Area</vt:lpstr>
      <vt:lpstr>Energy!Print_Area</vt:lpstr>
      <vt:lpstr>Incremental!Print_Area</vt:lpstr>
      <vt:lpstr>Summary!Print_Area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Fred Nass</cp:lastModifiedBy>
  <cp:lastPrinted>2021-03-29T22:22:05Z</cp:lastPrinted>
  <dcterms:created xsi:type="dcterms:W3CDTF">2006-07-10T20:43:15Z</dcterms:created>
  <dcterms:modified xsi:type="dcterms:W3CDTF">2021-03-30T17:56:02Z</dcterms:modified>
</cp:coreProperties>
</file>