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080" windowHeight="11520" tabRatio="759"/>
  </bookViews>
  <sheets>
    <sheet name="Balancing Acct" sheetId="3" r:id="rId1"/>
    <sheet name="Projected Expense" sheetId="8" r:id="rId2"/>
    <sheet name="Sheet1" sheetId="9" state="hidden" r:id="rId3"/>
  </sheets>
  <externalReferences>
    <externalReference r:id="rId4"/>
    <externalReference r:id="rId5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" hidden="1">#REF!</definedName>
    <definedName name="DUDE" hidden="1">#REF!</definedName>
    <definedName name="limcount" hidden="1">1</definedName>
    <definedName name="_xlnm.Print_Titles" localSheetId="0">'Balancing Acct'!$5:$5</definedName>
    <definedName name="_xlnm.Print_Titles" localSheetId="1">'Projected Expense'!$A:$A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wrn.All._.Pages.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#REF!</definedName>
    <definedName name="z" hidden="1">#REF!</definedName>
  </definedNames>
  <calcPr calcId="152511" iterate="1"/>
</workbook>
</file>

<file path=xl/calcChain.xml><?xml version="1.0" encoding="utf-8"?>
<calcChain xmlns="http://schemas.openxmlformats.org/spreadsheetml/2006/main">
  <c r="F124" i="3" l="1"/>
  <c r="F118" i="3"/>
  <c r="G124" i="3"/>
  <c r="G118" i="3"/>
  <c r="C15" i="8" l="1"/>
  <c r="C14" i="8"/>
  <c r="C10" i="8"/>
  <c r="B20" i="8" l="1"/>
  <c r="B15" i="8" l="1"/>
  <c r="B14" i="8"/>
  <c r="J23" i="9" l="1"/>
  <c r="J22" i="9"/>
  <c r="J18" i="9"/>
  <c r="J12" i="9"/>
  <c r="H23" i="9"/>
  <c r="H22" i="9"/>
  <c r="H21" i="9"/>
  <c r="I18" i="9"/>
  <c r="H18" i="9"/>
  <c r="I12" i="9"/>
  <c r="I26" i="9" s="1"/>
  <c r="H12" i="9"/>
  <c r="H26" i="9" s="1"/>
  <c r="H11" i="9"/>
  <c r="J26" i="9" l="1"/>
  <c r="J85" i="3" l="1"/>
  <c r="Q23" i="8" l="1"/>
  <c r="R23" i="8"/>
  <c r="S23" i="8"/>
  <c r="T23" i="8"/>
  <c r="U23" i="8"/>
  <c r="V23" i="8"/>
  <c r="W23" i="8"/>
  <c r="X23" i="8"/>
  <c r="Y23" i="8"/>
  <c r="Z23" i="8"/>
  <c r="AA23" i="8"/>
  <c r="P23" i="8"/>
  <c r="Q19" i="8"/>
  <c r="R19" i="8"/>
  <c r="S19" i="8"/>
  <c r="T19" i="8"/>
  <c r="U19" i="8"/>
  <c r="V19" i="8"/>
  <c r="W19" i="8"/>
  <c r="X19" i="8"/>
  <c r="Y19" i="8"/>
  <c r="Z19" i="8"/>
  <c r="AA19" i="8"/>
  <c r="P19" i="8"/>
  <c r="Q14" i="8"/>
  <c r="R14" i="8"/>
  <c r="S14" i="8"/>
  <c r="T14" i="8"/>
  <c r="U14" i="8"/>
  <c r="V14" i="8"/>
  <c r="W14" i="8"/>
  <c r="X14" i="8"/>
  <c r="Y14" i="8"/>
  <c r="Z14" i="8"/>
  <c r="AA14" i="8"/>
  <c r="Q16" i="8"/>
  <c r="R16" i="8"/>
  <c r="S16" i="8"/>
  <c r="T16" i="8"/>
  <c r="U16" i="8"/>
  <c r="V16" i="8"/>
  <c r="W16" i="8"/>
  <c r="X16" i="8"/>
  <c r="Y16" i="8"/>
  <c r="Z16" i="8"/>
  <c r="AA16" i="8"/>
  <c r="P16" i="8"/>
  <c r="P14" i="8"/>
  <c r="Q9" i="8"/>
  <c r="R9" i="8"/>
  <c r="S9" i="8"/>
  <c r="T9" i="8"/>
  <c r="U9" i="8"/>
  <c r="V9" i="8"/>
  <c r="W9" i="8"/>
  <c r="X9" i="8"/>
  <c r="Y9" i="8"/>
  <c r="Z9" i="8"/>
  <c r="AA9" i="8"/>
  <c r="Q10" i="8"/>
  <c r="R10" i="8"/>
  <c r="S10" i="8"/>
  <c r="T10" i="8"/>
  <c r="U10" i="8"/>
  <c r="V10" i="8"/>
  <c r="W10" i="8"/>
  <c r="X10" i="8"/>
  <c r="Y10" i="8"/>
  <c r="Z10" i="8"/>
  <c r="AA10" i="8"/>
  <c r="P10" i="8"/>
  <c r="P9" i="8"/>
  <c r="Q8" i="8"/>
  <c r="R8" i="8"/>
  <c r="S8" i="8"/>
  <c r="T8" i="8"/>
  <c r="U8" i="8"/>
  <c r="V8" i="8"/>
  <c r="W8" i="8"/>
  <c r="X8" i="8"/>
  <c r="Y8" i="8"/>
  <c r="Z8" i="8"/>
  <c r="AA8" i="8"/>
  <c r="P8" i="8"/>
  <c r="AB8" i="8" s="1"/>
  <c r="AB7" i="8"/>
  <c r="N17" i="8"/>
  <c r="M22" i="8"/>
  <c r="M21" i="8"/>
  <c r="M20" i="8"/>
  <c r="M10" i="8"/>
  <c r="AB10" i="8" l="1"/>
  <c r="AB9" i="8"/>
  <c r="M17" i="8"/>
  <c r="M25" i="8" s="1"/>
  <c r="M11" i="8"/>
  <c r="N11" i="8"/>
  <c r="N25" i="8" s="1"/>
  <c r="D111" i="3" l="1"/>
  <c r="C111" i="3"/>
  <c r="D20" i="8" l="1"/>
  <c r="D21" i="8"/>
  <c r="D22" i="8"/>
  <c r="D23" i="8"/>
  <c r="D19" i="8"/>
  <c r="D15" i="8"/>
  <c r="D16" i="8"/>
  <c r="D14" i="8"/>
  <c r="D8" i="8"/>
  <c r="L8" i="8" s="1"/>
  <c r="D9" i="8"/>
  <c r="L9" i="8" s="1"/>
  <c r="D10" i="8"/>
  <c r="L10" i="8" s="1"/>
  <c r="D7" i="8"/>
  <c r="L7" i="8" s="1"/>
  <c r="AB23" i="8" l="1"/>
  <c r="AD22" i="8"/>
  <c r="AD21" i="8"/>
  <c r="AB20" i="8"/>
  <c r="AD17" i="8"/>
  <c r="AB16" i="8"/>
  <c r="AA17" i="8"/>
  <c r="Z17" i="8"/>
  <c r="Y17" i="8"/>
  <c r="X17" i="8"/>
  <c r="W17" i="8"/>
  <c r="V17" i="8"/>
  <c r="U17" i="8"/>
  <c r="T17" i="8"/>
  <c r="S17" i="8"/>
  <c r="R17" i="8"/>
  <c r="Q17" i="8"/>
  <c r="P17" i="8"/>
  <c r="AD11" i="8"/>
  <c r="Z11" i="8"/>
  <c r="Y11" i="8"/>
  <c r="X11" i="8"/>
  <c r="V11" i="8"/>
  <c r="U11" i="8"/>
  <c r="T11" i="8"/>
  <c r="R11" i="8"/>
  <c r="Q11" i="8"/>
  <c r="Q21" i="8" l="1"/>
  <c r="U21" i="8"/>
  <c r="Y21" i="8"/>
  <c r="W21" i="8"/>
  <c r="R21" i="8"/>
  <c r="V21" i="8"/>
  <c r="Z21" i="8"/>
  <c r="S21" i="8"/>
  <c r="T21" i="8"/>
  <c r="X21" i="8"/>
  <c r="P21" i="8"/>
  <c r="AA21" i="8"/>
  <c r="R22" i="8"/>
  <c r="V22" i="8"/>
  <c r="Z22" i="8"/>
  <c r="T22" i="8"/>
  <c r="S22" i="8"/>
  <c r="W22" i="8"/>
  <c r="AA22" i="8"/>
  <c r="Q22" i="8"/>
  <c r="U22" i="8"/>
  <c r="Y22" i="8"/>
  <c r="X22" i="8"/>
  <c r="P22" i="8"/>
  <c r="AD25" i="8"/>
  <c r="W11" i="8"/>
  <c r="AB11" i="8"/>
  <c r="AB19" i="8"/>
  <c r="S11" i="8"/>
  <c r="AA11" i="8"/>
  <c r="AB14" i="8"/>
  <c r="AB17" i="8" s="1"/>
  <c r="P11" i="8"/>
  <c r="D96" i="3" l="1"/>
  <c r="D95" i="3"/>
  <c r="D94" i="3"/>
  <c r="D93" i="3"/>
  <c r="D92" i="3"/>
  <c r="D91" i="3"/>
  <c r="D90" i="3"/>
  <c r="C97" i="3" l="1"/>
  <c r="D97" i="3"/>
  <c r="V25" i="8" l="1"/>
  <c r="B105" i="3" s="1"/>
  <c r="W25" i="8"/>
  <c r="B106" i="3" s="1"/>
  <c r="Z25" i="8" l="1"/>
  <c r="B109" i="3" s="1"/>
  <c r="R25" i="8"/>
  <c r="B101" i="3" s="1"/>
  <c r="AB22" i="8"/>
  <c r="S25" i="8"/>
  <c r="B102" i="3" s="1"/>
  <c r="AB21" i="8"/>
  <c r="P25" i="8"/>
  <c r="B99" i="3" s="1"/>
  <c r="Q25" i="8"/>
  <c r="B100" i="3" s="1"/>
  <c r="T25" i="8"/>
  <c r="B103" i="3" s="1"/>
  <c r="U25" i="8"/>
  <c r="B104" i="3" s="1"/>
  <c r="AA25" i="8"/>
  <c r="B110" i="3" s="1"/>
  <c r="X25" i="8"/>
  <c r="B107" i="3" s="1"/>
  <c r="Y25" i="8"/>
  <c r="B108" i="3" s="1"/>
  <c r="B111" i="3" l="1"/>
  <c r="AB25" i="8"/>
  <c r="D83" i="3" l="1"/>
  <c r="C83" i="3"/>
  <c r="I17" i="8" l="1"/>
  <c r="E17" i="8"/>
  <c r="D17" i="8" l="1"/>
  <c r="H17" i="8"/>
  <c r="G17" i="8"/>
  <c r="F17" i="8"/>
  <c r="C17" i="8"/>
  <c r="K17" i="8"/>
  <c r="J17" i="8"/>
  <c r="B17" i="8"/>
  <c r="L21" i="8" l="1"/>
  <c r="D69" i="3"/>
  <c r="C69" i="3"/>
  <c r="C11" i="3"/>
  <c r="E29" i="3"/>
  <c r="F29" i="3" s="1"/>
  <c r="J29" i="3" l="1"/>
  <c r="E13" i="3" l="1"/>
  <c r="L23" i="8" l="1"/>
  <c r="L22" i="8"/>
  <c r="L20" i="8"/>
  <c r="L19" i="8"/>
  <c r="L16" i="8"/>
  <c r="L14" i="8"/>
  <c r="K11" i="8"/>
  <c r="K25" i="8" s="1"/>
  <c r="B96" i="3" s="1"/>
  <c r="J11" i="8"/>
  <c r="J25" i="8" s="1"/>
  <c r="B95" i="3" s="1"/>
  <c r="I11" i="8"/>
  <c r="I25" i="8" s="1"/>
  <c r="B94" i="3" s="1"/>
  <c r="H11" i="8"/>
  <c r="H25" i="8" s="1"/>
  <c r="B93" i="3" s="1"/>
  <c r="G11" i="8"/>
  <c r="G25" i="8" s="1"/>
  <c r="B92" i="3" s="1"/>
  <c r="F11" i="8"/>
  <c r="F25" i="8" s="1"/>
  <c r="B91" i="3" s="1"/>
  <c r="E11" i="8"/>
  <c r="E25" i="8" s="1"/>
  <c r="B90" i="3" s="1"/>
  <c r="D11" i="8"/>
  <c r="D25" i="8" s="1"/>
  <c r="C11" i="8"/>
  <c r="C25" i="8" s="1"/>
  <c r="B11" i="8"/>
  <c r="B25" i="8" s="1"/>
  <c r="G120" i="3" l="1"/>
  <c r="F120" i="3"/>
  <c r="B97" i="3"/>
  <c r="L17" i="8"/>
  <c r="L11" i="8"/>
  <c r="L25" i="8" l="1"/>
  <c r="D55" i="3" l="1"/>
  <c r="C55" i="3"/>
  <c r="B83" i="3" l="1"/>
  <c r="B69" i="3"/>
  <c r="B55" i="3"/>
  <c r="D41" i="3"/>
  <c r="C41" i="3"/>
  <c r="C25" i="3" l="1"/>
  <c r="C116" i="3" s="1"/>
  <c r="G29" i="3" l="1"/>
  <c r="B25" i="3"/>
  <c r="B41" i="3" l="1"/>
  <c r="J13" i="3" l="1"/>
  <c r="F13" i="3"/>
  <c r="D25" i="3"/>
  <c r="E14" i="3" l="1"/>
  <c r="F14" i="3" s="1"/>
  <c r="G13" i="3"/>
  <c r="J14" i="3" l="1"/>
  <c r="E15" i="3"/>
  <c r="F15" i="3" s="1"/>
  <c r="G14" i="3"/>
  <c r="E16" i="3" l="1"/>
  <c r="F16" i="3" s="1"/>
  <c r="G15" i="3"/>
  <c r="J15" i="3"/>
  <c r="J16" i="3" l="1"/>
  <c r="E17" i="3"/>
  <c r="G16" i="3"/>
  <c r="J17" i="3" l="1"/>
  <c r="F17" i="3"/>
  <c r="E18" i="3" l="1"/>
  <c r="G17" i="3"/>
  <c r="J18" i="3" l="1"/>
  <c r="F18" i="3"/>
  <c r="G18" i="3" s="1"/>
  <c r="E19" i="3" l="1"/>
  <c r="J19" i="3" l="1"/>
  <c r="F19" i="3"/>
  <c r="E20" i="3" l="1"/>
  <c r="G19" i="3"/>
  <c r="J20" i="3" l="1"/>
  <c r="F20" i="3"/>
  <c r="E21" i="3" l="1"/>
  <c r="G20" i="3"/>
  <c r="J21" i="3" l="1"/>
  <c r="F21" i="3"/>
  <c r="E22" i="3" l="1"/>
  <c r="F22" i="3" s="1"/>
  <c r="G21" i="3"/>
  <c r="E23" i="3" l="1"/>
  <c r="F23" i="3" s="1"/>
  <c r="G22" i="3"/>
  <c r="J22" i="3"/>
  <c r="G23" i="3" l="1"/>
  <c r="J23" i="3"/>
  <c r="J24" i="3" l="1"/>
  <c r="E25" i="3"/>
  <c r="F24" i="3"/>
  <c r="G24" i="3" l="1"/>
  <c r="E30" i="3" l="1"/>
  <c r="F30" i="3" l="1"/>
  <c r="E31" i="3" s="1"/>
  <c r="G30" i="3" l="1"/>
  <c r="F31" i="3"/>
  <c r="E32" i="3" s="1"/>
  <c r="G31" i="3" l="1"/>
  <c r="F32" i="3" l="1"/>
  <c r="E33" i="3" s="1"/>
  <c r="G32" i="3" l="1"/>
  <c r="F33" i="3" l="1"/>
  <c r="E34" i="3" s="1"/>
  <c r="F34" i="3" l="1"/>
  <c r="E35" i="3" s="1"/>
  <c r="G33" i="3"/>
  <c r="F35" i="3" l="1"/>
  <c r="E36" i="3" s="1"/>
  <c r="G34" i="3"/>
  <c r="J30" i="3" l="1"/>
  <c r="J31" i="3" s="1"/>
  <c r="J32" i="3" s="1"/>
  <c r="J33" i="3" s="1"/>
  <c r="J34" i="3" s="1"/>
  <c r="J35" i="3" s="1"/>
  <c r="G35" i="3"/>
  <c r="J36" i="3" l="1"/>
  <c r="F36" i="3"/>
  <c r="G36" i="3" l="1"/>
  <c r="E37" i="3"/>
  <c r="F37" i="3" s="1"/>
  <c r="E38" i="3" s="1"/>
  <c r="J37" i="3" l="1"/>
  <c r="G37" i="3"/>
  <c r="J38" i="3" l="1"/>
  <c r="F38" i="3"/>
  <c r="G38" i="3" l="1"/>
  <c r="E39" i="3"/>
  <c r="J39" i="3" s="1"/>
  <c r="F39" i="3" l="1"/>
  <c r="E40" i="3" s="1"/>
  <c r="J40" i="3" l="1"/>
  <c r="E41" i="3"/>
  <c r="F40" i="3"/>
  <c r="G39" i="3"/>
  <c r="E43" i="3" l="1"/>
  <c r="J43" i="3" s="1"/>
  <c r="G40" i="3"/>
  <c r="F43" i="3" l="1"/>
  <c r="E44" i="3" l="1"/>
  <c r="J44" i="3" s="1"/>
  <c r="G43" i="3"/>
  <c r="F44" i="3" l="1"/>
  <c r="E45" i="3" s="1"/>
  <c r="J45" i="3" s="1"/>
  <c r="G44" i="3" l="1"/>
  <c r="F45" i="3"/>
  <c r="E46" i="3" s="1"/>
  <c r="J46" i="3" s="1"/>
  <c r="G45" i="3" l="1"/>
  <c r="F46" i="3"/>
  <c r="E47" i="3" s="1"/>
  <c r="J47" i="3" s="1"/>
  <c r="F47" i="3" l="1"/>
  <c r="E48" i="3" s="1"/>
  <c r="G46" i="3"/>
  <c r="J48" i="3" l="1"/>
  <c r="F48" i="3"/>
  <c r="G48" i="3" s="1"/>
  <c r="G47" i="3"/>
  <c r="E49" i="3" l="1"/>
  <c r="J49" i="3" s="1"/>
  <c r="F49" i="3" l="1"/>
  <c r="E50" i="3" s="1"/>
  <c r="J50" i="3" s="1"/>
  <c r="G49" i="3" l="1"/>
  <c r="F50" i="3"/>
  <c r="E51" i="3" s="1"/>
  <c r="F51" i="3" s="1"/>
  <c r="E52" i="3" s="1"/>
  <c r="G50" i="3" l="1"/>
  <c r="J51" i="3"/>
  <c r="F52" i="3"/>
  <c r="G51" i="3"/>
  <c r="E53" i="3" l="1"/>
  <c r="F53" i="3" s="1"/>
  <c r="G52" i="3"/>
  <c r="J52" i="3"/>
  <c r="E54" i="3" l="1"/>
  <c r="G53" i="3"/>
  <c r="J53" i="3"/>
  <c r="F54" i="3" l="1"/>
  <c r="E57" i="3" s="1"/>
  <c r="E55" i="3"/>
  <c r="J54" i="3"/>
  <c r="G54" i="3" l="1"/>
  <c r="F57" i="3" l="1"/>
  <c r="G57" i="3" s="1"/>
  <c r="J57" i="3"/>
  <c r="E58" i="3" l="1"/>
  <c r="J58" i="3" s="1"/>
  <c r="F58" i="3" l="1"/>
  <c r="G58" i="3" s="1"/>
  <c r="E59" i="3" l="1"/>
  <c r="F59" i="3" s="1"/>
  <c r="G59" i="3" s="1"/>
  <c r="E60" i="3" l="1"/>
  <c r="J59" i="3"/>
  <c r="F60" i="3" l="1"/>
  <c r="J60" i="3"/>
  <c r="E61" i="3" l="1"/>
  <c r="F61" i="3" s="1"/>
  <c r="G60" i="3"/>
  <c r="J61" i="3" l="1"/>
  <c r="E62" i="3"/>
  <c r="G61" i="3"/>
  <c r="J62" i="3" l="1"/>
  <c r="F62" i="3"/>
  <c r="E63" i="3" l="1"/>
  <c r="G62" i="3"/>
  <c r="J63" i="3" l="1"/>
  <c r="F63" i="3"/>
  <c r="E64" i="3" l="1"/>
  <c r="G63" i="3"/>
  <c r="J64" i="3" l="1"/>
  <c r="F64" i="3"/>
  <c r="E65" i="3" s="1"/>
  <c r="G64" i="3" l="1"/>
  <c r="J65" i="3" l="1"/>
  <c r="F65" i="3"/>
  <c r="E66" i="3" l="1"/>
  <c r="J66" i="3" s="1"/>
  <c r="G65" i="3"/>
  <c r="F66" i="3" l="1"/>
  <c r="E67" i="3" l="1"/>
  <c r="J67" i="3" s="1"/>
  <c r="G66" i="3"/>
  <c r="F67" i="3" l="1"/>
  <c r="E68" i="3" l="1"/>
  <c r="G67" i="3"/>
  <c r="J68" i="3" l="1"/>
  <c r="E69" i="3"/>
  <c r="F68" i="3"/>
  <c r="G68" i="3" l="1"/>
  <c r="E71" i="3"/>
  <c r="F71" i="3" l="1"/>
  <c r="J71" i="3"/>
  <c r="G71" i="3" l="1"/>
  <c r="E72" i="3"/>
  <c r="J72" i="3" l="1"/>
  <c r="F72" i="3"/>
  <c r="E73" i="3" s="1"/>
  <c r="J73" i="3" l="1"/>
  <c r="G72" i="3"/>
  <c r="F73" i="3"/>
  <c r="G73" i="3" l="1"/>
  <c r="E74" i="3"/>
  <c r="J74" i="3" s="1"/>
  <c r="F74" i="3" l="1"/>
  <c r="G74" i="3" l="1"/>
  <c r="E75" i="3"/>
  <c r="J75" i="3" s="1"/>
  <c r="F75" i="3" l="1"/>
  <c r="E76" i="3" s="1"/>
  <c r="G75" i="3" l="1"/>
  <c r="J76" i="3" l="1"/>
  <c r="F76" i="3"/>
  <c r="E77" i="3" s="1"/>
  <c r="G76" i="3" l="1"/>
  <c r="J77" i="3" l="1"/>
  <c r="F77" i="3"/>
  <c r="G77" i="3" l="1"/>
  <c r="E78" i="3"/>
  <c r="J78" i="3" s="1"/>
  <c r="F78" i="3" l="1"/>
  <c r="G78" i="3"/>
  <c r="E79" i="3"/>
  <c r="F79" i="3" s="1"/>
  <c r="J79" i="3" l="1"/>
  <c r="G79" i="3"/>
  <c r="E80" i="3"/>
  <c r="F80" i="3" s="1"/>
  <c r="G80" i="3" l="1"/>
  <c r="E81" i="3"/>
  <c r="J80" i="3"/>
  <c r="J81" i="3" l="1"/>
  <c r="F81" i="3"/>
  <c r="G81" i="3" l="1"/>
  <c r="E82" i="3"/>
  <c r="J82" i="3" s="1"/>
  <c r="E83" i="3" l="1"/>
  <c r="F82" i="3"/>
  <c r="G82" i="3" s="1"/>
  <c r="E85" i="3" l="1"/>
  <c r="F85" i="3" l="1"/>
  <c r="G85" i="3" s="1"/>
  <c r="E86" i="3"/>
  <c r="J86" i="3" l="1"/>
  <c r="F86" i="3"/>
  <c r="G86" i="3" l="1"/>
  <c r="E87" i="3"/>
  <c r="F87" i="3" s="1"/>
  <c r="G87" i="3" s="1"/>
  <c r="J87" i="3" l="1"/>
  <c r="E88" i="3"/>
  <c r="J88" i="3" l="1"/>
  <c r="F88" i="3"/>
  <c r="G88" i="3" s="1"/>
  <c r="E89" i="3" l="1"/>
  <c r="F89" i="3" l="1"/>
  <c r="G89" i="3" s="1"/>
  <c r="J89" i="3"/>
  <c r="E90" i="3" l="1"/>
  <c r="F90" i="3" l="1"/>
  <c r="J90" i="3"/>
  <c r="E91" i="3" l="1"/>
  <c r="G90" i="3"/>
  <c r="F91" i="3" l="1"/>
  <c r="J91" i="3"/>
  <c r="G91" i="3" l="1"/>
  <c r="E92" i="3"/>
  <c r="F92" i="3"/>
  <c r="G92" i="3" l="1"/>
  <c r="E93" i="3"/>
  <c r="J92" i="3"/>
  <c r="F93" i="3" l="1"/>
  <c r="J93" i="3"/>
  <c r="G93" i="3" l="1"/>
  <c r="E94" i="3"/>
  <c r="F94" i="3"/>
  <c r="G94" i="3" l="1"/>
  <c r="E95" i="3"/>
  <c r="F95" i="3" s="1"/>
  <c r="G95" i="3" s="1"/>
  <c r="J94" i="3"/>
  <c r="J95" i="3" l="1"/>
  <c r="E96" i="3"/>
  <c r="F96" i="3" l="1"/>
  <c r="E99" i="3" s="1"/>
  <c r="J99" i="3" s="1"/>
  <c r="J96" i="3"/>
  <c r="E97" i="3"/>
  <c r="F99" i="3" l="1"/>
  <c r="E100" i="3" s="1"/>
  <c r="J100" i="3" s="1"/>
  <c r="G96" i="3"/>
  <c r="F100" i="3" l="1"/>
  <c r="E101" i="3" s="1"/>
  <c r="J101" i="3" s="1"/>
  <c r="G99" i="3"/>
  <c r="G100" i="3" l="1"/>
  <c r="F101" i="3"/>
  <c r="E102" i="3" s="1"/>
  <c r="J102" i="3" s="1"/>
  <c r="G101" i="3" l="1"/>
  <c r="F102" i="3"/>
  <c r="E103" i="3" s="1"/>
  <c r="J103" i="3" s="1"/>
  <c r="G102" i="3" l="1"/>
  <c r="F103" i="3"/>
  <c r="E104" i="3" s="1"/>
  <c r="J104" i="3" s="1"/>
  <c r="G103" i="3"/>
  <c r="F104" i="3" l="1"/>
  <c r="E105" i="3" s="1"/>
  <c r="J105" i="3" s="1"/>
  <c r="G104" i="3"/>
  <c r="F105" i="3" l="1"/>
  <c r="E106" i="3" s="1"/>
  <c r="J106" i="3" s="1"/>
  <c r="G105" i="3"/>
  <c r="F106" i="3" l="1"/>
  <c r="E107" i="3" s="1"/>
  <c r="J107" i="3" s="1"/>
  <c r="G106" i="3"/>
  <c r="F107" i="3" l="1"/>
  <c r="E108" i="3"/>
  <c r="J108" i="3" s="1"/>
  <c r="G107" i="3"/>
  <c r="F108" i="3" l="1"/>
  <c r="E109" i="3" s="1"/>
  <c r="J109" i="3" s="1"/>
  <c r="G108" i="3" l="1"/>
  <c r="F109" i="3"/>
  <c r="E110" i="3" s="1"/>
  <c r="G121" i="3" l="1"/>
  <c r="G122" i="3" s="1"/>
  <c r="G126" i="3" s="1"/>
  <c r="F121" i="3"/>
  <c r="F122" i="3" s="1"/>
  <c r="F126" i="3" s="1"/>
  <c r="E111" i="3"/>
  <c r="G109" i="3"/>
  <c r="J110" i="3"/>
  <c r="F110" i="3"/>
  <c r="G110" i="3" s="1"/>
</calcChain>
</file>

<file path=xl/sharedStrings.xml><?xml version="1.0" encoding="utf-8"?>
<sst xmlns="http://schemas.openxmlformats.org/spreadsheetml/2006/main" count="175" uniqueCount="78">
  <si>
    <t>Residential Programs</t>
  </si>
  <si>
    <t>Low Income (Sch. 118)</t>
  </si>
  <si>
    <t>Total DSM Program Expenditures</t>
  </si>
  <si>
    <t xml:space="preserve"> </t>
  </si>
  <si>
    <t>DSM Program Expenditures &amp; Revenues</t>
  </si>
  <si>
    <t>Jan - Dec</t>
  </si>
  <si>
    <t>YTD Balance</t>
  </si>
  <si>
    <t>Utah Demand-Side Management Balance Account Analysis</t>
  </si>
  <si>
    <t/>
  </si>
  <si>
    <t>Monthly Program Costs - Fixed Assets</t>
  </si>
  <si>
    <t>Accrued Program Costs</t>
  </si>
  <si>
    <t>Rate Recovery</t>
  </si>
  <si>
    <t xml:space="preserve">Carrying Charge </t>
  </si>
  <si>
    <t>Cash Basis Accumulated Balance</t>
  </si>
  <si>
    <t xml:space="preserve">Accrual Based Accumulated Balance </t>
  </si>
  <si>
    <t xml:space="preserve">Accumulated Balance Total Carrying Costs 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</si>
  <si>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</si>
  <si>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</si>
  <si>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</si>
  <si>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</si>
  <si>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</si>
  <si>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</si>
  <si>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</si>
  <si>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</si>
  <si>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</si>
  <si>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</si>
  <si>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</si>
  <si>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</si>
  <si>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2011 totals</t>
  </si>
  <si>
    <t>2012 totals</t>
  </si>
  <si>
    <t>2013 totals</t>
  </si>
  <si>
    <t>2014 totals</t>
  </si>
  <si>
    <t>Accrual</t>
  </si>
  <si>
    <t>Forecast</t>
  </si>
  <si>
    <t>Notes:</t>
  </si>
  <si>
    <t>2015 totals</t>
  </si>
  <si>
    <t>Industrial Irrigation Load Control (Sch. N/A)</t>
  </si>
  <si>
    <t>Outreach and Communications</t>
  </si>
  <si>
    <t>2016 totals</t>
  </si>
  <si>
    <t>Total thru</t>
  </si>
  <si>
    <t>2017 totals</t>
  </si>
  <si>
    <t>Notes;</t>
  </si>
  <si>
    <t>Carrying Charge Rate</t>
  </si>
  <si>
    <t>2018 totals</t>
  </si>
  <si>
    <t>Program Evaluation Cost - C&amp;I</t>
  </si>
  <si>
    <t>Program Evaluation Cost - Res</t>
  </si>
  <si>
    <t>Portfolio (TRL, DSM Central, Training)</t>
  </si>
  <si>
    <t>wattsmart Homes Program (Sch. 111)</t>
  </si>
  <si>
    <t>A/C Load Control Program  (Sch. 114)</t>
  </si>
  <si>
    <t>Home Energy Reports (Sch. N/A)</t>
  </si>
  <si>
    <t>Commercial &amp; Industrial Sector Programs</t>
  </si>
  <si>
    <t>wattsmart Business Commercial (Sch. 140)</t>
  </si>
  <si>
    <t>wattsmart Business Industrial (Sch. 140)</t>
  </si>
  <si>
    <t>Bill credits are included in WSB program costs</t>
  </si>
  <si>
    <t>2019 totals</t>
  </si>
  <si>
    <t xml:space="preserve">Using current rate of 3.54% </t>
  </si>
  <si>
    <t>2019 Potential Study</t>
  </si>
  <si>
    <t>2020 totals</t>
  </si>
  <si>
    <t>2020 Totals</t>
  </si>
  <si>
    <t>2021 Totals</t>
  </si>
  <si>
    <t>2021 Budget</t>
  </si>
  <si>
    <t>Projected</t>
  </si>
  <si>
    <t>Split for WSB program cost was based on 2019 kWh savings (76% / 24%)</t>
  </si>
  <si>
    <t>2021 totals</t>
  </si>
  <si>
    <t>Nov 1, 2019</t>
  </si>
  <si>
    <t>May 2020</t>
  </si>
  <si>
    <r>
      <t>2021 Forecast Esimtate was based on 2020 forecast</t>
    </r>
    <r>
      <rPr>
        <sz val="10"/>
        <color rgb="FFFF0000"/>
        <rFont val="Arial"/>
        <family val="2"/>
      </rPr>
      <t>.</t>
    </r>
  </si>
  <si>
    <t>Forecast DSM expenses through December 2021</t>
  </si>
  <si>
    <t>Forecast carrying charges through December 2021</t>
  </si>
  <si>
    <t>Total expenses through December 2021</t>
  </si>
  <si>
    <t>Total DSM surcharge collections through December 2021</t>
  </si>
  <si>
    <t>Forecast DSM balancing account as of December 31, 2021</t>
  </si>
  <si>
    <t>for May</t>
  </si>
  <si>
    <t>Jan-May 2020 actuals and started with Nov 2019 forecast from filing, updated by Prog Mgrs</t>
  </si>
  <si>
    <t>Accruals added to capture full cost through May</t>
  </si>
  <si>
    <t>DSM balancing account as of May 31, 2020</t>
  </si>
  <si>
    <t xml:space="preserve">   Figures provided through May 2020 are actuals.</t>
  </si>
  <si>
    <t>Total Accruals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</si>
</sst>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General_)"/>
    <numFmt numFmtId="167" formatCode="&quot;$&quot;#,##0"/>
    <numFmt numFmtId="168" formatCode="0.00000"/>
  </numFmts>
  <fonts count="3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TimesNewRomanPS"/>
    </font>
    <font>
      <sz val="10"/>
      <name val="LinePrinter"/>
      <family val="3"/>
    </font>
    <font>
      <sz val="11"/>
      <color theme="1"/>
      <name val="Calibri"/>
      <family val="2"/>
      <scheme val="minor"/>
    </font>
    <font>
      <sz val="12"/>
      <name val="Arial MT"/>
    </font>
    <font>
      <sz val="10"/>
      <name val="LinePrinter"/>
    </font>
    <font>
      <sz val="12"/>
      <name val="Arial"/>
      <family val="2"/>
    </font>
    <font>
      <b/>
      <u/>
      <sz val="10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79">
    <xf numFmtId="0" fontId="0" fillId="0" borderId="0"/>
    <xf numFmtId="0" fontId="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/>
    </xf>
    <xf numFmtId="37" fontId="6" fillId="0" borderId="0" applyNumberFormat="0" applyFill="0" applyBorder="0"/>
    <xf numFmtId="9" fontId="1" fillId="0" borderId="0" applyFont="0" applyFill="0" applyBorder="0" applyAlignment="0" applyProtection="0"/>
    <xf numFmtId="166" fontId="7" fillId="0" borderId="0">
      <alignment horizontal="left"/>
    </xf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" fillId="0" borderId="0"/>
    <xf numFmtId="0" fontId="9" fillId="0" borderId="0"/>
    <xf numFmtId="9" fontId="3" fillId="0" borderId="0" applyFont="0" applyFill="0" applyBorder="0" applyAlignment="0" applyProtection="0"/>
    <xf numFmtId="166" fontId="10" fillId="0" borderId="0">
      <alignment horizontal="left"/>
    </xf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7" applyNumberFormat="0" applyAlignment="0" applyProtection="0"/>
    <xf numFmtId="0" fontId="27" fillId="8" borderId="8" applyNumberFormat="0" applyAlignment="0" applyProtection="0"/>
    <xf numFmtId="0" fontId="28" fillId="8" borderId="7" applyNumberFormat="0" applyAlignment="0" applyProtection="0"/>
    <xf numFmtId="0" fontId="29" fillId="0" borderId="9" applyNumberFormat="0" applyFill="0" applyAlignment="0" applyProtection="0"/>
    <xf numFmtId="0" fontId="30" fillId="9" borderId="10" applyNumberFormat="0" applyAlignment="0" applyProtection="0"/>
    <xf numFmtId="0" fontId="31" fillId="0" borderId="0" applyNumberFormat="0" applyFill="0" applyBorder="0" applyAlignment="0" applyProtection="0"/>
    <xf numFmtId="0" fontId="8" fillId="10" borderId="1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34" fillId="34" borderId="0" applyNumberFormat="0" applyBorder="0" applyAlignment="0" applyProtection="0"/>
    <xf numFmtId="166" fontId="7" fillId="0" borderId="0">
      <alignment horizontal="left"/>
    </xf>
    <xf numFmtId="0" fontId="8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29">
    <xf numFmtId="0" fontId="0" fillId="0" borderId="0" xfId="0"/>
    <xf numFmtId="164" fontId="3" fillId="0" borderId="0" xfId="2" applyNumberFormat="1" applyFont="1" applyFill="1"/>
    <xf numFmtId="165" fontId="2" fillId="0" borderId="0" xfId="3" applyNumberFormat="1" applyFont="1" applyFill="1" applyBorder="1"/>
    <xf numFmtId="0" fontId="2" fillId="0" borderId="0" xfId="0" applyFont="1" applyFill="1" applyAlignment="1" applyProtection="1">
      <alignment horizontal="centerContinuous" vertical="center"/>
      <protection locked="0"/>
    </xf>
    <xf numFmtId="0" fontId="12" fillId="0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13" fillId="0" borderId="0" xfId="8" applyFont="1" applyAlignment="1" applyProtection="1">
      <alignment horizontal="centerContinuous"/>
      <protection locked="0"/>
    </xf>
    <xf numFmtId="0" fontId="14" fillId="0" borderId="0" xfId="8" applyFont="1" applyAlignment="1" applyProtection="1">
      <alignment horizontal="center"/>
      <protection locked="0"/>
    </xf>
    <xf numFmtId="0" fontId="14" fillId="0" borderId="0" xfId="8" applyFont="1" applyAlignment="1" applyProtection="1">
      <protection locked="0"/>
    </xf>
    <xf numFmtId="0" fontId="3" fillId="0" borderId="0" xfId="8" applyFont="1"/>
    <xf numFmtId="0" fontId="15" fillId="0" borderId="0" xfId="0" applyFont="1"/>
    <xf numFmtId="0" fontId="16" fillId="0" borderId="0" xfId="8" quotePrefix="1" applyFont="1" applyFill="1" applyAlignment="1" applyProtection="1">
      <alignment horizontal="center"/>
      <protection locked="0"/>
    </xf>
    <xf numFmtId="0" fontId="14" fillId="0" borderId="0" xfId="8" quotePrefix="1" applyFont="1" applyAlignment="1" applyProtection="1">
      <alignment horizontal="center"/>
      <protection locked="0"/>
    </xf>
    <xf numFmtId="0" fontId="14" fillId="0" borderId="0" xfId="8" applyFont="1"/>
    <xf numFmtId="0" fontId="14" fillId="0" borderId="0" xfId="8" quotePrefix="1" applyFont="1" applyFill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40" fontId="18" fillId="0" borderId="0" xfId="0" quotePrefix="1" applyNumberFormat="1" applyFont="1" applyFill="1" applyAlignment="1" applyProtection="1">
      <alignment horizontal="center" wrapText="1"/>
      <protection locked="0"/>
    </xf>
    <xf numFmtId="10" fontId="18" fillId="0" borderId="0" xfId="0" quotePrefix="1" applyNumberFormat="1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protection locked="0"/>
    </xf>
    <xf numFmtId="0" fontId="2" fillId="0" borderId="0" xfId="8" applyFont="1" applyFill="1" applyAlignment="1" applyProtection="1">
      <alignment horizontal="center"/>
      <protection locked="0"/>
    </xf>
    <xf numFmtId="44" fontId="3" fillId="0" borderId="0" xfId="8" applyNumberFormat="1" applyFont="1" applyFill="1" applyBorder="1" applyAlignment="1" applyProtection="1">
      <protection locked="0"/>
    </xf>
    <xf numFmtId="10" fontId="3" fillId="0" borderId="0" xfId="16" applyNumberFormat="1" applyFont="1" applyAlignment="1" applyProtection="1">
      <alignment horizontal="center"/>
      <protection locked="0"/>
    </xf>
    <xf numFmtId="44" fontId="3" fillId="0" borderId="0" xfId="8" applyNumberFormat="1" applyFont="1" applyFill="1" applyAlignment="1" applyProtection="1">
      <protection locked="0"/>
    </xf>
    <xf numFmtId="44" fontId="2" fillId="0" borderId="0" xfId="12" quotePrefix="1" applyFont="1" applyAlignment="1" applyProtection="1">
      <alignment horizontal="center"/>
      <protection locked="0"/>
    </xf>
    <xf numFmtId="10" fontId="3" fillId="0" borderId="0" xfId="8" applyNumberFormat="1" applyFont="1" applyAlignment="1" applyProtection="1">
      <protection locked="0"/>
    </xf>
    <xf numFmtId="44" fontId="3" fillId="0" borderId="0" xfId="12" applyFont="1" applyAlignment="1" applyProtection="1">
      <alignment horizontal="center"/>
      <protection locked="0"/>
    </xf>
    <xf numFmtId="0" fontId="3" fillId="0" borderId="0" xfId="8" applyFont="1" applyAlignment="1" applyProtection="1">
      <protection locked="0"/>
    </xf>
    <xf numFmtId="0" fontId="3" fillId="0" borderId="0" xfId="8" applyFont="1" applyFill="1" applyAlignment="1" applyProtection="1">
      <protection locked="0"/>
    </xf>
    <xf numFmtId="0" fontId="3" fillId="0" borderId="0" xfId="8" applyFont="1" applyBorder="1" applyAlignment="1" applyProtection="1">
      <protection locked="0"/>
    </xf>
    <xf numFmtId="0" fontId="3" fillId="0" borderId="0" xfId="8" applyFont="1" applyFill="1" applyBorder="1" applyAlignment="1" applyProtection="1">
      <protection locked="0"/>
    </xf>
    <xf numFmtId="0" fontId="3" fillId="0" borderId="0" xfId="8" applyFont="1" applyFill="1"/>
    <xf numFmtId="0" fontId="3" fillId="0" borderId="0" xfId="80" applyFont="1" applyFill="1" applyAlignment="1">
      <alignment horizontal="left" indent="1"/>
    </xf>
    <xf numFmtId="164" fontId="3" fillId="0" borderId="0" xfId="8" applyNumberFormat="1" applyFont="1" applyFill="1" applyAlignment="1" applyProtection="1">
      <protection locked="0"/>
    </xf>
    <xf numFmtId="164" fontId="3" fillId="0" borderId="0" xfId="8" applyNumberFormat="1" applyFont="1" applyAlignment="1" applyProtection="1">
      <protection locked="0"/>
    </xf>
    <xf numFmtId="164" fontId="3" fillId="0" borderId="0" xfId="12" applyNumberFormat="1" applyFont="1" applyBorder="1" applyAlignment="1" applyProtection="1">
      <protection locked="0"/>
    </xf>
    <xf numFmtId="164" fontId="3" fillId="0" borderId="0" xfId="12" applyNumberFormat="1" applyFont="1" applyAlignment="1" applyProtection="1">
      <protection locked="0"/>
    </xf>
    <xf numFmtId="164" fontId="3" fillId="0" borderId="2" xfId="12" applyNumberFormat="1" applyFont="1" applyBorder="1" applyAlignment="1" applyProtection="1">
      <protection locked="0"/>
    </xf>
    <xf numFmtId="164" fontId="3" fillId="2" borderId="0" xfId="8" applyNumberFormat="1" applyFont="1" applyFill="1" applyAlignment="1" applyProtection="1">
      <protection locked="0"/>
    </xf>
    <xf numFmtId="164" fontId="3" fillId="3" borderId="0" xfId="8" applyNumberFormat="1" applyFont="1" applyFill="1" applyAlignment="1" applyProtection="1">
      <protection locked="0"/>
    </xf>
    <xf numFmtId="164" fontId="15" fillId="0" borderId="0" xfId="0" applyNumberFormat="1" applyFont="1"/>
    <xf numFmtId="164" fontId="3" fillId="0" borderId="0" xfId="8" applyNumberFormat="1" applyFont="1" applyFill="1" applyBorder="1" applyAlignment="1" applyProtection="1">
      <protection locked="0"/>
    </xf>
    <xf numFmtId="164" fontId="3" fillId="0" borderId="2" xfId="12" applyNumberFormat="1" applyFont="1" applyFill="1" applyBorder="1" applyAlignment="1" applyProtection="1">
      <protection locked="0"/>
    </xf>
    <xf numFmtId="164" fontId="3" fillId="0" borderId="0" xfId="12" applyNumberFormat="1" applyFont="1" applyFill="1" applyAlignment="1" applyProtection="1">
      <protection locked="0"/>
    </xf>
    <xf numFmtId="44" fontId="3" fillId="0" borderId="0" xfId="12" applyFont="1" applyFill="1" applyAlignment="1" applyProtection="1">
      <alignment horizontal="center"/>
      <protection locked="0"/>
    </xf>
    <xf numFmtId="164" fontId="3" fillId="0" borderId="0" xfId="12" applyNumberFormat="1" applyFont="1" applyFill="1" applyBorder="1" applyAlignment="1" applyProtection="1">
      <protection locked="0"/>
    </xf>
    <xf numFmtId="164" fontId="15" fillId="0" borderId="0" xfId="0" applyNumberFormat="1" applyFont="1" applyFill="1"/>
    <xf numFmtId="0" fontId="15" fillId="0" borderId="0" xfId="0" applyFont="1" applyFill="1"/>
    <xf numFmtId="0" fontId="3" fillId="0" borderId="0" xfId="64" applyFont="1" applyFill="1" applyAlignment="1">
      <alignment horizontal="left" indent="1"/>
    </xf>
    <xf numFmtId="37" fontId="3" fillId="0" borderId="2" xfId="2" applyNumberFormat="1" applyFont="1" applyFill="1" applyBorder="1" applyAlignment="1">
      <alignment horizontal="right"/>
    </xf>
    <xf numFmtId="167" fontId="3" fillId="0" borderId="0" xfId="2" applyNumberFormat="1" applyFont="1" applyFill="1" applyBorder="1"/>
    <xf numFmtId="167" fontId="2" fillId="0" borderId="0" xfId="3" applyNumberFormat="1" applyFont="1" applyFill="1" applyBorder="1"/>
    <xf numFmtId="10" fontId="3" fillId="0" borderId="0" xfId="12" applyNumberFormat="1" applyFont="1" applyAlignment="1" applyProtection="1">
      <alignment horizontal="right"/>
      <protection locked="0"/>
    </xf>
    <xf numFmtId="164" fontId="15" fillId="0" borderId="0" xfId="0" applyNumberFormat="1" applyFont="1" applyBorder="1"/>
    <xf numFmtId="0" fontId="2" fillId="0" borderId="0" xfId="64" applyFont="1" applyFill="1" applyAlignment="1" applyProtection="1">
      <protection locked="0"/>
    </xf>
    <xf numFmtId="0" fontId="3" fillId="0" borderId="0" xfId="64" applyFont="1" applyFill="1"/>
    <xf numFmtId="0" fontId="2" fillId="0" borderId="0" xfId="64" applyFont="1" applyFill="1"/>
    <xf numFmtId="37" fontId="2" fillId="0" borderId="0" xfId="64" applyNumberFormat="1" applyFont="1" applyFill="1" applyAlignment="1">
      <alignment horizontal="center"/>
    </xf>
    <xf numFmtId="0" fontId="2" fillId="0" borderId="0" xfId="64" applyFont="1" applyFill="1" applyAlignment="1">
      <alignment horizontal="center"/>
    </xf>
    <xf numFmtId="0" fontId="2" fillId="0" borderId="0" xfId="64" applyFont="1" applyFill="1" applyBorder="1" applyAlignment="1">
      <alignment horizontal="center"/>
    </xf>
    <xf numFmtId="17" fontId="2" fillId="0" borderId="0" xfId="64" applyNumberFormat="1" applyFont="1" applyFill="1" applyBorder="1" applyAlignment="1">
      <alignment horizontal="center"/>
    </xf>
    <xf numFmtId="17" fontId="2" fillId="0" borderId="1" xfId="64" applyNumberFormat="1" applyFont="1" applyFill="1" applyBorder="1" applyAlignment="1">
      <alignment horizontal="center"/>
    </xf>
    <xf numFmtId="0" fontId="3" fillId="0" borderId="0" xfId="64" applyFont="1" applyFill="1" applyBorder="1"/>
    <xf numFmtId="5" fontId="0" fillId="0" borderId="0" xfId="278" applyNumberFormat="1" applyFont="1" applyFill="1"/>
    <xf numFmtId="0" fontId="2" fillId="0" borderId="0" xfId="64" quotePrefix="1" applyFont="1" applyFill="1" applyAlignment="1">
      <alignment horizontal="left"/>
    </xf>
    <xf numFmtId="0" fontId="2" fillId="0" borderId="0" xfId="64" applyFont="1" applyFill="1" applyBorder="1"/>
    <xf numFmtId="0" fontId="2" fillId="0" borderId="0" xfId="64" applyFont="1" applyFill="1" applyAlignment="1">
      <alignment horizontal="left"/>
    </xf>
    <xf numFmtId="3" fontId="3" fillId="0" borderId="0" xfId="64" applyNumberFormat="1" applyFont="1" applyFill="1"/>
    <xf numFmtId="5" fontId="0" fillId="0" borderId="2" xfId="278" applyNumberFormat="1" applyFont="1" applyFill="1" applyBorder="1"/>
    <xf numFmtId="3" fontId="3" fillId="0" borderId="0" xfId="2" applyNumberFormat="1" applyFont="1" applyFill="1"/>
    <xf numFmtId="43" fontId="3" fillId="0" borderId="0" xfId="8" applyNumberFormat="1" applyFont="1" applyFill="1" applyAlignment="1" applyProtection="1">
      <protection locked="0"/>
    </xf>
    <xf numFmtId="43" fontId="3" fillId="0" borderId="0" xfId="12" applyNumberFormat="1" applyFont="1" applyFill="1" applyAlignment="1" applyProtection="1">
      <protection locked="0"/>
    </xf>
    <xf numFmtId="10" fontId="3" fillId="0" borderId="0" xfId="8" applyNumberFormat="1" applyFont="1" applyFill="1" applyAlignment="1" applyProtection="1">
      <protection locked="0"/>
    </xf>
    <xf numFmtId="0" fontId="36" fillId="0" borderId="0" xfId="80" applyFont="1" applyFill="1" applyAlignment="1">
      <alignment horizontal="left" indent="1"/>
    </xf>
    <xf numFmtId="3" fontId="3" fillId="0" borderId="2" xfId="2" applyNumberFormat="1" applyFont="1" applyFill="1" applyBorder="1"/>
    <xf numFmtId="3" fontId="3" fillId="0" borderId="2" xfId="2" applyNumberFormat="1" applyFont="1" applyFill="1" applyBorder="1" applyAlignment="1">
      <alignment horizontal="right"/>
    </xf>
    <xf numFmtId="3" fontId="3" fillId="0" borderId="0" xfId="64" applyNumberFormat="1" applyFont="1" applyFill="1" applyBorder="1"/>
    <xf numFmtId="3" fontId="3" fillId="0" borderId="0" xfId="2" applyNumberFormat="1" applyFont="1" applyFill="1" applyBorder="1"/>
    <xf numFmtId="0" fontId="3" fillId="0" borderId="0" xfId="80" applyFont="1" applyFill="1"/>
    <xf numFmtId="0" fontId="3" fillId="0" borderId="0" xfId="80" applyFill="1"/>
    <xf numFmtId="0" fontId="3" fillId="0" borderId="0" xfId="80" applyFont="1" applyFill="1" applyBorder="1" applyAlignment="1" applyProtection="1">
      <protection locked="0"/>
    </xf>
    <xf numFmtId="43" fontId="15" fillId="0" borderId="0" xfId="0" applyNumberFormat="1" applyFont="1"/>
    <xf numFmtId="168" fontId="15" fillId="0" borderId="0" xfId="0" applyNumberFormat="1" applyFont="1"/>
    <xf numFmtId="164" fontId="3" fillId="0" borderId="0" xfId="0" applyNumberFormat="1" applyFont="1" applyFill="1"/>
    <xf numFmtId="164" fontId="3" fillId="0" borderId="2" xfId="0" applyNumberFormat="1" applyFont="1" applyFill="1" applyBorder="1"/>
    <xf numFmtId="164" fontId="3" fillId="0" borderId="3" xfId="0" applyNumberFormat="1" applyFont="1" applyFill="1" applyBorder="1"/>
    <xf numFmtId="0" fontId="3" fillId="0" borderId="0" xfId="64" applyFont="1" applyFill="1" applyAlignment="1">
      <alignment wrapText="1"/>
    </xf>
    <xf numFmtId="0" fontId="2" fillId="0" borderId="1" xfId="64" applyNumberFormat="1" applyFont="1" applyFill="1" applyBorder="1" applyAlignment="1">
      <alignment horizontal="center"/>
    </xf>
    <xf numFmtId="17" fontId="3" fillId="0" borderId="0" xfId="64" applyNumberFormat="1" applyFont="1" applyFill="1"/>
    <xf numFmtId="0" fontId="2" fillId="0" borderId="1" xfId="64" quotePrefix="1" applyNumberFormat="1" applyFont="1" applyFill="1" applyBorder="1" applyAlignment="1">
      <alignment horizontal="center"/>
    </xf>
    <xf numFmtId="164" fontId="3" fillId="0" borderId="0" xfId="8" applyNumberFormat="1" applyFont="1" applyFill="1" applyAlignment="1" applyProtection="1"/>
    <xf numFmtId="164" fontId="3" fillId="3" borderId="0" xfId="12" applyNumberFormat="1" applyFont="1" applyFill="1" applyBorder="1" applyAlignment="1" applyProtection="1">
      <protection locked="0"/>
    </xf>
    <xf numFmtId="39" fontId="2" fillId="0" borderId="0" xfId="64" quotePrefix="1" applyNumberFormat="1" applyFont="1" applyFill="1" applyBorder="1" applyAlignment="1">
      <alignment horizontal="center"/>
    </xf>
    <xf numFmtId="0" fontId="2" fillId="0" borderId="0" xfId="64" quotePrefix="1" applyFont="1" applyFill="1" applyAlignment="1">
      <alignment horizontal="center"/>
    </xf>
    <xf numFmtId="17" fontId="2" fillId="35" borderId="1" xfId="64" applyNumberFormat="1" applyFont="1" applyFill="1" applyBorder="1" applyAlignment="1">
      <alignment horizontal="center"/>
    </xf>
    <xf numFmtId="164" fontId="3" fillId="3" borderId="0" xfId="8" applyNumberFormat="1" applyFont="1" applyFill="1" applyAlignment="1" applyProtection="1"/>
    <xf numFmtId="164" fontId="3" fillId="0" borderId="0" xfId="12" applyNumberFormat="1" applyFont="1" applyFill="1" applyAlignment="1" applyProtection="1"/>
    <xf numFmtId="10" fontId="3" fillId="0" borderId="0" xfId="278" applyNumberFormat="1" applyFont="1" applyFill="1" applyAlignment="1" applyProtection="1">
      <alignment horizontal="right"/>
      <protection locked="0"/>
    </xf>
    <xf numFmtId="164" fontId="3" fillId="0" borderId="0" xfId="8" applyNumberFormat="1" applyFont="1" applyFill="1" applyBorder="1" applyAlignment="1" applyProtection="1"/>
    <xf numFmtId="164" fontId="3" fillId="0" borderId="2" xfId="12" applyNumberFormat="1" applyFont="1" applyBorder="1" applyAlignment="1" applyProtection="1"/>
    <xf numFmtId="164" fontId="3" fillId="0" borderId="2" xfId="12" applyNumberFormat="1" applyFont="1" applyFill="1" applyBorder="1" applyAlignment="1" applyProtection="1"/>
    <xf numFmtId="0" fontId="11" fillId="0" borderId="0" xfId="64" applyFont="1" applyFill="1"/>
    <xf numFmtId="39" fontId="38" fillId="0" borderId="0" xfId="64" quotePrefix="1" applyNumberFormat="1" applyFont="1" applyFill="1" applyBorder="1" applyAlignment="1">
      <alignment horizontal="center"/>
    </xf>
    <xf numFmtId="0" fontId="38" fillId="0" borderId="0" xfId="64" quotePrefix="1" applyFont="1" applyFill="1" applyAlignment="1">
      <alignment horizontal="center"/>
    </xf>
    <xf numFmtId="0" fontId="38" fillId="0" borderId="0" xfId="64" applyFont="1" applyFill="1" applyAlignment="1">
      <alignment horizontal="center"/>
    </xf>
    <xf numFmtId="0" fontId="38" fillId="0" borderId="0" xfId="64" applyFont="1" applyFill="1" applyBorder="1" applyAlignment="1">
      <alignment horizontal="center"/>
    </xf>
    <xf numFmtId="17" fontId="38" fillId="0" borderId="0" xfId="64" applyNumberFormat="1" applyFont="1" applyFill="1" applyBorder="1" applyAlignment="1">
      <alignment horizontal="center"/>
    </xf>
    <xf numFmtId="164" fontId="11" fillId="0" borderId="0" xfId="2" applyNumberFormat="1" applyFont="1" applyFill="1"/>
    <xf numFmtId="0" fontId="38" fillId="0" borderId="0" xfId="64" applyFont="1" applyFill="1"/>
    <xf numFmtId="0" fontId="11" fillId="0" borderId="0" xfId="64" applyFont="1" applyFill="1" applyBorder="1"/>
    <xf numFmtId="0" fontId="11" fillId="0" borderId="0" xfId="64" applyFont="1" applyFill="1" applyAlignment="1">
      <alignment horizontal="left" indent="1"/>
    </xf>
    <xf numFmtId="3" fontId="11" fillId="0" borderId="0" xfId="2" applyNumberFormat="1" applyFont="1" applyFill="1"/>
    <xf numFmtId="3" fontId="11" fillId="0" borderId="0" xfId="2" applyNumberFormat="1" applyFont="1" applyFill="1" applyBorder="1"/>
    <xf numFmtId="3" fontId="11" fillId="0" borderId="2" xfId="2" applyNumberFormat="1" applyFont="1" applyFill="1" applyBorder="1"/>
    <xf numFmtId="3" fontId="11" fillId="0" borderId="13" xfId="2" applyNumberFormat="1" applyFont="1" applyFill="1" applyBorder="1"/>
    <xf numFmtId="0" fontId="38" fillId="0" borderId="0" xfId="64" quotePrefix="1" applyFont="1" applyFill="1" applyAlignment="1">
      <alignment horizontal="left"/>
    </xf>
    <xf numFmtId="3" fontId="11" fillId="0" borderId="2" xfId="2" applyNumberFormat="1" applyFont="1" applyFill="1" applyBorder="1" applyAlignment="1">
      <alignment horizontal="right"/>
    </xf>
    <xf numFmtId="0" fontId="2" fillId="0" borderId="0" xfId="0" applyFont="1" applyFill="1" applyAlignment="1" applyProtection="1">
      <alignment horizontal="center" vertical="center"/>
      <protection locked="0"/>
    </xf>
    <xf numFmtId="5" fontId="0" fillId="0" borderId="0" xfId="278" applyNumberFormat="1" applyFont="1" applyFill="1" applyAlignment="1">
      <alignment horizontal="center" vertical="center"/>
    </xf>
    <xf numFmtId="3" fontId="3" fillId="0" borderId="0" xfId="2" applyNumberFormat="1" applyFont="1" applyFill="1" applyBorder="1" applyAlignment="1">
      <alignment horizontal="center" vertical="center"/>
    </xf>
    <xf numFmtId="3" fontId="3" fillId="0" borderId="0" xfId="2" applyNumberFormat="1" applyFont="1" applyFill="1" applyAlignment="1">
      <alignment horizontal="center" vertical="center" wrapText="1"/>
    </xf>
    <xf numFmtId="3" fontId="3" fillId="0" borderId="0" xfId="64" applyNumberFormat="1" applyFont="1" applyFill="1" applyAlignment="1">
      <alignment horizontal="center"/>
    </xf>
    <xf numFmtId="3" fontId="3" fillId="0" borderId="0" xfId="2" applyNumberFormat="1" applyFont="1" applyFill="1" applyAlignment="1">
      <alignment horizontal="right" vertical="center"/>
    </xf>
    <xf numFmtId="5" fontId="0" fillId="0" borderId="0" xfId="278" applyNumberFormat="1" applyFont="1" applyFill="1" applyAlignment="1">
      <alignment vertical="center"/>
    </xf>
    <xf numFmtId="3" fontId="11" fillId="0" borderId="0" xfId="2" applyNumberFormat="1" applyFont="1" applyFill="1" applyAlignment="1">
      <alignment horizontal="right" vertical="center"/>
    </xf>
    <xf numFmtId="3" fontId="11" fillId="0" borderId="0" xfId="2" applyNumberFormat="1" applyFont="1" applyFill="1" applyBorder="1" applyAlignment="1">
      <alignment horizontal="right" vertical="center"/>
    </xf>
    <xf numFmtId="3" fontId="11" fillId="0" borderId="0" xfId="2" applyNumberFormat="1" applyFont="1" applyFill="1" applyAlignment="1">
      <alignment horizontal="right" vertical="center" wrapText="1"/>
    </xf>
  </cellXfs>
  <cellStyles count="279">
    <cellStyle name="20% - Accent1" xfId="103" builtinId="30" customBuiltin="1"/>
    <cellStyle name="20% - Accent2" xfId="107" builtinId="34" customBuiltin="1"/>
    <cellStyle name="20% - Accent3" xfId="111" builtinId="38" customBuiltin="1"/>
    <cellStyle name="20% - Accent4" xfId="115" builtinId="42" customBuiltin="1"/>
    <cellStyle name="20% - Accent5" xfId="119" builtinId="46" customBuiltin="1"/>
    <cellStyle name="20% - Accent6" xfId="123" builtinId="50" customBuiltin="1"/>
    <cellStyle name="40% - Accent1" xfId="104" builtinId="31" customBuiltin="1"/>
    <cellStyle name="40% - Accent2" xfId="108" builtinId="35" customBuiltin="1"/>
    <cellStyle name="40% - Accent3" xfId="112" builtinId="39" customBuiltin="1"/>
    <cellStyle name="40% - Accent4" xfId="116" builtinId="43" customBuiltin="1"/>
    <cellStyle name="40% - Accent5" xfId="120" builtinId="47" customBuiltin="1"/>
    <cellStyle name="40% - Accent6" xfId="124" builtinId="51" customBuiltin="1"/>
    <cellStyle name="60% - Accent1" xfId="105" builtinId="32" customBuiltin="1"/>
    <cellStyle name="60% - Accent2" xfId="109" builtinId="36" customBuiltin="1"/>
    <cellStyle name="60% - Accent3" xfId="113" builtinId="40" customBuiltin="1"/>
    <cellStyle name="60% - Accent4" xfId="117" builtinId="44" customBuiltin="1"/>
    <cellStyle name="60% - Accent5" xfId="121" builtinId="48" customBuiltin="1"/>
    <cellStyle name="60% - Accent6" xfId="125" builtinId="52" customBuiltin="1"/>
    <cellStyle name="Accent1" xfId="102" builtinId="29" customBuiltin="1"/>
    <cellStyle name="Accent2" xfId="106" builtinId="33" customBuiltin="1"/>
    <cellStyle name="Accent3" xfId="110" builtinId="37" customBuiltin="1"/>
    <cellStyle name="Accent4" xfId="114" builtinId="41" customBuiltin="1"/>
    <cellStyle name="Accent5" xfId="118" builtinId="45" customBuiltin="1"/>
    <cellStyle name="Accent6" xfId="122" builtinId="49" customBuiltin="1"/>
    <cellStyle name="Bad" xfId="91" builtinId="27" customBuiltin="1"/>
    <cellStyle name="Calculation" xfId="95" builtinId="22" customBuiltin="1"/>
    <cellStyle name="Check Cell" xfId="97" builtinId="23" customBuiltin="1"/>
    <cellStyle name="Comma 10" xfId="33"/>
    <cellStyle name="Comma 11" xfId="35"/>
    <cellStyle name="Comma 12" xfId="37"/>
    <cellStyle name="Comma 13" xfId="39"/>
    <cellStyle name="Comma 14" xfId="41"/>
    <cellStyle name="Comma 15" xfId="43"/>
    <cellStyle name="Comma 16" xfId="45"/>
    <cellStyle name="Comma 17" xfId="47"/>
    <cellStyle name="Comma 18" xfId="49"/>
    <cellStyle name="Comma 19" xfId="51"/>
    <cellStyle name="Comma 2" xfId="2"/>
    <cellStyle name="Comma 2 2" xfId="11"/>
    <cellStyle name="Comma 2 3" xfId="83"/>
    <cellStyle name="Comma 2 4" xfId="10"/>
    <cellStyle name="Comma 20" xfId="53"/>
    <cellStyle name="Comma 21" xfId="55"/>
    <cellStyle name="Comma 22" xfId="57"/>
    <cellStyle name="Comma 23" xfId="59"/>
    <cellStyle name="Comma 24" xfId="61"/>
    <cellStyle name="Comma 25" xfId="63"/>
    <cellStyle name="Comma 26" xfId="67"/>
    <cellStyle name="Comma 27" xfId="69"/>
    <cellStyle name="Comma 28" xfId="71"/>
    <cellStyle name="Comma 29" xfId="73"/>
    <cellStyle name="Comma 3" xfId="19"/>
    <cellStyle name="Comma 3 2" xfId="157"/>
    <cellStyle name="Comma 3 2 2" xfId="177"/>
    <cellStyle name="Comma 3 2 3" xfId="231"/>
    <cellStyle name="Comma 3 3" xfId="176"/>
    <cellStyle name="Comma 3 4" xfId="230"/>
    <cellStyle name="Comma 3 5" xfId="135"/>
    <cellStyle name="Comma 30" xfId="75"/>
    <cellStyle name="Comma 31" xfId="77"/>
    <cellStyle name="Comma 32" xfId="79"/>
    <cellStyle name="Comma 33" xfId="9"/>
    <cellStyle name="Comma 4" xfId="21"/>
    <cellStyle name="Comma 4 2" xfId="169"/>
    <cellStyle name="Comma 4 2 2" xfId="178"/>
    <cellStyle name="Comma 4 2 3" xfId="232"/>
    <cellStyle name="Comma 4 3" xfId="175"/>
    <cellStyle name="Comma 4 4" xfId="225"/>
    <cellStyle name="Comma 4 5" xfId="229"/>
    <cellStyle name="Comma 5" xfId="23"/>
    <cellStyle name="Comma 5 2" xfId="172"/>
    <cellStyle name="Comma 5 2 2" xfId="180"/>
    <cellStyle name="Comma 5 2 3" xfId="234"/>
    <cellStyle name="Comma 5 3" xfId="179"/>
    <cellStyle name="Comma 5 4" xfId="233"/>
    <cellStyle name="Comma 6" xfId="25"/>
    <cellStyle name="Comma 7" xfId="27"/>
    <cellStyle name="Comma 8" xfId="29"/>
    <cellStyle name="Comma 9" xfId="31"/>
    <cellStyle name="Currency 2" xfId="3"/>
    <cellStyle name="Currency 2 2" xfId="82"/>
    <cellStyle name="Currency 2 3" xfId="13"/>
    <cellStyle name="Currency 3" xfId="18"/>
    <cellStyle name="Currency 3 2" xfId="158"/>
    <cellStyle name="Currency 3 2 2" xfId="182"/>
    <cellStyle name="Currency 3 2 3" xfId="236"/>
    <cellStyle name="Currency 3 3" xfId="181"/>
    <cellStyle name="Currency 3 4" xfId="235"/>
    <cellStyle name="Currency 3 5" xfId="136"/>
    <cellStyle name="Currency 4" xfId="12"/>
    <cellStyle name="Explanatory Text" xfId="100" builtinId="53" customBuiltin="1"/>
    <cellStyle name="General" xfId="4"/>
    <cellStyle name="Good" xfId="90" builtinId="26" customBuiltin="1"/>
    <cellStyle name="Heading 1" xfId="86" builtinId="16" customBuiltin="1"/>
    <cellStyle name="Heading 2" xfId="87" builtinId="17" customBuiltin="1"/>
    <cellStyle name="Heading 3" xfId="88" builtinId="18" customBuiltin="1"/>
    <cellStyle name="Heading 4" xfId="89" builtinId="19" customBuiltin="1"/>
    <cellStyle name="Hyperlink 2" xfId="128"/>
    <cellStyle name="Input" xfId="93" builtinId="20" customBuiltin="1"/>
    <cellStyle name="Linked Cell" xfId="96" builtinId="24" customBuiltin="1"/>
    <cellStyle name="Neutral" xfId="92" builtinId="28" customBuiltin="1"/>
    <cellStyle name="nONE" xfId="5"/>
    <cellStyle name="Normal" xfId="0" builtinId="0"/>
    <cellStyle name="Normal 10" xfId="32"/>
    <cellStyle name="Normal 11" xfId="34"/>
    <cellStyle name="Normal 12" xfId="36"/>
    <cellStyle name="Normal 13" xfId="38"/>
    <cellStyle name="Normal 14" xfId="40"/>
    <cellStyle name="Normal 15" xfId="42"/>
    <cellStyle name="Normal 16" xfId="44"/>
    <cellStyle name="Normal 17" xfId="46"/>
    <cellStyle name="Normal 18" xfId="48"/>
    <cellStyle name="Normal 19" xfId="50"/>
    <cellStyle name="Normal 2" xfId="1"/>
    <cellStyle name="Normal 2 2" xfId="64"/>
    <cellStyle name="Normal 2 2 2" xfId="133"/>
    <cellStyle name="Normal 2 2 2 2" xfId="143"/>
    <cellStyle name="Normal 2 2 2 2 2" xfId="165"/>
    <cellStyle name="Normal 2 2 2 2 2 2" xfId="187"/>
    <cellStyle name="Normal 2 2 2 2 2 3" xfId="241"/>
    <cellStyle name="Normal 2 2 2 2 3" xfId="186"/>
    <cellStyle name="Normal 2 2 2 2 4" xfId="240"/>
    <cellStyle name="Normal 2 2 2 3" xfId="154"/>
    <cellStyle name="Normal 2 2 2 3 2" xfId="188"/>
    <cellStyle name="Normal 2 2 2 3 3" xfId="242"/>
    <cellStyle name="Normal 2 2 2 4" xfId="185"/>
    <cellStyle name="Normal 2 2 2 5" xfId="239"/>
    <cellStyle name="Normal 2 2 3" xfId="139"/>
    <cellStyle name="Normal 2 2 3 2" xfId="161"/>
    <cellStyle name="Normal 2 2 3 2 2" xfId="190"/>
    <cellStyle name="Normal 2 2 3 2 3" xfId="244"/>
    <cellStyle name="Normal 2 2 3 3" xfId="189"/>
    <cellStyle name="Normal 2 2 3 4" xfId="243"/>
    <cellStyle name="Normal 2 2 4" xfId="150"/>
    <cellStyle name="Normal 2 2 4 2" xfId="191"/>
    <cellStyle name="Normal 2 2 4 3" xfId="245"/>
    <cellStyle name="Normal 2 2 5" xfId="184"/>
    <cellStyle name="Normal 2 2 6" xfId="238"/>
    <cellStyle name="Normal 2 2 7" xfId="129"/>
    <cellStyle name="Normal 2 3" xfId="84"/>
    <cellStyle name="Normal 2 3 2" xfId="141"/>
    <cellStyle name="Normal 2 3 2 2" xfId="163"/>
    <cellStyle name="Normal 2 3 2 2 2" xfId="194"/>
    <cellStyle name="Normal 2 3 2 2 3" xfId="248"/>
    <cellStyle name="Normal 2 3 2 3" xfId="193"/>
    <cellStyle name="Normal 2 3 2 4" xfId="247"/>
    <cellStyle name="Normal 2 3 3" xfId="152"/>
    <cellStyle name="Normal 2 3 3 2" xfId="195"/>
    <cellStyle name="Normal 2 3 3 3" xfId="249"/>
    <cellStyle name="Normal 2 3 4" xfId="192"/>
    <cellStyle name="Normal 2 3 5" xfId="246"/>
    <cellStyle name="Normal 2 3 6" xfId="131"/>
    <cellStyle name="Normal 2 4" xfId="14"/>
    <cellStyle name="Normal 2 4 2" xfId="159"/>
    <cellStyle name="Normal 2 4 2 2" xfId="197"/>
    <cellStyle name="Normal 2 4 2 3" xfId="251"/>
    <cellStyle name="Normal 2 4 3" xfId="196"/>
    <cellStyle name="Normal 2 4 4" xfId="250"/>
    <cellStyle name="Normal 2 5" xfId="146"/>
    <cellStyle name="Normal 2 6" xfId="148"/>
    <cellStyle name="Normal 2 6 2" xfId="198"/>
    <cellStyle name="Normal 2 6 3" xfId="252"/>
    <cellStyle name="Normal 2 7" xfId="183"/>
    <cellStyle name="Normal 2 8" xfId="237"/>
    <cellStyle name="Normal 20" xfId="52"/>
    <cellStyle name="Normal 21" xfId="54"/>
    <cellStyle name="Normal 22" xfId="56"/>
    <cellStyle name="Normal 23" xfId="58"/>
    <cellStyle name="Normal 24" xfId="60"/>
    <cellStyle name="Normal 25" xfId="62"/>
    <cellStyle name="Normal 26" xfId="66"/>
    <cellStyle name="Normal 27" xfId="68"/>
    <cellStyle name="Normal 28" xfId="70"/>
    <cellStyle name="Normal 29" xfId="72"/>
    <cellStyle name="Normal 3" xfId="15"/>
    <cellStyle name="Normal 3 2" xfId="80"/>
    <cellStyle name="Normal 3 2 2" xfId="134"/>
    <cellStyle name="Normal 3 2 2 2" xfId="144"/>
    <cellStyle name="Normal 3 2 2 2 2" xfId="166"/>
    <cellStyle name="Normal 3 2 2 2 2 2" xfId="203"/>
    <cellStyle name="Normal 3 2 2 2 2 3" xfId="257"/>
    <cellStyle name="Normal 3 2 2 2 3" xfId="202"/>
    <cellStyle name="Normal 3 2 2 2 4" xfId="256"/>
    <cellStyle name="Normal 3 2 2 3" xfId="155"/>
    <cellStyle name="Normal 3 2 2 3 2" xfId="204"/>
    <cellStyle name="Normal 3 2 2 3 3" xfId="258"/>
    <cellStyle name="Normal 3 2 2 4" xfId="201"/>
    <cellStyle name="Normal 3 2 2 5" xfId="255"/>
    <cellStyle name="Normal 3 2 3" xfId="140"/>
    <cellStyle name="Normal 3 2 3 2" xfId="162"/>
    <cellStyle name="Normal 3 2 3 2 2" xfId="206"/>
    <cellStyle name="Normal 3 2 3 2 3" xfId="260"/>
    <cellStyle name="Normal 3 2 3 3" xfId="205"/>
    <cellStyle name="Normal 3 2 3 4" xfId="259"/>
    <cellStyle name="Normal 3 2 4" xfId="151"/>
    <cellStyle name="Normal 3 2 4 2" xfId="207"/>
    <cellStyle name="Normal 3 2 4 3" xfId="261"/>
    <cellStyle name="Normal 3 2 5" xfId="200"/>
    <cellStyle name="Normal 3 2 6" xfId="254"/>
    <cellStyle name="Normal 3 2 7" xfId="130"/>
    <cellStyle name="Normal 3 3" xfId="132"/>
    <cellStyle name="Normal 3 3 2" xfId="142"/>
    <cellStyle name="Normal 3 3 2 2" xfId="164"/>
    <cellStyle name="Normal 3 3 2 2 2" xfId="210"/>
    <cellStyle name="Normal 3 3 2 2 3" xfId="264"/>
    <cellStyle name="Normal 3 3 2 3" xfId="209"/>
    <cellStyle name="Normal 3 3 2 4" xfId="263"/>
    <cellStyle name="Normal 3 3 3" xfId="153"/>
    <cellStyle name="Normal 3 3 3 2" xfId="211"/>
    <cellStyle name="Normal 3 3 3 3" xfId="265"/>
    <cellStyle name="Normal 3 3 4" xfId="208"/>
    <cellStyle name="Normal 3 3 5" xfId="262"/>
    <cellStyle name="Normal 3 4" xfId="138"/>
    <cellStyle name="Normal 3 4 2" xfId="160"/>
    <cellStyle name="Normal 3 4 2 2" xfId="213"/>
    <cellStyle name="Normal 3 4 2 3" xfId="267"/>
    <cellStyle name="Normal 3 4 3" xfId="212"/>
    <cellStyle name="Normal 3 4 4" xfId="266"/>
    <cellStyle name="Normal 3 5" xfId="149"/>
    <cellStyle name="Normal 3 5 2" xfId="214"/>
    <cellStyle name="Normal 3 5 3" xfId="268"/>
    <cellStyle name="Normal 3 6" xfId="199"/>
    <cellStyle name="Normal 3 7" xfId="253"/>
    <cellStyle name="Normal 3 8" xfId="127"/>
    <cellStyle name="Normal 30" xfId="74"/>
    <cellStyle name="Normal 31" xfId="76"/>
    <cellStyle name="Normal 32" xfId="78"/>
    <cellStyle name="Normal 33" xfId="8"/>
    <cellStyle name="Normal 4" xfId="20"/>
    <cellStyle name="Normal 4 2" xfId="137"/>
    <cellStyle name="Normal 5" xfId="22"/>
    <cellStyle name="Normal 5 2" xfId="156"/>
    <cellStyle name="Normal 5 2 2" xfId="216"/>
    <cellStyle name="Normal 5 2 3" xfId="270"/>
    <cellStyle name="Normal 5 3" xfId="215"/>
    <cellStyle name="Normal 5 4" xfId="269"/>
    <cellStyle name="Normal 6" xfId="24"/>
    <cellStyle name="Normal 6 2" xfId="167"/>
    <cellStyle name="Normal 6 2 2" xfId="217"/>
    <cellStyle name="Normal 6 2 3" xfId="271"/>
    <cellStyle name="Normal 6 3" xfId="173"/>
    <cellStyle name="Normal 6 4" xfId="223"/>
    <cellStyle name="Normal 6 5" xfId="227"/>
    <cellStyle name="Normal 7" xfId="26"/>
    <cellStyle name="Normal 7 2" xfId="171"/>
    <cellStyle name="Normal 7 2 2" xfId="219"/>
    <cellStyle name="Normal 7 2 3" xfId="273"/>
    <cellStyle name="Normal 7 3" xfId="218"/>
    <cellStyle name="Normal 7 4" xfId="226"/>
    <cellStyle name="Normal 7 5" xfId="272"/>
    <cellStyle name="Normal 8" xfId="28"/>
    <cellStyle name="Normal 9" xfId="30"/>
    <cellStyle name="Note" xfId="99" builtinId="10" customBuiltin="1"/>
    <cellStyle name="Output" xfId="94" builtinId="21" customBuiltin="1"/>
    <cellStyle name="Percent" xfId="278" builtinId="5"/>
    <cellStyle name="Percent 2" xfId="6"/>
    <cellStyle name="Percent 2 2" xfId="81"/>
    <cellStyle name="Percent 2 3" xfId="65"/>
    <cellStyle name="Percent 3" xfId="16"/>
    <cellStyle name="Percent 3 2" xfId="168"/>
    <cellStyle name="Percent 3 2 2" xfId="220"/>
    <cellStyle name="Percent 3 2 3" xfId="274"/>
    <cellStyle name="Percent 3 3" xfId="174"/>
    <cellStyle name="Percent 3 4" xfId="224"/>
    <cellStyle name="Percent 3 5" xfId="228"/>
    <cellStyle name="Percent 3 6" xfId="145"/>
    <cellStyle name="Percent 4" xfId="147"/>
    <cellStyle name="Percent 4 2" xfId="170"/>
    <cellStyle name="Percent 4 2 2" xfId="222"/>
    <cellStyle name="Percent 4 2 3" xfId="276"/>
    <cellStyle name="Percent 4 3" xfId="221"/>
    <cellStyle name="Percent 4 4" xfId="275"/>
    <cellStyle name="Percent 5" xfId="277"/>
    <cellStyle name="Title" xfId="85" builtinId="15" customBuiltin="1"/>
    <cellStyle name="Total" xfId="101" builtinId="25" customBuiltin="1"/>
    <cellStyle name="TRANSMISSION RELIABILITY PORTION OF PROJECT" xfId="7"/>
    <cellStyle name="TRANSMISSION RELIABILITY PORTION OF PROJECT 2" xfId="17"/>
    <cellStyle name="TRANSMISSION RELIABILITY PORTION OF PROJECT 2 2" xfId="126"/>
    <cellStyle name="Warning Text" xfId="98" builtinId="11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sc.state.ut.us/SHR02/ACCTNG/GENERAL/JAN%20LEWIS/DSM/Recovery%20Files/RECOV03-May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DXCO\PDX2\DSM\Program%20Mgmt\UT\Filings\0.collections\Semi-Annual%20Analysis\2019%20June%20balancing%20acct%20analysis\Revenue%20supporting%20files\Revenue%20calc%20-%20updated%20thru%202020%20from%205-2019%20Base%20Revenue%20Projec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Codes"/>
      <sheetName val="SCRInput2"/>
      <sheetName val="Inputs"/>
      <sheetName val="DSM Output"/>
      <sheetName val="DSM Dollars"/>
      <sheetName val="Centralia Credit"/>
      <sheetName val="Y2K"/>
      <sheetName val="Deferred Acct."/>
      <sheetName val="PCA"/>
      <sheetName val="Hermiston"/>
      <sheetName val="Trail Mtn."/>
      <sheetName val="WA SBC"/>
      <sheetName val="0103 Proration (191)"/>
      <sheetName val="WA Centralia"/>
      <sheetName val="WA SBC - Class 48T"/>
      <sheetName val="Module2"/>
    </sheetNames>
    <sheetDataSet>
      <sheetData sheetId="0"/>
      <sheetData sheetId="1"/>
      <sheetData sheetId="2"/>
      <sheetData sheetId="3"/>
      <sheetData sheetId="4"/>
      <sheetData sheetId="5">
        <row r="1">
          <cell r="AL1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0">
          <cell r="I20">
            <v>-5948045.3795298627</v>
          </cell>
          <cell r="X20">
            <v>-6078259.2787328456</v>
          </cell>
          <cell r="Y20">
            <v>-7495465.2254824359</v>
          </cell>
          <cell r="Z20">
            <v>-7080185.7168095373</v>
          </cell>
          <cell r="AA20">
            <v>-5599793.9794018641</v>
          </cell>
          <cell r="AB20">
            <v>-4488265.6287217811</v>
          </cell>
          <cell r="AC20">
            <v>-4511805.8234367101</v>
          </cell>
          <cell r="AD20">
            <v>-5006439.1474189302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31"/>
  <sheetViews>
    <sheetView tabSelected="1" zoomScaleNormal="100" workbookViewId="0">
      <pane ySplit="5" topLeftCell="A102" activePane="bottomLeft" state="frozen"/>
      <selection pane="bottomLeft" activeCell="J122" sqref="J122"/>
    </sheetView>
  </sheetViews>
  <sheetFormatPr defaultColWidth="9.140625" defaultRowHeight="14.25" outlineLevelRow="1"/>
  <cols>
    <col min="1" max="1" width="17.5703125" style="13" customWidth="1"/>
    <col min="2" max="2" width="17.28515625" style="13" customWidth="1"/>
    <col min="3" max="3" width="15.28515625" style="13" customWidth="1"/>
    <col min="4" max="4" width="17" style="13" customWidth="1"/>
    <col min="5" max="5" width="15.7109375" style="13" bestFit="1" customWidth="1"/>
    <col min="6" max="6" width="17" style="13" bestFit="1" customWidth="1"/>
    <col min="7" max="7" width="16.85546875" style="13" customWidth="1"/>
    <col min="8" max="8" width="9.28515625" style="13" customWidth="1"/>
    <col min="9" max="9" width="1.42578125" style="13" customWidth="1"/>
    <col min="10" max="10" width="16.42578125" style="13" customWidth="1"/>
    <col min="11" max="11" width="2.7109375" style="13" customWidth="1"/>
    <col min="12" max="13" width="9.140625" style="13"/>
    <col min="14" max="14" width="9.5703125" style="13" customWidth="1"/>
    <col min="15" max="16384" width="9.140625" style="13"/>
  </cols>
  <sheetData>
    <row r="1" spans="1:134" s="7" customFormat="1" ht="12.75" customHeight="1">
      <c r="A1" s="3"/>
      <c r="B1" s="3"/>
      <c r="C1" s="3"/>
      <c r="D1" s="4"/>
      <c r="E1" s="3"/>
      <c r="F1" s="3"/>
      <c r="G1" s="3"/>
      <c r="H1" s="5"/>
      <c r="I1" s="6"/>
      <c r="J1" s="6"/>
    </row>
    <row r="2" spans="1:134" s="8" customFormat="1" ht="12.75" customHeight="1">
      <c r="A2" s="3" t="s">
        <v>7</v>
      </c>
      <c r="B2" s="3"/>
      <c r="C2" s="3"/>
      <c r="D2" s="4"/>
      <c r="E2" s="3"/>
      <c r="F2" s="3"/>
      <c r="G2" s="3"/>
      <c r="H2" s="5"/>
      <c r="I2" s="6"/>
      <c r="J2" s="6"/>
    </row>
    <row r="3" spans="1:134" s="8" customFormat="1" ht="12.75" customHeight="1">
      <c r="A3" s="119" t="s">
        <v>55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34">
      <c r="A4" s="9"/>
      <c r="B4" s="10"/>
      <c r="C4" s="10"/>
      <c r="D4" s="10"/>
      <c r="E4" s="14"/>
      <c r="F4" s="15" t="s">
        <v>8</v>
      </c>
      <c r="G4" s="15"/>
      <c r="H4" s="16"/>
      <c r="I4" s="12"/>
      <c r="J4" s="17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</row>
    <row r="5" spans="1:134" s="7" customFormat="1" ht="51" customHeight="1">
      <c r="A5" s="18"/>
      <c r="B5" s="19" t="s">
        <v>9</v>
      </c>
      <c r="C5" s="19" t="s">
        <v>10</v>
      </c>
      <c r="D5" s="19" t="s">
        <v>11</v>
      </c>
      <c r="E5" s="19" t="s">
        <v>12</v>
      </c>
      <c r="F5" s="19" t="s">
        <v>13</v>
      </c>
      <c r="G5" s="19" t="s">
        <v>14</v>
      </c>
      <c r="H5" s="20" t="s">
        <v>42</v>
      </c>
      <c r="I5" s="21"/>
      <c r="J5" s="20" t="s">
        <v>15</v>
      </c>
    </row>
    <row r="6" spans="1:134" ht="6.75" customHeight="1">
      <c r="A6" s="22"/>
      <c r="B6" s="23"/>
      <c r="C6" s="23"/>
      <c r="D6" s="23"/>
      <c r="E6" s="23"/>
      <c r="F6" s="23"/>
      <c r="G6" s="23"/>
      <c r="H6" s="24"/>
      <c r="I6" s="12"/>
      <c r="J6" s="25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1"/>
      <c r="EA6" s="11"/>
      <c r="EB6" s="11"/>
      <c r="EC6" s="12"/>
      <c r="ED6" s="12"/>
    </row>
    <row r="7" spans="1:134">
      <c r="A7" s="26" t="s">
        <v>28</v>
      </c>
      <c r="B7" s="39">
        <v>43638929.749999993</v>
      </c>
      <c r="C7" s="39">
        <v>3865060.19</v>
      </c>
      <c r="D7" s="39">
        <v>-54147493.57</v>
      </c>
      <c r="E7" s="39">
        <v>-428385</v>
      </c>
      <c r="F7" s="36">
        <v>-8770676.345999999</v>
      </c>
      <c r="G7" s="36">
        <v>-4905616.1559999995</v>
      </c>
      <c r="H7" s="28"/>
      <c r="I7" s="12"/>
      <c r="J7" s="43"/>
    </row>
    <row r="8" spans="1:134" ht="7.5" customHeight="1">
      <c r="A8" s="26"/>
      <c r="B8" s="37"/>
      <c r="C8" s="37"/>
      <c r="D8" s="37"/>
      <c r="E8" s="37"/>
      <c r="F8" s="38"/>
      <c r="G8" s="38"/>
      <c r="H8" s="28"/>
      <c r="I8" s="12"/>
      <c r="J8" s="43"/>
    </row>
    <row r="9" spans="1:134">
      <c r="A9" s="26" t="s">
        <v>29</v>
      </c>
      <c r="B9" s="39">
        <v>44887095</v>
      </c>
      <c r="C9" s="39">
        <v>781573.44000000018</v>
      </c>
      <c r="D9" s="39">
        <v>-47901079.229999989</v>
      </c>
      <c r="E9" s="39">
        <v>-1154860</v>
      </c>
      <c r="F9" s="38">
        <v>-12939520.576000005</v>
      </c>
      <c r="G9" s="38">
        <v>-8292886.9460000051</v>
      </c>
      <c r="H9" s="54">
        <v>7.8299999999999995E-2</v>
      </c>
      <c r="I9" s="12"/>
      <c r="J9" s="43">
        <v>3416696</v>
      </c>
    </row>
    <row r="10" spans="1:134" ht="6" customHeight="1">
      <c r="A10" s="26"/>
      <c r="B10" s="37"/>
      <c r="C10" s="37"/>
      <c r="D10" s="37"/>
      <c r="E10" s="37"/>
      <c r="F10" s="38"/>
      <c r="G10" s="38"/>
      <c r="H10" s="28"/>
      <c r="I10" s="12"/>
      <c r="J10" s="43"/>
    </row>
    <row r="11" spans="1:134">
      <c r="A11" s="26" t="s">
        <v>30</v>
      </c>
      <c r="B11" s="44">
        <v>51076863.060000002</v>
      </c>
      <c r="C11" s="44">
        <f>-1985771.98-1</f>
        <v>-1985772.98</v>
      </c>
      <c r="D11" s="44">
        <v>-45941420.799999997</v>
      </c>
      <c r="E11" s="44">
        <v>-1128853</v>
      </c>
      <c r="F11" s="45">
        <v>-8932931.3160000034</v>
      </c>
      <c r="G11" s="45">
        <v>-6272069.6660000021</v>
      </c>
      <c r="H11" s="54">
        <v>7.7700000000000005E-2</v>
      </c>
      <c r="I11" s="33"/>
      <c r="J11" s="43">
        <v>2287843</v>
      </c>
    </row>
    <row r="12" spans="1:134" ht="6.75" customHeight="1">
      <c r="A12" s="26"/>
      <c r="B12" s="47"/>
      <c r="C12" s="47"/>
      <c r="D12" s="47"/>
      <c r="E12" s="47"/>
      <c r="F12" s="45"/>
      <c r="G12" s="45"/>
      <c r="H12" s="46"/>
      <c r="I12" s="33"/>
      <c r="J12" s="43"/>
    </row>
    <row r="13" spans="1:134" hidden="1">
      <c r="A13" s="29" t="s">
        <v>16</v>
      </c>
      <c r="B13" s="35">
        <v>4196557.4000000004</v>
      </c>
      <c r="C13" s="35">
        <v>1838939.81</v>
      </c>
      <c r="D13" s="35">
        <v>-4530672.1500000004</v>
      </c>
      <c r="E13" s="35">
        <f>ROUND((((B13+D13)/2)+F11)*(7.77%/12),0)</f>
        <v>-58922</v>
      </c>
      <c r="F13" s="35">
        <f>+F11+B13+D13+E13</f>
        <v>-9325968.0660000034</v>
      </c>
      <c r="G13" s="35">
        <f>SUM(C13)+$C$7+$C$9+$C$11+F13</f>
        <v>-4826167.6060000025</v>
      </c>
      <c r="H13" s="27">
        <v>7.7600000000000002E-2</v>
      </c>
      <c r="I13" s="33"/>
      <c r="J13" s="35">
        <f>+J11+E13</f>
        <v>2228921</v>
      </c>
    </row>
    <row r="14" spans="1:134" hidden="1">
      <c r="A14" s="30" t="s">
        <v>17</v>
      </c>
      <c r="B14" s="35">
        <v>7301899.2400000002</v>
      </c>
      <c r="C14" s="35">
        <v>-719294.72</v>
      </c>
      <c r="D14" s="35">
        <v>-3936377.67</v>
      </c>
      <c r="E14" s="35">
        <f t="shared" ref="E14:E23" si="0">ROUND((((B14+D14)/2)+F13)*(7.77%/12),0)</f>
        <v>-49490</v>
      </c>
      <c r="F14" s="35">
        <f t="shared" ref="F14:F24" si="1">+F13+B14+D14+E14</f>
        <v>-6009936.4960000031</v>
      </c>
      <c r="G14" s="35">
        <f>SUM(C13:C14)+$C$7+$C$9+$C$11+F14</f>
        <v>-2229430.7560000024</v>
      </c>
      <c r="H14" s="27">
        <v>7.7600000000000002E-2</v>
      </c>
      <c r="I14" s="33"/>
      <c r="J14" s="35">
        <f t="shared" ref="J14:J19" si="2">+J13+E14</f>
        <v>2179431</v>
      </c>
    </row>
    <row r="15" spans="1:134" hidden="1">
      <c r="A15" s="31" t="s">
        <v>18</v>
      </c>
      <c r="B15" s="35">
        <v>9513000.9499999993</v>
      </c>
      <c r="C15" s="35">
        <v>107508.32</v>
      </c>
      <c r="D15" s="35">
        <v>-4826683.72</v>
      </c>
      <c r="E15" s="35">
        <f t="shared" si="0"/>
        <v>-23742</v>
      </c>
      <c r="F15" s="35">
        <f t="shared" si="1"/>
        <v>-1347361.2660000036</v>
      </c>
      <c r="G15" s="35">
        <f>SUM(C13:C15)+$C$7+$C$9+$C$11+F15</f>
        <v>2540652.7939999965</v>
      </c>
      <c r="H15" s="27">
        <v>7.7600000000000002E-2</v>
      </c>
      <c r="I15" s="32"/>
      <c r="J15" s="35">
        <f t="shared" si="2"/>
        <v>2155689</v>
      </c>
    </row>
    <row r="16" spans="1:134" hidden="1">
      <c r="A16" s="29" t="s">
        <v>19</v>
      </c>
      <c r="B16" s="35">
        <v>8332524.4299999997</v>
      </c>
      <c r="C16" s="35">
        <v>-364021.59</v>
      </c>
      <c r="D16" s="35">
        <v>-4024107.75</v>
      </c>
      <c r="E16" s="35">
        <f t="shared" si="0"/>
        <v>5224</v>
      </c>
      <c r="F16" s="35">
        <f t="shared" si="1"/>
        <v>2966279.4139999961</v>
      </c>
      <c r="G16" s="35">
        <f>SUM(C13:C16)+$C$7+$C$9+$C$11+F16</f>
        <v>6490271.8839999959</v>
      </c>
      <c r="H16" s="27">
        <v>7.7600000000000002E-2</v>
      </c>
      <c r="I16" s="33"/>
      <c r="J16" s="35">
        <f t="shared" si="2"/>
        <v>2160913</v>
      </c>
    </row>
    <row r="17" spans="1:10" hidden="1">
      <c r="A17" s="30" t="s">
        <v>20</v>
      </c>
      <c r="B17" s="35">
        <v>5867664.04</v>
      </c>
      <c r="C17" s="35">
        <v>86444.05</v>
      </c>
      <c r="D17" s="35">
        <v>-4206797.6900000004</v>
      </c>
      <c r="E17" s="35">
        <f t="shared" si="0"/>
        <v>24584</v>
      </c>
      <c r="F17" s="35">
        <f t="shared" si="1"/>
        <v>4651729.7639999958</v>
      </c>
      <c r="G17" s="35">
        <f>SUM(C13:C17)+$C$7+$C$9+$C$11+F17</f>
        <v>8262166.2839999963</v>
      </c>
      <c r="H17" s="27">
        <v>7.7600000000000002E-2</v>
      </c>
      <c r="I17" s="33"/>
      <c r="J17" s="35">
        <f t="shared" si="2"/>
        <v>2185497</v>
      </c>
    </row>
    <row r="18" spans="1:10" hidden="1">
      <c r="A18" s="30" t="s">
        <v>21</v>
      </c>
      <c r="B18" s="35">
        <v>9395350.6799999997</v>
      </c>
      <c r="C18" s="35">
        <v>-224949.94</v>
      </c>
      <c r="D18" s="35">
        <v>-5230146.9000000004</v>
      </c>
      <c r="E18" s="35">
        <f t="shared" si="0"/>
        <v>43605</v>
      </c>
      <c r="F18" s="35">
        <f t="shared" si="1"/>
        <v>8860538.5439999942</v>
      </c>
      <c r="G18" s="35">
        <f>SUM(C13:C18)+$C$7+$C$9+$C$11+F18</f>
        <v>12246025.123999994</v>
      </c>
      <c r="H18" s="27">
        <v>7.7600000000000002E-2</v>
      </c>
      <c r="I18" s="33"/>
      <c r="J18" s="35">
        <f t="shared" si="2"/>
        <v>2229102</v>
      </c>
    </row>
    <row r="19" spans="1:10" hidden="1">
      <c r="A19" s="29" t="s">
        <v>22</v>
      </c>
      <c r="B19" s="35">
        <v>6005272.6799999997</v>
      </c>
      <c r="C19" s="35">
        <v>707312.72</v>
      </c>
      <c r="D19" s="35">
        <v>-6293445.3200000003</v>
      </c>
      <c r="E19" s="35">
        <f t="shared" si="0"/>
        <v>56439</v>
      </c>
      <c r="F19" s="35">
        <f t="shared" si="1"/>
        <v>8628804.9039999936</v>
      </c>
      <c r="G19" s="35">
        <f>SUM(C13:C19)+$C$7+$C$9+$C$11+F19</f>
        <v>12721604.203999994</v>
      </c>
      <c r="H19" s="27">
        <v>7.7600000000000002E-2</v>
      </c>
      <c r="I19" s="33"/>
      <c r="J19" s="35">
        <f t="shared" si="2"/>
        <v>2285541</v>
      </c>
    </row>
    <row r="20" spans="1:10" hidden="1">
      <c r="A20" s="29" t="s">
        <v>23</v>
      </c>
      <c r="B20" s="35">
        <v>5839647.3200000003</v>
      </c>
      <c r="C20" s="35">
        <v>1966034.46</v>
      </c>
      <c r="D20" s="35">
        <v>-6733047.1699999999</v>
      </c>
      <c r="E20" s="35">
        <f t="shared" si="0"/>
        <v>52979</v>
      </c>
      <c r="F20" s="35">
        <f t="shared" si="1"/>
        <v>7788384.053999994</v>
      </c>
      <c r="G20" s="35">
        <f>SUM(C13:C20)+$C$7+$C$9+$C$11+F20</f>
        <v>13847217.813999996</v>
      </c>
      <c r="H20" s="27">
        <v>7.7600000000000002E-2</v>
      </c>
      <c r="I20" s="33"/>
      <c r="J20" s="35">
        <f>+J19+E20</f>
        <v>2338520</v>
      </c>
    </row>
    <row r="21" spans="1:10" hidden="1">
      <c r="A21" s="29" t="s">
        <v>24</v>
      </c>
      <c r="B21" s="35">
        <v>4767034.04</v>
      </c>
      <c r="C21" s="35">
        <v>334494.95</v>
      </c>
      <c r="D21" s="35">
        <v>-5742216.3899999997</v>
      </c>
      <c r="E21" s="35">
        <f t="shared" si="0"/>
        <v>47273</v>
      </c>
      <c r="F21" s="35">
        <f t="shared" si="1"/>
        <v>6860474.7039999934</v>
      </c>
      <c r="G21" s="35">
        <f>SUM(C13:C21)+$C$7+$C$9+$C$11+F21</f>
        <v>13253803.413999993</v>
      </c>
      <c r="H21" s="27">
        <v>7.7600000000000002E-2</v>
      </c>
      <c r="I21" s="33"/>
      <c r="J21" s="35">
        <f>+J20+E21</f>
        <v>2385793</v>
      </c>
    </row>
    <row r="22" spans="1:10" hidden="1">
      <c r="A22" s="29" t="s">
        <v>25</v>
      </c>
      <c r="B22" s="35">
        <v>5954205.6799999997</v>
      </c>
      <c r="C22" s="35">
        <v>-1449084.99</v>
      </c>
      <c r="D22" s="35">
        <v>-4844019.55</v>
      </c>
      <c r="E22" s="35">
        <f t="shared" si="0"/>
        <v>48016</v>
      </c>
      <c r="F22" s="35">
        <f t="shared" si="1"/>
        <v>8018676.8339999923</v>
      </c>
      <c r="G22" s="35">
        <f>SUM(C13:C22)+$C$7+$C$9+$C$11+F22</f>
        <v>12962920.553999994</v>
      </c>
      <c r="H22" s="27">
        <v>7.7600000000000002E-2</v>
      </c>
      <c r="I22" s="33"/>
      <c r="J22" s="35">
        <f>+J21+E22</f>
        <v>2433809</v>
      </c>
    </row>
    <row r="23" spans="1:10" hidden="1">
      <c r="A23" s="29" t="s">
        <v>26</v>
      </c>
      <c r="B23" s="35">
        <v>8026170.0499999998</v>
      </c>
      <c r="C23" s="35">
        <v>-832510.46</v>
      </c>
      <c r="D23" s="35">
        <v>-4253145.43</v>
      </c>
      <c r="E23" s="35">
        <f t="shared" si="0"/>
        <v>64136</v>
      </c>
      <c r="F23" s="35">
        <f t="shared" si="1"/>
        <v>11855837.453999992</v>
      </c>
      <c r="G23" s="35">
        <f>SUM(C13:C23)+$C$7+$C$9+$C$11+F23</f>
        <v>15967570.713999994</v>
      </c>
      <c r="H23" s="27">
        <v>7.7600000000000002E-2</v>
      </c>
      <c r="I23" s="33"/>
      <c r="J23" s="35">
        <f>+J22+E23</f>
        <v>2497945</v>
      </c>
    </row>
    <row r="24" spans="1:10" hidden="1">
      <c r="A24" s="29" t="s">
        <v>27</v>
      </c>
      <c r="B24" s="35">
        <v>6528307.1600000001</v>
      </c>
      <c r="C24" s="35">
        <v>572303.66</v>
      </c>
      <c r="D24" s="35">
        <v>-4736239.2699999996</v>
      </c>
      <c r="E24" s="35">
        <v>82192</v>
      </c>
      <c r="F24" s="35">
        <f t="shared" si="1"/>
        <v>13730097.343999993</v>
      </c>
      <c r="G24" s="35">
        <f>SUM(C13:C24)+$C$7+$C$9+$C$11+F24</f>
        <v>18414134.263999995</v>
      </c>
      <c r="H24" s="27">
        <v>7.7600000000000002E-2</v>
      </c>
      <c r="I24" s="33"/>
      <c r="J24" s="35">
        <f>+J23+E24</f>
        <v>2580137</v>
      </c>
    </row>
    <row r="25" spans="1:10">
      <c r="A25" s="26" t="s">
        <v>31</v>
      </c>
      <c r="B25" s="39">
        <f>SUM(B13:B24)</f>
        <v>81727633.670000002</v>
      </c>
      <c r="C25" s="39">
        <f>SUM(C13:C24)</f>
        <v>2023176.2700000005</v>
      </c>
      <c r="D25" s="39">
        <f>SUM(D13:D24)</f>
        <v>-59356899.010000005</v>
      </c>
      <c r="E25" s="44">
        <f>SUM(E13:E24)</f>
        <v>292294</v>
      </c>
      <c r="F25" s="45">
        <v>13730097.343999993</v>
      </c>
      <c r="G25" s="45">
        <v>18414135.263999995</v>
      </c>
      <c r="H25" s="54">
        <v>7.7600000000000002E-2</v>
      </c>
      <c r="I25" s="33"/>
      <c r="J25" s="43">
        <v>2580137</v>
      </c>
    </row>
    <row r="26" spans="1:10" ht="5.25" customHeight="1">
      <c r="B26" s="42"/>
      <c r="C26" s="42"/>
      <c r="D26" s="42"/>
      <c r="E26" s="48"/>
      <c r="F26" s="48"/>
      <c r="G26" s="48"/>
      <c r="H26" s="49"/>
      <c r="I26" s="49"/>
      <c r="J26" s="48"/>
    </row>
    <row r="27" spans="1:10">
      <c r="A27" s="26" t="s">
        <v>35</v>
      </c>
      <c r="B27" s="39">
        <v>62241103.639999993</v>
      </c>
      <c r="C27" s="39">
        <v>822220.69999999984</v>
      </c>
      <c r="D27" s="39">
        <v>-68050713.420000002</v>
      </c>
      <c r="E27" s="44">
        <v>843168</v>
      </c>
      <c r="F27" s="45">
        <v>8763655.5639999919</v>
      </c>
      <c r="G27" s="45">
        <v>14269914.183999993</v>
      </c>
      <c r="H27" s="27">
        <v>7.3200000000000001E-2</v>
      </c>
      <c r="I27" s="33"/>
      <c r="J27" s="43">
        <v>3423305</v>
      </c>
    </row>
    <row r="28" spans="1:10" ht="7.5" customHeight="1">
      <c r="B28" s="42"/>
      <c r="C28" s="42"/>
      <c r="D28" s="42"/>
      <c r="E28" s="48"/>
      <c r="F28" s="48"/>
      <c r="G28" s="48"/>
      <c r="H28" s="49"/>
      <c r="I28" s="49"/>
      <c r="J28" s="48"/>
    </row>
    <row r="29" spans="1:10" hidden="1">
      <c r="A29" s="29" t="s">
        <v>16</v>
      </c>
      <c r="B29" s="35">
        <v>3957447.2</v>
      </c>
      <c r="C29" s="35">
        <v>-640324.02</v>
      </c>
      <c r="D29" s="35">
        <v>-6219136.7800000003</v>
      </c>
      <c r="E29" s="35">
        <f>ROUND((((B29+D29)/2)+F27)*(7.74%/12),0)</f>
        <v>49232</v>
      </c>
      <c r="F29" s="35">
        <f>+F27+B29+D29+E29</f>
        <v>6551197.9839999909</v>
      </c>
      <c r="G29" s="35">
        <f>SUM(C29)+$C$7+$C$9+$C$11+F29+C27+C25</f>
        <v>11417131.583999991</v>
      </c>
      <c r="H29" s="27">
        <v>7.7399999999999997E-2</v>
      </c>
      <c r="I29" s="27">
        <v>7.7600000000000002E-2</v>
      </c>
      <c r="J29" s="35">
        <f>+J27+E29</f>
        <v>3472537</v>
      </c>
    </row>
    <row r="30" spans="1:10" hidden="1">
      <c r="A30" s="30" t="s">
        <v>17</v>
      </c>
      <c r="B30" s="35">
        <v>5502164.0700000003</v>
      </c>
      <c r="C30" s="35">
        <v>-97140.5</v>
      </c>
      <c r="D30" s="35">
        <v>-5812722.0199999996</v>
      </c>
      <c r="E30" s="35">
        <f>ROUND((((B30+D30)/2)+F29)*(7.74%/12),0)</f>
        <v>41254</v>
      </c>
      <c r="F30" s="35">
        <f t="shared" ref="F30:F40" si="3">+F29+B30+D30+E30</f>
        <v>6281894.0339999907</v>
      </c>
      <c r="G30" s="35">
        <f>SUM(C29:C30)+$C$7+$C$9+$C$11+F30+C27+C25</f>
        <v>11050687.133999992</v>
      </c>
      <c r="H30" s="27">
        <v>7.7399999999999997E-2</v>
      </c>
      <c r="I30" s="27">
        <v>7.7600000000000002E-2</v>
      </c>
      <c r="J30" s="35">
        <f t="shared" ref="J30:J35" si="4">+J29+E30</f>
        <v>3513791</v>
      </c>
    </row>
    <row r="31" spans="1:10" hidden="1">
      <c r="A31" s="31" t="s">
        <v>18</v>
      </c>
      <c r="B31" s="35">
        <v>4010642.76</v>
      </c>
      <c r="C31" s="35">
        <v>-101375.81</v>
      </c>
      <c r="D31" s="35">
        <v>-5114181.01</v>
      </c>
      <c r="E31" s="35">
        <f>ROUND((((B31+D31)/2)+F30)*(4.45%/12),0)+25</f>
        <v>21274</v>
      </c>
      <c r="F31" s="35">
        <f t="shared" si="3"/>
        <v>5199629.7839999907</v>
      </c>
      <c r="G31" s="35">
        <f>SUM(C29:C31)+$C$7+$C$9+$C$11+F31+C27+C25</f>
        <v>9867047.0739999916</v>
      </c>
      <c r="H31" s="27">
        <v>4.4499999999999998E-2</v>
      </c>
      <c r="I31" s="27">
        <v>7.7600000000000002E-2</v>
      </c>
      <c r="J31" s="35">
        <f t="shared" si="4"/>
        <v>3535065</v>
      </c>
    </row>
    <row r="32" spans="1:10" hidden="1">
      <c r="A32" s="29" t="s">
        <v>19</v>
      </c>
      <c r="B32" s="35">
        <v>3649184.13</v>
      </c>
      <c r="C32" s="35">
        <v>1887278.57</v>
      </c>
      <c r="D32" s="35">
        <v>-5036556.5999999996</v>
      </c>
      <c r="E32" s="35">
        <f t="shared" ref="E32:E40" si="5">ROUND((((B32+D32)/2)+F31)*(4.45%/12),0)</f>
        <v>16710</v>
      </c>
      <c r="F32" s="35">
        <f t="shared" si="3"/>
        <v>3828967.31399999</v>
      </c>
      <c r="G32" s="35">
        <f>SUM(C29:C32)+$C$7+$C$9+$C$11+F32+C27+C25</f>
        <v>10383663.173999991</v>
      </c>
      <c r="H32" s="27">
        <v>4.4499999999999998E-2</v>
      </c>
      <c r="I32" s="27">
        <v>7.7600000000000002E-2</v>
      </c>
      <c r="J32" s="35">
        <f t="shared" si="4"/>
        <v>3551775</v>
      </c>
    </row>
    <row r="33" spans="1:10" hidden="1">
      <c r="A33" s="30" t="s">
        <v>20</v>
      </c>
      <c r="B33" s="35">
        <v>4189551.42</v>
      </c>
      <c r="C33" s="35">
        <v>-1727121.6</v>
      </c>
      <c r="D33" s="35">
        <v>-5313045.41</v>
      </c>
      <c r="E33" s="35">
        <f t="shared" si="5"/>
        <v>12116</v>
      </c>
      <c r="F33" s="35">
        <f t="shared" si="3"/>
        <v>2717589.3239999898</v>
      </c>
      <c r="G33" s="35">
        <f>SUM(C29:C33)+$C$7+$C$9+$C$11+F33+C27+C25</f>
        <v>7545163.5839999914</v>
      </c>
      <c r="H33" s="27">
        <v>4.4499999999999998E-2</v>
      </c>
      <c r="I33" s="27">
        <v>7.7600000000000002E-2</v>
      </c>
      <c r="J33" s="35">
        <f t="shared" si="4"/>
        <v>3563891</v>
      </c>
    </row>
    <row r="34" spans="1:10" hidden="1">
      <c r="A34" s="30" t="s">
        <v>21</v>
      </c>
      <c r="B34" s="35">
        <v>7211523.1900000004</v>
      </c>
      <c r="C34" s="35">
        <v>-962707.25</v>
      </c>
      <c r="D34" s="35">
        <v>-6686874.79</v>
      </c>
      <c r="E34" s="35">
        <f t="shared" si="5"/>
        <v>11051</v>
      </c>
      <c r="F34" s="35">
        <f t="shared" si="3"/>
        <v>3253288.7239999911</v>
      </c>
      <c r="G34" s="35">
        <f>SUM(C29:C34)+$C$7+$C$9+$C$11+F34+C27+C25</f>
        <v>7118155.7339999918</v>
      </c>
      <c r="H34" s="27">
        <v>4.4499999999999998E-2</v>
      </c>
      <c r="I34" s="27">
        <v>7.7600000000000002E-2</v>
      </c>
      <c r="J34" s="35">
        <f t="shared" si="4"/>
        <v>3574942</v>
      </c>
    </row>
    <row r="35" spans="1:10" hidden="1">
      <c r="A35" s="29" t="s">
        <v>22</v>
      </c>
      <c r="B35" s="35">
        <v>3541877.75</v>
      </c>
      <c r="C35" s="35">
        <v>1301932.5900000001</v>
      </c>
      <c r="D35" s="35">
        <v>-8541981.0299999993</v>
      </c>
      <c r="E35" s="35">
        <f t="shared" si="5"/>
        <v>2793</v>
      </c>
      <c r="F35" s="35">
        <f t="shared" si="3"/>
        <v>-1744021.5560000082</v>
      </c>
      <c r="G35" s="35">
        <f>SUM(C29:C35)+$C$7+$C$9+$C$11+F35+C27+C25</f>
        <v>3422778.0439999923</v>
      </c>
      <c r="H35" s="27">
        <v>4.4499999999999998E-2</v>
      </c>
      <c r="I35" s="27">
        <v>7.7600000000000002E-2</v>
      </c>
      <c r="J35" s="35">
        <f t="shared" si="4"/>
        <v>3577735</v>
      </c>
    </row>
    <row r="36" spans="1:10" hidden="1">
      <c r="A36" s="29" t="s">
        <v>23</v>
      </c>
      <c r="B36" s="35">
        <v>5719255.9699999997</v>
      </c>
      <c r="C36" s="35">
        <v>-1630704.05</v>
      </c>
      <c r="D36" s="35">
        <v>-8970590.6500000004</v>
      </c>
      <c r="E36" s="35">
        <f t="shared" si="5"/>
        <v>-12496</v>
      </c>
      <c r="F36" s="35">
        <f t="shared" si="3"/>
        <v>-5007852.2360000089</v>
      </c>
      <c r="G36" s="35">
        <f>SUM(C29:C36)+$C$7+$C$9+$C$11+F36+C27+C25</f>
        <v>-1471756.6860000086</v>
      </c>
      <c r="H36" s="27">
        <v>4.4499999999999998E-2</v>
      </c>
      <c r="I36" s="27">
        <v>7.7600000000000002E-2</v>
      </c>
      <c r="J36" s="35">
        <f>+J35+E36</f>
        <v>3565239</v>
      </c>
    </row>
    <row r="37" spans="1:10" hidden="1">
      <c r="A37" s="29" t="s">
        <v>24</v>
      </c>
      <c r="B37" s="35">
        <v>4877905.8099999996</v>
      </c>
      <c r="C37" s="35">
        <v>1748387.19</v>
      </c>
      <c r="D37" s="35">
        <v>-7603915.2000000002</v>
      </c>
      <c r="E37" s="35">
        <f t="shared" si="5"/>
        <v>-23625</v>
      </c>
      <c r="F37" s="35">
        <f t="shared" si="3"/>
        <v>-7757486.6260000095</v>
      </c>
      <c r="G37" s="35">
        <f>SUM(C29:C37)+$C$7+$C$9+$C$11+F37+C27+C25</f>
        <v>-2473003.8860000093</v>
      </c>
      <c r="H37" s="27">
        <v>4.4499999999999998E-2</v>
      </c>
      <c r="I37" s="27">
        <v>7.7600000000000002E-2</v>
      </c>
      <c r="J37" s="35">
        <f>+J36+E37</f>
        <v>3541614</v>
      </c>
    </row>
    <row r="38" spans="1:10" hidden="1">
      <c r="A38" s="29" t="s">
        <v>25</v>
      </c>
      <c r="B38" s="35">
        <v>5085219.01</v>
      </c>
      <c r="C38" s="35">
        <v>-1078842.01</v>
      </c>
      <c r="D38" s="35">
        <v>-5966674.4800000004</v>
      </c>
      <c r="E38" s="35">
        <f t="shared" si="5"/>
        <v>-30402</v>
      </c>
      <c r="F38" s="35">
        <f t="shared" si="3"/>
        <v>-8669344.0960000101</v>
      </c>
      <c r="G38" s="35">
        <f>SUM(C29:C38)+$C$7+$C$9+$C$11+F38+C27+C25</f>
        <v>-4463703.3660000097</v>
      </c>
      <c r="H38" s="27">
        <v>4.4499999999999998E-2</v>
      </c>
      <c r="I38" s="27">
        <v>7.7600000000000002E-2</v>
      </c>
      <c r="J38" s="35">
        <f>+J37+E38</f>
        <v>3511212</v>
      </c>
    </row>
    <row r="39" spans="1:10" hidden="1">
      <c r="A39" s="29" t="s">
        <v>26</v>
      </c>
      <c r="B39" s="35">
        <v>7231444.2699999996</v>
      </c>
      <c r="C39" s="35">
        <v>-769695.04</v>
      </c>
      <c r="D39" s="35">
        <v>-5240777.22</v>
      </c>
      <c r="E39" s="35">
        <f t="shared" si="5"/>
        <v>-28458</v>
      </c>
      <c r="F39" s="35">
        <f t="shared" si="3"/>
        <v>-6707135.0460000103</v>
      </c>
      <c r="G39" s="35">
        <f>SUM(C29:C39)+$C$7+$C$9+$C$11+F39+C27+C25</f>
        <v>-3271189.3560000099</v>
      </c>
      <c r="H39" s="27">
        <v>4.4499999999999998E-2</v>
      </c>
      <c r="I39" s="27">
        <v>7.7600000000000002E-2</v>
      </c>
      <c r="J39" s="35">
        <f>+J38+E39</f>
        <v>3482754</v>
      </c>
    </row>
    <row r="40" spans="1:10" hidden="1">
      <c r="A40" s="29" t="s">
        <v>27</v>
      </c>
      <c r="B40" s="35">
        <v>5685830.6699999999</v>
      </c>
      <c r="C40" s="35">
        <v>-742557.7</v>
      </c>
      <c r="D40" s="35">
        <v>-6051035.9400000004</v>
      </c>
      <c r="E40" s="35">
        <f t="shared" si="5"/>
        <v>-25549</v>
      </c>
      <c r="F40" s="72">
        <f t="shared" si="3"/>
        <v>-7097889.3160000108</v>
      </c>
      <c r="G40" s="35">
        <f>SUM(C29:C40)+$C$7+$C$9+$C$11+F40+C27+C25</f>
        <v>-4404501.3260000097</v>
      </c>
      <c r="H40" s="27">
        <v>4.4499999999999998E-2</v>
      </c>
      <c r="I40" s="27">
        <v>7.7600000000000002E-2</v>
      </c>
      <c r="J40" s="35">
        <f>+J39+E40</f>
        <v>3457205</v>
      </c>
    </row>
    <row r="41" spans="1:10">
      <c r="A41" s="26" t="s">
        <v>38</v>
      </c>
      <c r="B41" s="39">
        <f>SUM(B29:B40)</f>
        <v>60662046.25</v>
      </c>
      <c r="C41" s="39">
        <f>SUM(C29:C40)</f>
        <v>-2812869.63</v>
      </c>
      <c r="D41" s="39">
        <f>SUM(D29:D40)</f>
        <v>-76557491.13000001</v>
      </c>
      <c r="E41" s="44">
        <f>SUM(E29:E40)</f>
        <v>33900</v>
      </c>
      <c r="F41" s="73">
        <v>-7097889.3160000108</v>
      </c>
      <c r="G41" s="73">
        <v>-4404501.3260000097</v>
      </c>
      <c r="H41" s="27">
        <v>4.4499999999999998E-2</v>
      </c>
      <c r="I41" s="33">
        <v>7.7600000000000002E-2</v>
      </c>
      <c r="J41" s="43">
        <v>3457205</v>
      </c>
    </row>
    <row r="42" spans="1:10" ht="6.75" customHeight="1">
      <c r="A42" s="26"/>
      <c r="B42" s="37"/>
      <c r="C42" s="37"/>
      <c r="D42" s="37"/>
      <c r="E42" s="47"/>
      <c r="F42" s="45"/>
      <c r="G42" s="45"/>
      <c r="H42" s="46"/>
      <c r="I42" s="33"/>
      <c r="J42" s="43"/>
    </row>
    <row r="43" spans="1:10" hidden="1" outlineLevel="1">
      <c r="A43" s="29" t="s">
        <v>16</v>
      </c>
      <c r="B43" s="35">
        <v>2648142.14</v>
      </c>
      <c r="C43" s="35">
        <v>262689.32</v>
      </c>
      <c r="D43" s="35">
        <v>-6073074.8499999996</v>
      </c>
      <c r="E43" s="35">
        <f>ROUND((((B43+D43)/2)+F40)*(10.65%/12),0)</f>
        <v>-78192</v>
      </c>
      <c r="F43" s="35">
        <f>+F40+B43+D43+E43</f>
        <v>-10601014.02600001</v>
      </c>
      <c r="G43" s="35">
        <f>SUM(C43)+$C$7+$C$9+$C$11+F43+$C$41+$C$27+$C$25</f>
        <v>-7644936.7160000084</v>
      </c>
      <c r="H43" s="27">
        <v>0.1065</v>
      </c>
      <c r="I43" s="27">
        <v>7.7600000000000002E-2</v>
      </c>
      <c r="J43" s="35">
        <f>+J40+E43</f>
        <v>3379013</v>
      </c>
    </row>
    <row r="44" spans="1:10" hidden="1" outlineLevel="1">
      <c r="A44" s="30" t="s">
        <v>17</v>
      </c>
      <c r="B44" s="35">
        <v>3754612.25</v>
      </c>
      <c r="C44" s="35">
        <v>348092.95</v>
      </c>
      <c r="D44" s="35">
        <v>-5423643.7199999997</v>
      </c>
      <c r="E44" s="35">
        <f t="shared" ref="E44:E54" si="6">ROUND((((B44+D44)/2)+F43)*(10.65%/12),0)</f>
        <v>-101490</v>
      </c>
      <c r="F44" s="35">
        <f t="shared" ref="F44:F54" si="7">+F43+B44+D44+E44</f>
        <v>-12371535.496000011</v>
      </c>
      <c r="G44" s="35">
        <f>SUM(C43:C44)+$C$7+$C$9+$C$11+F44+$C$41+$C$27+$C$25</f>
        <v>-9067365.2360000126</v>
      </c>
      <c r="H44" s="27">
        <v>0.1065</v>
      </c>
      <c r="I44" s="27">
        <v>7.7600000000000002E-2</v>
      </c>
      <c r="J44" s="35">
        <f t="shared" ref="J44:J49" si="8">+J43+E44</f>
        <v>3277523</v>
      </c>
    </row>
    <row r="45" spans="1:10" hidden="1" outlineLevel="1">
      <c r="A45" s="31" t="s">
        <v>18</v>
      </c>
      <c r="B45" s="35">
        <v>3478015.21</v>
      </c>
      <c r="C45" s="35">
        <v>-117206.13</v>
      </c>
      <c r="D45" s="35">
        <v>-4738882.53</v>
      </c>
      <c r="E45" s="35">
        <f>ROUND((((B45+D45)/2)+F44)*(10.65%/12),0)-66</f>
        <v>-115458</v>
      </c>
      <c r="F45" s="35">
        <f t="shared" si="7"/>
        <v>-13747860.816000011</v>
      </c>
      <c r="G45" s="35">
        <f>SUM(C43:C45)+$C$7+$C$9+$C$11+F45+$C$41+$C$27+$C$25</f>
        <v>-10560896.686000012</v>
      </c>
      <c r="H45" s="27">
        <v>0.1065</v>
      </c>
      <c r="I45" s="27">
        <v>7.7600000000000002E-2</v>
      </c>
      <c r="J45" s="35">
        <f t="shared" si="8"/>
        <v>3162065</v>
      </c>
    </row>
    <row r="46" spans="1:10" hidden="1" outlineLevel="1">
      <c r="A46" s="29" t="s">
        <v>19</v>
      </c>
      <c r="B46" s="35">
        <v>4355254.13</v>
      </c>
      <c r="C46" s="35">
        <v>586847.75</v>
      </c>
      <c r="D46" s="35">
        <v>-4768815.47</v>
      </c>
      <c r="E46" s="35">
        <f t="shared" si="6"/>
        <v>-123847</v>
      </c>
      <c r="F46" s="35">
        <f t="shared" si="7"/>
        <v>-14285269.156000011</v>
      </c>
      <c r="G46" s="35">
        <f>SUM(C43:C46)+$C$7+$C$9+$C$11+F46+$C$41+$C$27+$C$25</f>
        <v>-10511457.276000012</v>
      </c>
      <c r="H46" s="27">
        <v>0.1065</v>
      </c>
      <c r="I46" s="27">
        <v>7.7600000000000002E-2</v>
      </c>
      <c r="J46" s="35">
        <f t="shared" si="8"/>
        <v>3038218</v>
      </c>
    </row>
    <row r="47" spans="1:10" hidden="1" outlineLevel="1">
      <c r="A47" s="30" t="s">
        <v>20</v>
      </c>
      <c r="B47" s="35">
        <v>3686016.71</v>
      </c>
      <c r="C47" s="35">
        <v>-291172.46000000002</v>
      </c>
      <c r="D47" s="35">
        <v>-4697674.28</v>
      </c>
      <c r="E47" s="35">
        <f t="shared" si="6"/>
        <v>-131271</v>
      </c>
      <c r="F47" s="35">
        <f t="shared" si="7"/>
        <v>-15428197.726000011</v>
      </c>
      <c r="G47" s="35">
        <f>SUM(C43:C47)+$C$7+$C$9+$C$11+F47+$C$41+$C$27+$C$25</f>
        <v>-11945558.306000013</v>
      </c>
      <c r="H47" s="27">
        <v>0.1065</v>
      </c>
      <c r="I47" s="27">
        <v>7.7600000000000002E-2</v>
      </c>
      <c r="J47" s="35">
        <f t="shared" si="8"/>
        <v>2906947</v>
      </c>
    </row>
    <row r="48" spans="1:10" hidden="1" outlineLevel="1">
      <c r="A48" s="30" t="s">
        <v>21</v>
      </c>
      <c r="B48" s="35">
        <v>3848077.12</v>
      </c>
      <c r="C48" s="35">
        <v>669594.25</v>
      </c>
      <c r="D48" s="35">
        <v>-6153679.0999999996</v>
      </c>
      <c r="E48" s="35">
        <f t="shared" si="6"/>
        <v>-147156</v>
      </c>
      <c r="F48" s="35">
        <f t="shared" si="7"/>
        <v>-17880955.706000008</v>
      </c>
      <c r="G48" s="35">
        <f>SUM(C43:C48)+$C$7+$C$9+$C$11+F48+$C$41+$C$27+$C$25</f>
        <v>-13728722.03600001</v>
      </c>
      <c r="H48" s="27">
        <v>0.1065</v>
      </c>
      <c r="I48" s="27">
        <v>7.7600000000000002E-2</v>
      </c>
      <c r="J48" s="35">
        <f t="shared" si="8"/>
        <v>2759791</v>
      </c>
    </row>
    <row r="49" spans="1:10" hidden="1" outlineLevel="1">
      <c r="A49" s="29" t="s">
        <v>22</v>
      </c>
      <c r="B49" s="35">
        <v>3924228.51</v>
      </c>
      <c r="C49" s="35">
        <v>1047010.21</v>
      </c>
      <c r="D49" s="35">
        <v>-7926360.2999999998</v>
      </c>
      <c r="E49" s="35">
        <f t="shared" si="6"/>
        <v>-176453</v>
      </c>
      <c r="F49" s="35">
        <f t="shared" si="7"/>
        <v>-22059540.496000007</v>
      </c>
      <c r="G49" s="35">
        <f>SUM(C43:C49)+$C$7+$C$9+$C$11+F49+$C$41+$C$27+$C$25</f>
        <v>-16860296.616000008</v>
      </c>
      <c r="H49" s="27">
        <v>0.1065</v>
      </c>
      <c r="I49" s="27">
        <v>7.7600000000000002E-2</v>
      </c>
      <c r="J49" s="35">
        <f t="shared" si="8"/>
        <v>2583338</v>
      </c>
    </row>
    <row r="50" spans="1:10" hidden="1" outlineLevel="1">
      <c r="A50" s="29" t="s">
        <v>23</v>
      </c>
      <c r="B50" s="35">
        <v>4036552.51</v>
      </c>
      <c r="C50" s="35">
        <v>-195748.57</v>
      </c>
      <c r="D50" s="35">
        <v>-4808276.18</v>
      </c>
      <c r="E50" s="35">
        <f t="shared" si="6"/>
        <v>-199203</v>
      </c>
      <c r="F50" s="35">
        <f t="shared" si="7"/>
        <v>-23030467.166000009</v>
      </c>
      <c r="G50" s="35">
        <f>SUM(C43:C50)+$C$7+$C$9+$C$11+F50+$C$41+$C$27+$C$25</f>
        <v>-18026971.85600001</v>
      </c>
      <c r="H50" s="27">
        <v>0.1065</v>
      </c>
      <c r="I50" s="27">
        <v>7.7600000000000002E-2</v>
      </c>
      <c r="J50" s="35">
        <f>+J49+E50</f>
        <v>2384135</v>
      </c>
    </row>
    <row r="51" spans="1:10" hidden="1" outlineLevel="1">
      <c r="A51" s="29" t="s">
        <v>24</v>
      </c>
      <c r="B51" s="35">
        <v>2972860.29</v>
      </c>
      <c r="C51" s="35">
        <v>924940.05</v>
      </c>
      <c r="D51" s="35">
        <v>9655.39</v>
      </c>
      <c r="E51" s="35">
        <f t="shared" si="6"/>
        <v>-191160</v>
      </c>
      <c r="F51" s="35">
        <f t="shared" si="7"/>
        <v>-20239111.486000009</v>
      </c>
      <c r="G51" s="35">
        <f>SUM(C43:C51)+$C$7+$C$9+$C$11+F51+$C$41+$C$27+$C$25</f>
        <v>-14310676.126000009</v>
      </c>
      <c r="H51" s="27">
        <v>0.1065</v>
      </c>
      <c r="I51" s="27">
        <v>7.7600000000000002E-2</v>
      </c>
      <c r="J51" s="35">
        <f>+J50+E51</f>
        <v>2192975</v>
      </c>
    </row>
    <row r="52" spans="1:10" hidden="1" outlineLevel="1">
      <c r="A52" s="29" t="s">
        <v>25</v>
      </c>
      <c r="B52" s="35">
        <v>4678937.97</v>
      </c>
      <c r="C52" s="35">
        <v>39551.51</v>
      </c>
      <c r="D52" s="35">
        <v>-22877.3</v>
      </c>
      <c r="E52" s="35">
        <f>ROUND((((B52+D52)/2)+F51)*(10.65%/12),0)+64</f>
        <v>-158897</v>
      </c>
      <c r="F52" s="35">
        <f t="shared" si="7"/>
        <v>-15741947.816000011</v>
      </c>
      <c r="G52" s="35">
        <f>SUM(C43:C52)+$C$7+$C$9+$C$11+F52+$C$41+$C$27+$C$25</f>
        <v>-9773960.9460000098</v>
      </c>
      <c r="H52" s="27">
        <v>0.1065</v>
      </c>
      <c r="I52" s="27">
        <v>7.7600000000000002E-2</v>
      </c>
      <c r="J52" s="35">
        <f>+J51+E52</f>
        <v>2034078</v>
      </c>
    </row>
    <row r="53" spans="1:10" hidden="1" outlineLevel="1">
      <c r="A53" s="29" t="s">
        <v>26</v>
      </c>
      <c r="B53" s="35">
        <v>6803166.4800000004</v>
      </c>
      <c r="C53" s="35">
        <v>-694191.4</v>
      </c>
      <c r="D53" s="35">
        <v>15742.04</v>
      </c>
      <c r="E53" s="35">
        <f t="shared" si="6"/>
        <v>-109451</v>
      </c>
      <c r="F53" s="35">
        <f t="shared" si="7"/>
        <v>-9032490.2960000113</v>
      </c>
      <c r="G53" s="35">
        <f>SUM(C43:C53)+$C$7+$C$9+$C$11+F53+$C$41+$C$27+$C$25</f>
        <v>-3758694.8260000097</v>
      </c>
      <c r="H53" s="27">
        <v>0.1065</v>
      </c>
      <c r="I53" s="27">
        <v>7.7600000000000002E-2</v>
      </c>
      <c r="J53" s="35">
        <f>+J52+E53</f>
        <v>1924627</v>
      </c>
    </row>
    <row r="54" spans="1:10" hidden="1" outlineLevel="1">
      <c r="A54" s="29" t="s">
        <v>27</v>
      </c>
      <c r="B54" s="35">
        <v>9380581.2799999993</v>
      </c>
      <c r="C54" s="35">
        <v>-1204039.6399999999</v>
      </c>
      <c r="D54" s="35">
        <v>10140.34</v>
      </c>
      <c r="E54" s="35">
        <f t="shared" si="6"/>
        <v>-38492</v>
      </c>
      <c r="F54" s="35">
        <f t="shared" si="7"/>
        <v>319739.32399998809</v>
      </c>
      <c r="G54" s="35">
        <f>SUM(C43:C54)+$C$7+$C$9+$C$11+F54+$C$41+$C$27+$C$25</f>
        <v>4389495.1539999899</v>
      </c>
      <c r="H54" s="27">
        <v>0.1065</v>
      </c>
      <c r="I54" s="27">
        <v>7.7600000000000002E-2</v>
      </c>
      <c r="J54" s="35">
        <f>+J53+E54</f>
        <v>1886135</v>
      </c>
    </row>
    <row r="55" spans="1:10" collapsed="1">
      <c r="A55" s="26" t="s">
        <v>40</v>
      </c>
      <c r="B55" s="39">
        <f>SUM(B43:B54)</f>
        <v>53566444.599999994</v>
      </c>
      <c r="C55" s="39">
        <f>SUM(C43:C54)</f>
        <v>1376367.84</v>
      </c>
      <c r="D55" s="39">
        <f>SUM(D43:D54)</f>
        <v>-44577745.959999993</v>
      </c>
      <c r="E55" s="44">
        <f>SUM(E43:E54)</f>
        <v>-1571070</v>
      </c>
      <c r="F55" s="45">
        <v>319739.32399998809</v>
      </c>
      <c r="G55" s="45">
        <v>4389495.1539999899</v>
      </c>
      <c r="H55" s="27">
        <v>0.1065</v>
      </c>
      <c r="I55" s="33">
        <v>7.7600000000000002E-2</v>
      </c>
      <c r="J55" s="43">
        <v>1886135</v>
      </c>
    </row>
    <row r="56" spans="1:10" ht="6.75" customHeight="1">
      <c r="A56" s="26"/>
      <c r="B56" s="37"/>
      <c r="C56" s="37"/>
      <c r="D56" s="37"/>
      <c r="E56" s="47"/>
      <c r="F56" s="45"/>
      <c r="G56" s="45"/>
      <c r="H56" s="46"/>
      <c r="I56" s="33"/>
      <c r="J56" s="43"/>
    </row>
    <row r="57" spans="1:10" hidden="1" outlineLevel="1">
      <c r="A57" s="29" t="s">
        <v>16</v>
      </c>
      <c r="B57" s="35">
        <v>3568394.81</v>
      </c>
      <c r="C57" s="35">
        <v>522545.97</v>
      </c>
      <c r="D57" s="35">
        <v>-2527091.69</v>
      </c>
      <c r="E57" s="35">
        <f>ROUND((((B57+D57)/2)+F54)*(9.21%/12),0)</f>
        <v>6450</v>
      </c>
      <c r="F57" s="35">
        <f>+F54+B57+D57+E57</f>
        <v>1367492.443999988</v>
      </c>
      <c r="G57" s="35">
        <f>SUM(C57)+$C$7+$C$9+$C$11+F57+$C$41+$C$27+$C$25+$C$55</f>
        <v>5959794.2439999878</v>
      </c>
      <c r="H57" s="74">
        <v>9.2100000000000001E-2</v>
      </c>
      <c r="I57" s="74">
        <v>7.7600000000000002E-2</v>
      </c>
      <c r="J57" s="35">
        <f>+J54+E57</f>
        <v>1892585</v>
      </c>
    </row>
    <row r="58" spans="1:10" hidden="1" outlineLevel="1">
      <c r="A58" s="30" t="s">
        <v>17</v>
      </c>
      <c r="B58" s="35">
        <v>3374756.23</v>
      </c>
      <c r="C58" s="35">
        <v>-255982.68</v>
      </c>
      <c r="D58" s="35">
        <v>-4648748.13</v>
      </c>
      <c r="E58" s="35">
        <f t="shared" ref="E58:E68" si="9">ROUND((((B58+D58)/2)+F57)*(9.21%/12),0)</f>
        <v>5607</v>
      </c>
      <c r="F58" s="35">
        <f t="shared" ref="F58:F68" si="10">+F57+B58+D58+E58</f>
        <v>99107.543999987654</v>
      </c>
      <c r="G58" s="35">
        <f>SUM(C57:C58)+$C$7+$C$9+$C$11+F58+$C$41+$C$27+$C$25+$C$55</f>
        <v>4435426.6639999878</v>
      </c>
      <c r="H58" s="74">
        <v>9.2100000000000001E-2</v>
      </c>
      <c r="I58" s="74">
        <v>7.7600000000000002E-2</v>
      </c>
      <c r="J58" s="35">
        <f t="shared" ref="J58:J63" si="11">+J57+E58</f>
        <v>1898192</v>
      </c>
    </row>
    <row r="59" spans="1:10" hidden="1" outlineLevel="1">
      <c r="A59" s="31" t="s">
        <v>18</v>
      </c>
      <c r="B59" s="35">
        <v>4020585.46</v>
      </c>
      <c r="C59" s="35">
        <v>-809314.18</v>
      </c>
      <c r="D59" s="35">
        <v>-4833973.84</v>
      </c>
      <c r="E59" s="35">
        <f t="shared" si="9"/>
        <v>-2361</v>
      </c>
      <c r="F59" s="35">
        <f t="shared" si="10"/>
        <v>-716641.83600001223</v>
      </c>
      <c r="G59" s="35">
        <f>SUM(C57:C59)+$C$7+$C$9+$C$11+F59+$C$41+$C$27+$C$25+$C$55</f>
        <v>2810363.1039999882</v>
      </c>
      <c r="H59" s="74">
        <v>9.2100000000000001E-2</v>
      </c>
      <c r="I59" s="74">
        <v>7.7600000000000002E-2</v>
      </c>
      <c r="J59" s="35">
        <f t="shared" si="11"/>
        <v>1895831</v>
      </c>
    </row>
    <row r="60" spans="1:10" hidden="1" outlineLevel="1">
      <c r="A60" s="29" t="s">
        <v>19</v>
      </c>
      <c r="B60" s="35">
        <v>3506710.37</v>
      </c>
      <c r="C60" s="35">
        <v>-239127.86</v>
      </c>
      <c r="D60" s="35">
        <v>-4946238.6399999997</v>
      </c>
      <c r="E60" s="35">
        <f t="shared" si="9"/>
        <v>-11024</v>
      </c>
      <c r="F60" s="35">
        <f t="shared" si="10"/>
        <v>-2167194.1060000118</v>
      </c>
      <c r="G60" s="35">
        <f>SUM(C57:C60)+$C$7+$C$9+$C$11+F60+$C$41+$C$27+$C$25+$C$55</f>
        <v>1120682.9739999885</v>
      </c>
      <c r="H60" s="74">
        <v>9.2100000000000001E-2</v>
      </c>
      <c r="I60" s="74">
        <v>7.7600000000000002E-2</v>
      </c>
      <c r="J60" s="35">
        <f t="shared" si="11"/>
        <v>1884807</v>
      </c>
    </row>
    <row r="61" spans="1:10" hidden="1" outlineLevel="1">
      <c r="A61" s="30" t="s">
        <v>20</v>
      </c>
      <c r="B61" s="35">
        <v>3627311.16</v>
      </c>
      <c r="C61" s="35">
        <v>581877.64</v>
      </c>
      <c r="D61" s="35">
        <v>-4830193.3499999996</v>
      </c>
      <c r="E61" s="35">
        <f t="shared" si="9"/>
        <v>-21249</v>
      </c>
      <c r="F61" s="35">
        <f t="shared" si="10"/>
        <v>-3391325.2960000113</v>
      </c>
      <c r="G61" s="35">
        <f>SUM(C57:C61)+$C$7+$C$9+$C$11+F61+$C$41+$C$27+$C$25+$C$55</f>
        <v>478429.42399998964</v>
      </c>
      <c r="H61" s="74">
        <v>9.2100000000000001E-2</v>
      </c>
      <c r="I61" s="74">
        <v>7.7600000000000002E-2</v>
      </c>
      <c r="J61" s="35">
        <f t="shared" si="11"/>
        <v>1863558</v>
      </c>
    </row>
    <row r="62" spans="1:10" hidden="1" outlineLevel="1">
      <c r="A62" s="30" t="s">
        <v>21</v>
      </c>
      <c r="B62" s="35">
        <v>4220628.59</v>
      </c>
      <c r="C62" s="35">
        <v>699578.25</v>
      </c>
      <c r="D62" s="35">
        <v>-6141276.1500000004</v>
      </c>
      <c r="E62" s="35">
        <f t="shared" si="9"/>
        <v>-33399</v>
      </c>
      <c r="F62" s="35">
        <f t="shared" si="10"/>
        <v>-5345371.8560000118</v>
      </c>
      <c r="G62" s="35">
        <f>SUM(C57:C62)+$C$7+$C$9+$C$11+F62+$C$41+$C$27+$C$25+$C$55</f>
        <v>-776038.88600001135</v>
      </c>
      <c r="H62" s="74">
        <v>9.2100000000000001E-2</v>
      </c>
      <c r="I62" s="74">
        <v>7.7600000000000002E-2</v>
      </c>
      <c r="J62" s="35">
        <f t="shared" si="11"/>
        <v>1830159</v>
      </c>
    </row>
    <row r="63" spans="1:10" hidden="1" outlineLevel="1">
      <c r="A63" s="29" t="s">
        <v>22</v>
      </c>
      <c r="B63" s="35">
        <v>5022884.8600000003</v>
      </c>
      <c r="C63" s="35">
        <v>384296.86</v>
      </c>
      <c r="D63" s="35">
        <v>-7999386.8399999999</v>
      </c>
      <c r="E63" s="35">
        <f t="shared" si="9"/>
        <v>-52448</v>
      </c>
      <c r="F63" s="35">
        <f t="shared" si="10"/>
        <v>-8374321.8360000113</v>
      </c>
      <c r="G63" s="35">
        <f>SUM(C57:C63)+$C$7+$C$9+$C$11+F63+$C$41+$C$27+$C$25+$C$55</f>
        <v>-3420692.0060000112</v>
      </c>
      <c r="H63" s="74">
        <v>9.2100000000000001E-2</v>
      </c>
      <c r="I63" s="74">
        <v>7.7600000000000002E-2</v>
      </c>
      <c r="J63" s="35">
        <f t="shared" si="11"/>
        <v>1777711</v>
      </c>
    </row>
    <row r="64" spans="1:10" hidden="1" outlineLevel="1">
      <c r="A64" s="29" t="s">
        <v>23</v>
      </c>
      <c r="B64" s="35">
        <v>4164509.71</v>
      </c>
      <c r="C64" s="35">
        <v>868008.08</v>
      </c>
      <c r="D64" s="35">
        <v>-8327453.8099999996</v>
      </c>
      <c r="E64" s="35">
        <f t="shared" si="9"/>
        <v>-80248</v>
      </c>
      <c r="F64" s="35">
        <f t="shared" si="10"/>
        <v>-12617513.936000012</v>
      </c>
      <c r="G64" s="35">
        <f>SUM(C57:C64)+$C$7+$C$9+$C$11+F64+$C$41+$C$27+$C$25+$C$55</f>
        <v>-6795876.0260000108</v>
      </c>
      <c r="H64" s="74">
        <v>9.2100000000000001E-2</v>
      </c>
      <c r="I64" s="74">
        <v>7.7600000000000002E-2</v>
      </c>
      <c r="J64" s="35">
        <f>+J63+E64</f>
        <v>1697463</v>
      </c>
    </row>
    <row r="65" spans="1:14" hidden="1" outlineLevel="1">
      <c r="A65" s="29" t="s">
        <v>24</v>
      </c>
      <c r="B65" s="35">
        <v>2671925.14</v>
      </c>
      <c r="C65" s="35">
        <v>454899.97</v>
      </c>
      <c r="D65" s="35">
        <v>-7382830.54</v>
      </c>
      <c r="E65" s="35">
        <f>ROUND((((B65+D65)/2)+F64)*(9.21%/12),0)</f>
        <v>-114918</v>
      </c>
      <c r="F65" s="35">
        <f t="shared" si="10"/>
        <v>-17443337.33600001</v>
      </c>
      <c r="G65" s="35">
        <f>SUM(C57:C65)+$C$7+$C$9+$C$11+F65+$C$41+$C$27+$C$25+$C$55</f>
        <v>-11166799.456000011</v>
      </c>
      <c r="H65" s="74">
        <v>9.2100000000000001E-2</v>
      </c>
      <c r="I65" s="74">
        <v>7.7600000000000002E-2</v>
      </c>
      <c r="J65" s="35">
        <f>+J64+E65</f>
        <v>1582545</v>
      </c>
    </row>
    <row r="66" spans="1:14" hidden="1" outlineLevel="1">
      <c r="A66" s="29" t="s">
        <v>25</v>
      </c>
      <c r="B66" s="35">
        <v>4757937.92</v>
      </c>
      <c r="C66" s="35">
        <v>-305046.5700000003</v>
      </c>
      <c r="D66" s="35">
        <v>-5424165.1100000003</v>
      </c>
      <c r="E66" s="35">
        <f t="shared" si="9"/>
        <v>-136434</v>
      </c>
      <c r="F66" s="35">
        <f t="shared" si="10"/>
        <v>-18245998.526000012</v>
      </c>
      <c r="G66" s="35">
        <f>SUM(C57:C66)+$C$7+$C$9+$C$11+F66+$C$41+$C$27+$C$25+$C$55</f>
        <v>-12274507.216000013</v>
      </c>
      <c r="H66" s="74">
        <v>9.2100000000000001E-2</v>
      </c>
      <c r="I66" s="74">
        <v>7.7600000000000002E-2</v>
      </c>
      <c r="J66" s="35">
        <f>+J65+E66</f>
        <v>1446111</v>
      </c>
    </row>
    <row r="67" spans="1:14" hidden="1" outlineLevel="1">
      <c r="A67" s="29" t="s">
        <v>26</v>
      </c>
      <c r="B67" s="35">
        <v>6769886.1299999999</v>
      </c>
      <c r="C67" s="35">
        <v>-2282310.4199999995</v>
      </c>
      <c r="D67" s="35">
        <v>-4975604.2300000004</v>
      </c>
      <c r="E67" s="35">
        <f t="shared" si="9"/>
        <v>-133152</v>
      </c>
      <c r="F67" s="35">
        <f t="shared" si="10"/>
        <v>-16584868.626000013</v>
      </c>
      <c r="G67" s="35">
        <f>SUM(C57:C67)+$C$7+$C$9+$C$11+F67+$C$41+$C$27+$C$25+$C$55</f>
        <v>-12895687.736000013</v>
      </c>
      <c r="H67" s="74">
        <v>9.2100000000000001E-2</v>
      </c>
      <c r="I67" s="74">
        <v>7.7600000000000002E-2</v>
      </c>
      <c r="J67" s="35">
        <f>+J66+E67</f>
        <v>1312959</v>
      </c>
    </row>
    <row r="68" spans="1:14" hidden="1" outlineLevel="1">
      <c r="A68" s="29" t="s">
        <v>27</v>
      </c>
      <c r="B68" s="35">
        <v>5518134.2599999998</v>
      </c>
      <c r="C68" s="35">
        <v>134804.7799999998</v>
      </c>
      <c r="D68" s="35">
        <v>-5686626.3500000006</v>
      </c>
      <c r="E68" s="35">
        <f t="shared" si="9"/>
        <v>-127935</v>
      </c>
      <c r="F68" s="35">
        <f t="shared" si="10"/>
        <v>-16881295.716000013</v>
      </c>
      <c r="G68" s="35">
        <f>SUM(C57:C68)+$C$7+$C$9+$C$11+F68+$C$41+$C$27+$C$25+$C$55</f>
        <v>-13057310.046000015</v>
      </c>
      <c r="H68" s="74">
        <v>9.2100000000000001E-2</v>
      </c>
      <c r="I68" s="74">
        <v>7.7600000000000002E-2</v>
      </c>
      <c r="J68" s="35">
        <f>+J67+E68</f>
        <v>1185024</v>
      </c>
    </row>
    <row r="69" spans="1:14" collapsed="1">
      <c r="A69" s="26" t="s">
        <v>43</v>
      </c>
      <c r="B69" s="39">
        <f>SUM(B57:B68)</f>
        <v>51223664.640000001</v>
      </c>
      <c r="C69" s="39">
        <f>SUM(C57:C68)</f>
        <v>-245770.16000000015</v>
      </c>
      <c r="D69" s="39">
        <f>SUM(D57:D68)</f>
        <v>-67723588.679999992</v>
      </c>
      <c r="E69" s="44">
        <f>SUM(E57:E68)</f>
        <v>-701111</v>
      </c>
      <c r="F69" s="45">
        <v>-16881295.716000013</v>
      </c>
      <c r="G69" s="45">
        <v>-13057310.046000015</v>
      </c>
      <c r="H69" s="99">
        <v>9.2100000000000001E-2</v>
      </c>
      <c r="I69" s="33">
        <v>7.7600000000000002E-2</v>
      </c>
      <c r="J69" s="43">
        <v>1185024</v>
      </c>
    </row>
    <row r="70" spans="1:14">
      <c r="A70" s="26"/>
      <c r="B70" s="37"/>
      <c r="C70" s="37"/>
      <c r="D70" s="37"/>
      <c r="E70" s="47"/>
      <c r="F70" s="45"/>
      <c r="G70" s="45"/>
      <c r="H70" s="46"/>
      <c r="I70" s="33"/>
      <c r="J70" s="43"/>
    </row>
    <row r="71" spans="1:14">
      <c r="A71" s="29" t="s">
        <v>16</v>
      </c>
      <c r="B71" s="35">
        <v>2306948.2999999998</v>
      </c>
      <c r="C71" s="35">
        <v>409558.16000000044</v>
      </c>
      <c r="D71" s="35">
        <v>-5541819.3799999999</v>
      </c>
      <c r="E71" s="35">
        <f>ROUND((((B71+D71)/2)+F68)*(9.21%/12),0)</f>
        <v>-141978</v>
      </c>
      <c r="F71" s="35">
        <f>+F68+B71+D71+E71</f>
        <v>-20258144.796000011</v>
      </c>
      <c r="G71" s="35">
        <f>SUM(C71)+$C$7+$C$9+$C$11+F71+$C$41+$C$27+$C$25+$C$55+$C$69</f>
        <v>-16024600.966000009</v>
      </c>
      <c r="H71" s="74">
        <v>9.2100000000000001E-2</v>
      </c>
      <c r="I71" s="74">
        <v>7.7600000000000002E-2</v>
      </c>
      <c r="J71" s="35">
        <f>+J68+E71</f>
        <v>1043046</v>
      </c>
    </row>
    <row r="72" spans="1:14">
      <c r="A72" s="30" t="s">
        <v>17</v>
      </c>
      <c r="B72" s="35">
        <v>3129923.58</v>
      </c>
      <c r="C72" s="35">
        <v>-851190.91000000015</v>
      </c>
      <c r="D72" s="35">
        <v>8834474.0099999998</v>
      </c>
      <c r="E72" s="35">
        <f t="shared" ref="E72:E82" si="12">ROUND((((B72+D72)/2)+F71)*(9.21%/12),0)</f>
        <v>-109568</v>
      </c>
      <c r="F72" s="35">
        <f t="shared" ref="F72:F82" si="13">+F71+B72+D72+E72</f>
        <v>-8403315.2060000133</v>
      </c>
      <c r="G72" s="35">
        <f>SUM(C71:C72)+$C$7+$C$9+$C$11+F72+$C$41+$C$27+$C$25+$C$55+$C$69</f>
        <v>-5020962.2860000115</v>
      </c>
      <c r="H72" s="74">
        <v>9.2100000000000001E-2</v>
      </c>
      <c r="I72" s="74">
        <v>7.7600000000000002E-2</v>
      </c>
      <c r="J72" s="35">
        <f t="shared" ref="J72:J77" si="14">+J71+E72</f>
        <v>933478</v>
      </c>
    </row>
    <row r="73" spans="1:14">
      <c r="A73" s="31" t="s">
        <v>18</v>
      </c>
      <c r="B73" s="35">
        <v>3365854.8</v>
      </c>
      <c r="C73" s="35">
        <v>929978.97999999952</v>
      </c>
      <c r="D73" s="35">
        <v>-4918665.0600000005</v>
      </c>
      <c r="E73" s="35">
        <f t="shared" si="12"/>
        <v>-70454</v>
      </c>
      <c r="F73" s="35">
        <f t="shared" si="13"/>
        <v>-10026579.466000013</v>
      </c>
      <c r="G73" s="35">
        <f>SUM(C71:C73)+$C$7+$C$9+$C$11+F73+$C$41+$C$27+$C$25+$C$55+$C$69</f>
        <v>-5714247.5660000136</v>
      </c>
      <c r="H73" s="74">
        <v>9.2100000000000001E-2</v>
      </c>
      <c r="I73" s="74">
        <v>7.7600000000000002E-2</v>
      </c>
      <c r="J73" s="35">
        <f t="shared" si="14"/>
        <v>863024</v>
      </c>
    </row>
    <row r="74" spans="1:14">
      <c r="A74" s="29" t="s">
        <v>19</v>
      </c>
      <c r="B74" s="35">
        <v>4141930.66</v>
      </c>
      <c r="C74" s="35">
        <v>-298684.92999999924</v>
      </c>
      <c r="D74" s="35">
        <v>-4518162.42</v>
      </c>
      <c r="E74" s="35">
        <f t="shared" si="12"/>
        <v>-78398</v>
      </c>
      <c r="F74" s="35">
        <f t="shared" si="13"/>
        <v>-10481209.226000013</v>
      </c>
      <c r="G74" s="35">
        <f>SUM(C71:C74)+$C$7+$C$9+$C$11+F74+$C$41+$C$27+$C$25+$C$55+$C$69</f>
        <v>-6467562.2560000112</v>
      </c>
      <c r="H74" s="74">
        <v>9.2100000000000001E-2</v>
      </c>
      <c r="I74" s="74">
        <v>7.7600000000000002E-2</v>
      </c>
      <c r="J74" s="35">
        <f t="shared" si="14"/>
        <v>784626</v>
      </c>
    </row>
    <row r="75" spans="1:14">
      <c r="A75" s="30" t="s">
        <v>20</v>
      </c>
      <c r="B75" s="35">
        <v>3733448.78</v>
      </c>
      <c r="C75" s="35">
        <v>-389336.92000000039</v>
      </c>
      <c r="D75" s="35">
        <v>-4543908.1500000004</v>
      </c>
      <c r="E75" s="35">
        <f t="shared" si="12"/>
        <v>-83553</v>
      </c>
      <c r="F75" s="35">
        <f t="shared" si="13"/>
        <v>-11375221.596000014</v>
      </c>
      <c r="G75" s="35">
        <f>SUM(C71:C75)+$C$7+$C$9+$C$11+F75+$C$41+$C$27+$C$25+$C$55+$C$69</f>
        <v>-7750911.546000015</v>
      </c>
      <c r="H75" s="74">
        <v>9.2100000000000001E-2</v>
      </c>
      <c r="I75" s="74">
        <v>7.7600000000000002E-2</v>
      </c>
      <c r="J75" s="35">
        <f t="shared" si="14"/>
        <v>701073</v>
      </c>
    </row>
    <row r="76" spans="1:14">
      <c r="A76" s="30" t="s">
        <v>21</v>
      </c>
      <c r="B76" s="35">
        <v>3123513.19</v>
      </c>
      <c r="C76" s="35">
        <v>1099367.67</v>
      </c>
      <c r="D76" s="35">
        <v>-5556105.9900000002</v>
      </c>
      <c r="E76" s="92">
        <f t="shared" si="12"/>
        <v>-96640</v>
      </c>
      <c r="F76" s="35">
        <f t="shared" si="13"/>
        <v>-13904454.396000015</v>
      </c>
      <c r="G76" s="35">
        <f>SUM(C71:C76)+$C$7+$C$9+$C$11+F76+$C$41+$C$27+$C$25+$C$55+$C$69</f>
        <v>-9180776.6760000139</v>
      </c>
      <c r="H76" s="74">
        <v>9.2100000000000001E-2</v>
      </c>
      <c r="I76" s="74">
        <v>7.7600000000000002E-2</v>
      </c>
      <c r="J76" s="35">
        <f t="shared" si="14"/>
        <v>604433</v>
      </c>
    </row>
    <row r="77" spans="1:14">
      <c r="A77" s="29" t="s">
        <v>22</v>
      </c>
      <c r="B77" s="35">
        <v>4088790.06</v>
      </c>
      <c r="C77" s="35">
        <v>377099.94000000041</v>
      </c>
      <c r="D77" s="35">
        <v>-6966776.5800000001</v>
      </c>
      <c r="E77" s="92">
        <f t="shared" si="12"/>
        <v>-117761</v>
      </c>
      <c r="F77" s="35">
        <f t="shared" si="13"/>
        <v>-16900201.916000016</v>
      </c>
      <c r="G77" s="35">
        <f>SUM(C71:C77)+$C$7+$C$9+$C$11+F77+$C$41+$C$27+$C$25+$C$55+$C$69</f>
        <v>-11799424.256000016</v>
      </c>
      <c r="H77" s="74">
        <v>9.2100000000000001E-2</v>
      </c>
      <c r="I77" s="74">
        <v>7.7600000000000002E-2</v>
      </c>
      <c r="J77" s="35">
        <f t="shared" si="14"/>
        <v>486672</v>
      </c>
    </row>
    <row r="78" spans="1:14">
      <c r="A78" s="29" t="s">
        <v>23</v>
      </c>
      <c r="B78" s="35">
        <v>4218557.6500000004</v>
      </c>
      <c r="C78" s="35">
        <v>101143.58000000007</v>
      </c>
      <c r="D78" s="35">
        <v>-7886881.9400000004</v>
      </c>
      <c r="E78" s="92">
        <f t="shared" si="12"/>
        <v>-143786</v>
      </c>
      <c r="F78" s="35">
        <f t="shared" si="13"/>
        <v>-20712312.206000015</v>
      </c>
      <c r="G78" s="35">
        <f>SUM(C71:C78)+$C$7+$C$9+$C$11+F78+$C$41+$C$27+$C$25+$C$55+$C$69</f>
        <v>-15510390.966000017</v>
      </c>
      <c r="H78" s="74">
        <v>9.2100000000000001E-2</v>
      </c>
      <c r="I78" s="74">
        <v>7.7600000000000002E-2</v>
      </c>
      <c r="J78" s="35">
        <f>+J77+E78</f>
        <v>342886</v>
      </c>
      <c r="N78" s="84"/>
    </row>
    <row r="79" spans="1:14">
      <c r="A79" s="29" t="s">
        <v>24</v>
      </c>
      <c r="B79" s="35">
        <v>5581425.1500000004</v>
      </c>
      <c r="C79" s="35">
        <v>-705971.50999999978</v>
      </c>
      <c r="D79" s="35">
        <v>-7345074.4299999997</v>
      </c>
      <c r="E79" s="92">
        <f t="shared" si="12"/>
        <v>-165735</v>
      </c>
      <c r="F79" s="35">
        <f t="shared" si="13"/>
        <v>-22641696.486000016</v>
      </c>
      <c r="G79" s="35">
        <f>SUM(C71:C79)+$C$7+$C$9+$C$11+F79+$C$41+$C$27+$C$25+$C$55+$C$69</f>
        <v>-18145746.756000016</v>
      </c>
      <c r="H79" s="74">
        <v>9.2100000000000001E-2</v>
      </c>
      <c r="I79" s="74">
        <v>7.7600000000000002E-2</v>
      </c>
      <c r="J79" s="35">
        <f>+J78+E79</f>
        <v>177151</v>
      </c>
      <c r="N79" s="84"/>
    </row>
    <row r="80" spans="1:14">
      <c r="A80" s="29" t="s">
        <v>25</v>
      </c>
      <c r="B80" s="35">
        <v>4156268.84</v>
      </c>
      <c r="C80" s="35">
        <v>757368.8599999994</v>
      </c>
      <c r="D80" s="35">
        <v>-4957659.45</v>
      </c>
      <c r="E80" s="92">
        <f t="shared" si="12"/>
        <v>-176850</v>
      </c>
      <c r="F80" s="35">
        <f t="shared" si="13"/>
        <v>-23619937.096000016</v>
      </c>
      <c r="G80" s="35">
        <f>SUM(C71:C80)+$C$7+$C$9+$C$11+F80+$C$41+$C$27+$C$25+$C$55+$C$69</f>
        <v>-18366618.506000016</v>
      </c>
      <c r="H80" s="74">
        <v>9.2100000000000001E-2</v>
      </c>
      <c r="I80" s="74">
        <v>7.7600000000000002E-2</v>
      </c>
      <c r="J80" s="35">
        <f>+J79+E80</f>
        <v>301</v>
      </c>
    </row>
    <row r="81" spans="1:14">
      <c r="A81" s="29" t="s">
        <v>26</v>
      </c>
      <c r="B81" s="35">
        <v>5012553.68</v>
      </c>
      <c r="C81" s="35">
        <v>360814.52000000048</v>
      </c>
      <c r="D81" s="35">
        <v>-4730750.8000000007</v>
      </c>
      <c r="E81" s="92">
        <f t="shared" si="12"/>
        <v>-180202</v>
      </c>
      <c r="F81" s="35">
        <f t="shared" si="13"/>
        <v>-23518336.216000017</v>
      </c>
      <c r="G81" s="35">
        <f>SUM(C71:C81)+$C$7+$C$9+$C$11+F81+$C$41+$C$27+$C$25+$C$55+$C$69</f>
        <v>-17904203.106000017</v>
      </c>
      <c r="H81" s="74">
        <v>9.2100000000000001E-2</v>
      </c>
      <c r="I81" s="74">
        <v>7.7600000000000002E-2</v>
      </c>
      <c r="J81" s="35">
        <f>+J80+E81</f>
        <v>-179901</v>
      </c>
      <c r="N81" s="83"/>
    </row>
    <row r="82" spans="1:14">
      <c r="A82" s="29" t="s">
        <v>27</v>
      </c>
      <c r="B82" s="35">
        <v>8789581.7300000004</v>
      </c>
      <c r="C82" s="35">
        <v>276491.43999999948</v>
      </c>
      <c r="D82" s="35">
        <v>-5301477.45</v>
      </c>
      <c r="E82" s="92">
        <f t="shared" si="12"/>
        <v>-167118</v>
      </c>
      <c r="F82" s="35">
        <f t="shared" si="13"/>
        <v>-20197349.936000016</v>
      </c>
      <c r="G82" s="35">
        <f>SUM(C71:C82)+$C$7+$C$9+$C$11+F82+$C$41+$C$27+$C$25+$C$55+$C$69</f>
        <v>-14306725.386000015</v>
      </c>
      <c r="H82" s="74">
        <v>9.2100000000000001E-2</v>
      </c>
      <c r="I82" s="74">
        <v>7.7600000000000002E-2</v>
      </c>
      <c r="J82" s="35">
        <f>+J81+E82</f>
        <v>-347019</v>
      </c>
    </row>
    <row r="83" spans="1:14">
      <c r="A83" s="26" t="s">
        <v>54</v>
      </c>
      <c r="B83" s="39">
        <f>SUM(B71:B82)</f>
        <v>51648796.419999987</v>
      </c>
      <c r="C83" s="39">
        <f>SUM(C71:C82)</f>
        <v>2066638.8800000001</v>
      </c>
      <c r="D83" s="39">
        <f>SUM(D71:D82)</f>
        <v>-53432807.640000001</v>
      </c>
      <c r="E83" s="44">
        <f>SUM(E71:E82)</f>
        <v>-1532043</v>
      </c>
      <c r="F83" s="45"/>
      <c r="G83" s="45"/>
      <c r="H83" s="46"/>
      <c r="I83" s="33"/>
      <c r="J83" s="43"/>
    </row>
    <row r="84" spans="1:14">
      <c r="A84" s="26"/>
      <c r="B84" s="37"/>
      <c r="C84" s="37"/>
      <c r="D84" s="37"/>
      <c r="E84" s="47"/>
      <c r="F84" s="45"/>
      <c r="G84" s="45"/>
      <c r="H84" s="46"/>
      <c r="I84" s="33"/>
      <c r="J84" s="43"/>
    </row>
    <row r="85" spans="1:14">
      <c r="A85" s="29" t="s">
        <v>16</v>
      </c>
      <c r="B85" s="35">
        <v>5034217.32</v>
      </c>
      <c r="C85" s="35">
        <v>-416692.41000000015</v>
      </c>
      <c r="D85" s="35">
        <v>-5690939.5200000005</v>
      </c>
      <c r="E85" s="35">
        <f>ROUND((((B85+D85)/2)+F82)*(9.21%/12),0)</f>
        <v>-157535</v>
      </c>
      <c r="F85" s="35">
        <f>+F82+B85+D85+E85</f>
        <v>-21011607.136000015</v>
      </c>
      <c r="G85" s="35">
        <f>SUM(C85)+$C$7+$C$9+$C$11+F85+$C$41+$C$27+$C$25+$C$55+$C$69+$C$83</f>
        <v>-15537674.996000016</v>
      </c>
      <c r="H85" s="74">
        <v>9.2100000000000001E-2</v>
      </c>
      <c r="I85" s="74">
        <v>7.7600000000000002E-2</v>
      </c>
      <c r="J85" s="92">
        <f>+J82+E85</f>
        <v>-504554</v>
      </c>
    </row>
    <row r="86" spans="1:14">
      <c r="A86" s="30" t="s">
        <v>17</v>
      </c>
      <c r="B86" s="35">
        <v>3828585.14</v>
      </c>
      <c r="C86" s="35">
        <v>-1569621.6099999999</v>
      </c>
      <c r="D86" s="35">
        <v>15942709.640000001</v>
      </c>
      <c r="E86" s="35">
        <f t="shared" ref="E86:E96" si="15">ROUND((((B86+D86)/2)+F85)*(9.21%/12),0)</f>
        <v>-85392</v>
      </c>
      <c r="F86" s="35">
        <f t="shared" ref="F86:F96" si="16">+F85+B86+D86+E86</f>
        <v>-1325704.3560000136</v>
      </c>
      <c r="G86" s="35">
        <f>SUM(C85:C86)+$C$7+$C$9+$C$11+F86+$C$41+$C$27+$C$25+$C$55+$C$69+$C$83</f>
        <v>2578606.1739999871</v>
      </c>
      <c r="H86" s="74">
        <v>9.2100000000000001E-2</v>
      </c>
      <c r="I86" s="74">
        <v>7.7600000000000002E-2</v>
      </c>
      <c r="J86" s="35">
        <f t="shared" ref="J86:J91" si="17">+J85+E86</f>
        <v>-589946</v>
      </c>
    </row>
    <row r="87" spans="1:14">
      <c r="A87" s="31" t="s">
        <v>18</v>
      </c>
      <c r="B87" s="35">
        <v>3298930.88</v>
      </c>
      <c r="C87" s="35">
        <v>187719.52000000002</v>
      </c>
      <c r="D87" s="35">
        <v>-4809282.22</v>
      </c>
      <c r="E87" s="35">
        <f t="shared" si="15"/>
        <v>-15971</v>
      </c>
      <c r="F87" s="35">
        <f t="shared" si="16"/>
        <v>-2852026.6960000135</v>
      </c>
      <c r="G87" s="92">
        <f>SUM(C85:C87)+$C$7+$C$9+$C$11+F87+$C$41+$C$27+$C$25+$C$55+$C$69+$C$83</f>
        <v>1240003.3539999863</v>
      </c>
      <c r="H87" s="74">
        <v>9.2100000000000001E-2</v>
      </c>
      <c r="I87" s="74">
        <v>7.7600000000000002E-2</v>
      </c>
      <c r="J87" s="35">
        <f t="shared" si="17"/>
        <v>-605917</v>
      </c>
    </row>
    <row r="88" spans="1:14">
      <c r="A88" s="29" t="s">
        <v>19</v>
      </c>
      <c r="B88" s="35">
        <v>5440667.0499999998</v>
      </c>
      <c r="C88" s="35">
        <v>-1610842.63</v>
      </c>
      <c r="D88" s="35">
        <v>-4311074.2299999995</v>
      </c>
      <c r="E88" s="35">
        <f t="shared" si="15"/>
        <v>-17554</v>
      </c>
      <c r="F88" s="35">
        <f t="shared" si="16"/>
        <v>-1739987.8760000132</v>
      </c>
      <c r="G88" s="35">
        <f>SUM(C85:C88)+$C$7+$C$9+$C$11+F88+$C$41+$C$27+$C$25+$C$55+$C$69+$C$83</f>
        <v>741199.54399998812</v>
      </c>
      <c r="H88" s="74">
        <v>9.2100000000000001E-2</v>
      </c>
      <c r="I88" s="74">
        <v>7.7600000000000002E-2</v>
      </c>
      <c r="J88" s="35">
        <f t="shared" si="17"/>
        <v>-623471</v>
      </c>
    </row>
    <row r="89" spans="1:14">
      <c r="A89" s="30" t="s">
        <v>20</v>
      </c>
      <c r="B89" s="92">
        <v>3582302.7</v>
      </c>
      <c r="C89" s="35">
        <v>-270597.82</v>
      </c>
      <c r="D89" s="35">
        <v>-4703039.7699999996</v>
      </c>
      <c r="E89" s="35">
        <f t="shared" si="15"/>
        <v>-17655</v>
      </c>
      <c r="F89" s="40">
        <f t="shared" si="16"/>
        <v>-2878379.9460000126</v>
      </c>
      <c r="G89" s="35">
        <f>SUM(C85:C89)+$C$7+$C$9+$C$11+F89+$C$41+$C$27+$C$25+$C$55+$C$69+$C$83</f>
        <v>-667790.34600001178</v>
      </c>
      <c r="H89" s="74">
        <v>9.2100000000000001E-2</v>
      </c>
      <c r="I89" s="74">
        <v>7.7600000000000002E-2</v>
      </c>
      <c r="J89" s="35">
        <f t="shared" si="17"/>
        <v>-641126</v>
      </c>
    </row>
    <row r="90" spans="1:14">
      <c r="A90" s="30" t="s">
        <v>21</v>
      </c>
      <c r="B90" s="41">
        <f>+'Projected Expense'!E25</f>
        <v>5026514.75</v>
      </c>
      <c r="C90" s="41"/>
      <c r="D90" s="41">
        <f>+[2]Sheet1!$X$20</f>
        <v>-6078259.2787328456</v>
      </c>
      <c r="E90" s="35">
        <f t="shared" si="15"/>
        <v>-26128</v>
      </c>
      <c r="F90" s="35">
        <f t="shared" si="16"/>
        <v>-3956252.4747328581</v>
      </c>
      <c r="G90" s="35">
        <f>SUM(C85:C90)+$C$7+$C$9+$C$11+F90+$C$41+$C$27+$C$25+$C$55+$C$69+$C$83</f>
        <v>-1745662.8747328573</v>
      </c>
      <c r="H90" s="74">
        <v>9.2100000000000001E-2</v>
      </c>
      <c r="I90" s="74">
        <v>7.7600000000000002E-2</v>
      </c>
      <c r="J90" s="35">
        <f t="shared" si="17"/>
        <v>-667254</v>
      </c>
    </row>
    <row r="91" spans="1:14">
      <c r="A91" s="29" t="s">
        <v>22</v>
      </c>
      <c r="B91" s="41">
        <f>+'Projected Expense'!F25</f>
        <v>5026514.75</v>
      </c>
      <c r="C91" s="41"/>
      <c r="D91" s="41">
        <f>+[2]Sheet1!$Y$20</f>
        <v>-7495465.2254824359</v>
      </c>
      <c r="E91" s="35">
        <f t="shared" si="15"/>
        <v>-39839</v>
      </c>
      <c r="F91" s="35">
        <f t="shared" si="16"/>
        <v>-6465041.950215294</v>
      </c>
      <c r="G91" s="35">
        <f>SUM(C85:C91)+$C$7+$C$9+$C$11+F91+$C$41+$C$27+$C$25+$C$55+$C$69+$C$83</f>
        <v>-4254452.3502152953</v>
      </c>
      <c r="H91" s="74">
        <v>9.2100000000000001E-2</v>
      </c>
      <c r="I91" s="74">
        <v>7.7600000000000002E-2</v>
      </c>
      <c r="J91" s="35">
        <f t="shared" si="17"/>
        <v>-707093</v>
      </c>
    </row>
    <row r="92" spans="1:14">
      <c r="A92" s="29" t="s">
        <v>23</v>
      </c>
      <c r="B92" s="41">
        <f>+'Projected Expense'!G25</f>
        <v>5026514.75</v>
      </c>
      <c r="C92" s="41"/>
      <c r="D92" s="41">
        <f>+[2]Sheet1!$Z$20</f>
        <v>-7080185.7168095373</v>
      </c>
      <c r="E92" s="35">
        <f t="shared" si="15"/>
        <v>-57500</v>
      </c>
      <c r="F92" s="35">
        <f t="shared" si="16"/>
        <v>-8576212.9170248322</v>
      </c>
      <c r="G92" s="35">
        <f>SUM(C85:C92)+$C$7+$C$9+$C$11+F92+$C$41+$C$27+$C$25+$C$55+$C$69+$C$83</f>
        <v>-6365623.3170248335</v>
      </c>
      <c r="H92" s="74">
        <v>9.2100000000000001E-2</v>
      </c>
      <c r="I92" s="74">
        <v>7.7600000000000002E-2</v>
      </c>
      <c r="J92" s="35">
        <f>+J91+E92</f>
        <v>-764593</v>
      </c>
    </row>
    <row r="93" spans="1:14">
      <c r="A93" s="29" t="s">
        <v>24</v>
      </c>
      <c r="B93" s="41">
        <f>+'Projected Expense'!H25</f>
        <v>5026514.75</v>
      </c>
      <c r="C93" s="41"/>
      <c r="D93" s="41">
        <f>+[2]Sheet1!$AA$20</f>
        <v>-5599793.9794018641</v>
      </c>
      <c r="E93" s="35">
        <f t="shared" si="15"/>
        <v>-68022</v>
      </c>
      <c r="F93" s="35">
        <f t="shared" si="16"/>
        <v>-9217514.1464266963</v>
      </c>
      <c r="G93" s="35">
        <f>SUM(C85:C93)+$C$7+$C$9+$C$11+F93+$C$41+$C$27+$C$25+$C$55+$C$69+$C$83</f>
        <v>-7006924.5464266976</v>
      </c>
      <c r="H93" s="74">
        <v>9.2100000000000001E-2</v>
      </c>
      <c r="I93" s="74">
        <v>7.7600000000000002E-2</v>
      </c>
      <c r="J93" s="35">
        <f>+J92+E93</f>
        <v>-832615</v>
      </c>
    </row>
    <row r="94" spans="1:14">
      <c r="A94" s="29" t="s">
        <v>25</v>
      </c>
      <c r="B94" s="41">
        <f>+'Projected Expense'!I25</f>
        <v>5621514.75</v>
      </c>
      <c r="C94" s="41"/>
      <c r="D94" s="41">
        <f>+[2]Sheet1!$AB$20</f>
        <v>-4488265.6287217811</v>
      </c>
      <c r="E94" s="35">
        <f t="shared" si="15"/>
        <v>-66396</v>
      </c>
      <c r="F94" s="35">
        <f t="shared" si="16"/>
        <v>-8150661.0251484774</v>
      </c>
      <c r="G94" s="35">
        <f>SUM(C85:C94)+$C$7+$C$9+$C$11+F94+$C$41+$C$27+$C$25+$C$55+$C$69+$C$83</f>
        <v>-5940071.4251484787</v>
      </c>
      <c r="H94" s="74">
        <v>9.2100000000000001E-2</v>
      </c>
      <c r="I94" s="74">
        <v>7.7600000000000002E-2</v>
      </c>
      <c r="J94" s="35">
        <f>+J93+E94</f>
        <v>-899011</v>
      </c>
    </row>
    <row r="95" spans="1:14">
      <c r="A95" s="29" t="s">
        <v>26</v>
      </c>
      <c r="B95" s="41">
        <f>+'Projected Expense'!J25</f>
        <v>7131514.75</v>
      </c>
      <c r="C95" s="41"/>
      <c r="D95" s="41">
        <f>+[2]Sheet1!$AC$20</f>
        <v>-4511805.8234367101</v>
      </c>
      <c r="E95" s="35">
        <f t="shared" si="15"/>
        <v>-52503</v>
      </c>
      <c r="F95" s="35">
        <f t="shared" si="16"/>
        <v>-5583455.0985851875</v>
      </c>
      <c r="G95" s="35">
        <f>SUM(C85:C95)+$C$7+$C$9+$C$11+F95+$C$41+$C$27+$C$25+$C$55+$C$69+$C$83</f>
        <v>-3372865.4985851888</v>
      </c>
      <c r="H95" s="74">
        <v>9.2100000000000001E-2</v>
      </c>
      <c r="I95" s="74">
        <v>7.7600000000000002E-2</v>
      </c>
      <c r="J95" s="35">
        <f>+J94+E95</f>
        <v>-951514</v>
      </c>
    </row>
    <row r="96" spans="1:14">
      <c r="A96" s="29" t="s">
        <v>27</v>
      </c>
      <c r="B96" s="41">
        <f>+'Projected Expense'!K25</f>
        <v>5031514.75</v>
      </c>
      <c r="C96" s="41"/>
      <c r="D96" s="41">
        <f>+[2]Sheet1!$AD$20</f>
        <v>-5006439.1474189302</v>
      </c>
      <c r="E96" s="35">
        <f t="shared" si="15"/>
        <v>-42757</v>
      </c>
      <c r="F96" s="35">
        <f t="shared" si="16"/>
        <v>-5601136.4960041177</v>
      </c>
      <c r="G96" s="35">
        <f>SUM(C85:C96)+$C$7+$C$9+$C$11+F96+$C$41+$C$27+$C$25+$C$55+$C$69+$C$83</f>
        <v>-3390546.896004118</v>
      </c>
      <c r="H96" s="74">
        <v>9.2100000000000001E-2</v>
      </c>
      <c r="I96" s="74">
        <v>7.7600000000000002E-2</v>
      </c>
      <c r="J96" s="35">
        <f>+J95+E96</f>
        <v>-994271</v>
      </c>
    </row>
    <row r="97" spans="1:10">
      <c r="A97" s="26" t="s">
        <v>57</v>
      </c>
      <c r="B97" s="39">
        <f>SUM(B85:B96)</f>
        <v>59075306.340000004</v>
      </c>
      <c r="C97" s="39">
        <f>SUM(C85:C96)</f>
        <v>-3680034.9499999997</v>
      </c>
      <c r="D97" s="39">
        <f>SUM(D85:D96)</f>
        <v>-43831840.900004104</v>
      </c>
      <c r="E97" s="44">
        <f>SUM(E85:E96)</f>
        <v>-647252</v>
      </c>
      <c r="F97" s="45"/>
      <c r="G97" s="45"/>
      <c r="H97" s="46"/>
      <c r="I97" s="33"/>
      <c r="J97" s="43"/>
    </row>
    <row r="98" spans="1:10">
      <c r="A98" s="26"/>
      <c r="B98" s="37"/>
      <c r="C98" s="37"/>
      <c r="D98" s="37"/>
      <c r="E98" s="47"/>
      <c r="F98" s="45"/>
      <c r="G98" s="45"/>
      <c r="H98" s="46"/>
      <c r="I98" s="33"/>
      <c r="J98" s="43"/>
    </row>
    <row r="99" spans="1:10">
      <c r="A99" s="29" t="s">
        <v>16</v>
      </c>
      <c r="B99" s="97">
        <f>+'Projected Expense'!P25</f>
        <v>5113681.416666667</v>
      </c>
      <c r="C99" s="93"/>
      <c r="D99" s="93">
        <v>-5049590.9120241683</v>
      </c>
      <c r="E99" s="92">
        <f>ROUND((((B99+D99)/2)+F96)*(9.21%/12),0)</f>
        <v>-42743</v>
      </c>
      <c r="F99" s="98">
        <f>F96+B99+D99+E99</f>
        <v>-5579788.991361619</v>
      </c>
      <c r="G99" s="92">
        <f>SUM(C99)+$C$7+$C$9+$C$11+F99+$C$41+$C$27+$C$25+$C$55+$C$69+$C$83+$C$97</f>
        <v>-3369199.3913616175</v>
      </c>
      <c r="H99" s="74">
        <v>9.2100000000000001E-2</v>
      </c>
      <c r="I99" s="33"/>
      <c r="J99" s="100">
        <f>J96+E99</f>
        <v>-1037014</v>
      </c>
    </row>
    <row r="100" spans="1:10">
      <c r="A100" s="30" t="s">
        <v>17</v>
      </c>
      <c r="B100" s="97">
        <f>+'Projected Expense'!Q25</f>
        <v>5080681.416666667</v>
      </c>
      <c r="C100" s="93"/>
      <c r="D100" s="93">
        <v>-4358485.2168662855</v>
      </c>
      <c r="E100" s="92">
        <f t="shared" ref="E100:E110" si="18">ROUND((((B100+D100)/2)+F99)*(9.21%/12),0)</f>
        <v>-40053</v>
      </c>
      <c r="F100" s="98">
        <f>F99+B100+D100+E100</f>
        <v>-4897645.7915612375</v>
      </c>
      <c r="G100" s="92">
        <f>SUM(C99:C100)+$C$7+$C$9+$C$11+F100+$C$41+$C$27+$C$25+$C$55+$C$69+$C$83+$C$97</f>
        <v>-2687056.191561236</v>
      </c>
      <c r="H100" s="74">
        <v>9.2100000000000001E-2</v>
      </c>
      <c r="I100" s="33"/>
      <c r="J100" s="100">
        <f>J99+E100</f>
        <v>-1077067</v>
      </c>
    </row>
    <row r="101" spans="1:10">
      <c r="A101" s="31" t="s">
        <v>18</v>
      </c>
      <c r="B101" s="97">
        <f>+'Projected Expense'!R25</f>
        <v>5080681.416666667</v>
      </c>
      <c r="C101" s="93"/>
      <c r="D101" s="93">
        <v>-4577132.9194104718</v>
      </c>
      <c r="E101" s="92">
        <f t="shared" si="18"/>
        <v>-35657</v>
      </c>
      <c r="F101" s="98">
        <f t="shared" ref="F101:F110" si="19">F100+B101+D101+E101</f>
        <v>-4429754.2943050424</v>
      </c>
      <c r="G101" s="92">
        <f>SUM(C99:C101)+$C$7+$C$9+$C$11+F101+$C$41+$C$27+$C$25+$C$55+$C$69+$C$83+$C$97</f>
        <v>-2219164.6943050413</v>
      </c>
      <c r="H101" s="74">
        <v>9.2100000000000001E-2</v>
      </c>
      <c r="I101" s="33"/>
      <c r="J101" s="100">
        <f t="shared" ref="J101:J110" si="20">J100+E101</f>
        <v>-1112724</v>
      </c>
    </row>
    <row r="102" spans="1:10">
      <c r="A102" s="29" t="s">
        <v>19</v>
      </c>
      <c r="B102" s="97">
        <f>+'Projected Expense'!S25</f>
        <v>5080681.416666667</v>
      </c>
      <c r="C102" s="93"/>
      <c r="D102" s="93">
        <v>-4265185.4344150731</v>
      </c>
      <c r="E102" s="92">
        <f t="shared" si="18"/>
        <v>-30869</v>
      </c>
      <c r="F102" s="98">
        <f t="shared" si="19"/>
        <v>-3645127.3120534485</v>
      </c>
      <c r="G102" s="92">
        <f>SUM(C99:C102)+$C$7+$C$9+$C$11+F102+$C$41+$C$27+$C$25+$C$55+$C$69+$C$83+$C$97</f>
        <v>-1434537.712053448</v>
      </c>
      <c r="H102" s="74">
        <v>9.2100000000000001E-2</v>
      </c>
      <c r="I102" s="33"/>
      <c r="J102" s="100">
        <f t="shared" si="20"/>
        <v>-1143593</v>
      </c>
    </row>
    <row r="103" spans="1:10">
      <c r="A103" s="30" t="s">
        <v>20</v>
      </c>
      <c r="B103" s="97">
        <f>+'Projected Expense'!T25</f>
        <v>5075681.416666667</v>
      </c>
      <c r="C103" s="93"/>
      <c r="D103" s="93">
        <v>-5097777.1228538472</v>
      </c>
      <c r="E103" s="92">
        <f t="shared" si="18"/>
        <v>-28061</v>
      </c>
      <c r="F103" s="98">
        <f t="shared" si="19"/>
        <v>-3695284.0182406288</v>
      </c>
      <c r="G103" s="92">
        <f>SUM(C99:C103)+$C$7+$C$9+$C$11+F103+$C$41+$C$27+$C$25+$C$55+$C$69+$C$83+$C$97</f>
        <v>-1484694.4182406282</v>
      </c>
      <c r="H103" s="74">
        <v>9.2100000000000001E-2</v>
      </c>
      <c r="I103" s="33"/>
      <c r="J103" s="100">
        <f t="shared" si="20"/>
        <v>-1171654</v>
      </c>
    </row>
    <row r="104" spans="1:10">
      <c r="A104" s="30" t="s">
        <v>21</v>
      </c>
      <c r="B104" s="97">
        <f>+'Projected Expense'!U25</f>
        <v>5075681.416666667</v>
      </c>
      <c r="C104" s="93"/>
      <c r="D104" s="93">
        <v>-6079994.3430234883</v>
      </c>
      <c r="E104" s="92">
        <f t="shared" si="18"/>
        <v>-32215</v>
      </c>
      <c r="F104" s="98">
        <f t="shared" si="19"/>
        <v>-4731811.9445974501</v>
      </c>
      <c r="G104" s="92">
        <f>SUM(C99:C104)+$C$7+$C$9+$C$11+F104+$C$41+$C$27+$C$25+$C$55+$C$69+$C$83+$C$97</f>
        <v>-2521222.3445974491</v>
      </c>
      <c r="H104" s="74">
        <v>9.2100000000000001E-2</v>
      </c>
      <c r="I104" s="33"/>
      <c r="J104" s="100">
        <f t="shared" si="20"/>
        <v>-1203869</v>
      </c>
    </row>
    <row r="105" spans="1:10">
      <c r="A105" s="29" t="s">
        <v>22</v>
      </c>
      <c r="B105" s="97">
        <f>+'Projected Expense'!V25</f>
        <v>5075681.416666667</v>
      </c>
      <c r="C105" s="93"/>
      <c r="D105" s="93">
        <v>-7515403.2028095489</v>
      </c>
      <c r="E105" s="92">
        <f t="shared" si="18"/>
        <v>-45679</v>
      </c>
      <c r="F105" s="98">
        <f t="shared" si="19"/>
        <v>-7217212.730740332</v>
      </c>
      <c r="G105" s="92">
        <f>SUM(C99:C105)+$C$7+$C$9+$C$11+F105+$C$41+$C$27+$C$25+$C$55+$C$69+$C$83+$C$97</f>
        <v>-5006623.1307403315</v>
      </c>
      <c r="H105" s="74">
        <v>9.2100000000000001E-2</v>
      </c>
      <c r="I105" s="33"/>
      <c r="J105" s="100">
        <f t="shared" si="20"/>
        <v>-1249548</v>
      </c>
    </row>
    <row r="106" spans="1:10">
      <c r="A106" s="29" t="s">
        <v>23</v>
      </c>
      <c r="B106" s="97">
        <f>+'Projected Expense'!W25</f>
        <v>5075681.416666667</v>
      </c>
      <c r="C106" s="93"/>
      <c r="D106" s="93">
        <v>-7087282.8483401807</v>
      </c>
      <c r="E106" s="92">
        <f t="shared" si="18"/>
        <v>-63112</v>
      </c>
      <c r="F106" s="98">
        <f t="shared" si="19"/>
        <v>-9291926.1624138467</v>
      </c>
      <c r="G106" s="92">
        <f>SUM(C99:C106)+$C$7+$C$9+$C$11+F106+$C$41+$C$27+$C$25+$C$55+$C$69+$C$83+$C$97</f>
        <v>-7081336.5624138471</v>
      </c>
      <c r="H106" s="74">
        <v>9.2100000000000001E-2</v>
      </c>
      <c r="I106" s="33"/>
      <c r="J106" s="100">
        <f t="shared" si="20"/>
        <v>-1312660</v>
      </c>
    </row>
    <row r="107" spans="1:10">
      <c r="A107" s="29" t="s">
        <v>24</v>
      </c>
      <c r="B107" s="97">
        <f>+'Projected Expense'!X25</f>
        <v>5075681.416666667</v>
      </c>
      <c r="C107" s="93"/>
      <c r="D107" s="93">
        <v>-5577899.6215885105</v>
      </c>
      <c r="E107" s="92">
        <f t="shared" si="18"/>
        <v>-73243</v>
      </c>
      <c r="F107" s="98">
        <f t="shared" si="19"/>
        <v>-9867387.3673356902</v>
      </c>
      <c r="G107" s="92">
        <f>SUM(C99:C107)+$C$7+$C$9+$C$11+F107+$C$41+$C$27+$C$25+$C$55+$C$69+$C$83+$C$97</f>
        <v>-7656797.7673356887</v>
      </c>
      <c r="H107" s="74">
        <v>9.2100000000000001E-2</v>
      </c>
      <c r="I107" s="33"/>
      <c r="J107" s="100">
        <f t="shared" si="20"/>
        <v>-1385903</v>
      </c>
    </row>
    <row r="108" spans="1:10">
      <c r="A108" s="29" t="s">
        <v>25</v>
      </c>
      <c r="B108" s="97">
        <f>+'Projected Expense'!Y25</f>
        <v>5080681.416666667</v>
      </c>
      <c r="C108" s="93"/>
      <c r="D108" s="93">
        <v>-4468648.8806919837</v>
      </c>
      <c r="E108" s="92">
        <f t="shared" si="18"/>
        <v>-73384</v>
      </c>
      <c r="F108" s="98">
        <f t="shared" si="19"/>
        <v>-9328738.8313610069</v>
      </c>
      <c r="G108" s="92">
        <f>SUM(C99:C108)+$C$7+$C$9+$C$11+F108+$C$41+$C$27+$C$25+$C$55+$C$69+$C$83+$C$97</f>
        <v>-7118149.2313610073</v>
      </c>
      <c r="H108" s="74">
        <v>9.2100000000000001E-2</v>
      </c>
      <c r="I108" s="33"/>
      <c r="J108" s="100">
        <f t="shared" si="20"/>
        <v>-1459287</v>
      </c>
    </row>
    <row r="109" spans="1:10">
      <c r="A109" s="29" t="s">
        <v>26</v>
      </c>
      <c r="B109" s="97">
        <f>+'Projected Expense'!Z25</f>
        <v>7180681.416666667</v>
      </c>
      <c r="C109" s="93"/>
      <c r="D109" s="93">
        <v>-4504944.3602941874</v>
      </c>
      <c r="E109" s="92">
        <f t="shared" si="18"/>
        <v>-61330</v>
      </c>
      <c r="F109" s="98">
        <f t="shared" si="19"/>
        <v>-6714331.7749885274</v>
      </c>
      <c r="G109" s="92">
        <f>SUM(C99:C109)+$C$7+$C$9+$C$11+F109+$C$41+$C$27+$C$25+$C$55+$C$69+$C$83+$C$97</f>
        <v>-4503742.1749885259</v>
      </c>
      <c r="H109" s="74">
        <v>9.2100000000000001E-2</v>
      </c>
      <c r="I109" s="33"/>
      <c r="J109" s="100">
        <f t="shared" si="20"/>
        <v>-1520617</v>
      </c>
    </row>
    <row r="110" spans="1:10">
      <c r="A110" s="29" t="s">
        <v>27</v>
      </c>
      <c r="B110" s="97">
        <f>+'Projected Expense'!AA25</f>
        <v>5080681.416666667</v>
      </c>
      <c r="C110" s="93"/>
      <c r="D110" s="93">
        <v>-5011213.1805022508</v>
      </c>
      <c r="E110" s="92">
        <f t="shared" si="18"/>
        <v>-51266</v>
      </c>
      <c r="F110" s="98">
        <f t="shared" si="19"/>
        <v>-6696129.5388241112</v>
      </c>
      <c r="G110" s="92">
        <f>SUM(C99:C110)+$C$7+$C$9+$C$11+F110+$C$41+$C$27+$C$25+$C$55+$C$69+$C$83+$C$97</f>
        <v>-4485539.9388241107</v>
      </c>
      <c r="H110" s="74">
        <v>9.2100000000000001E-2</v>
      </c>
      <c r="I110" s="33"/>
      <c r="J110" s="100">
        <f t="shared" si="20"/>
        <v>-1571883</v>
      </c>
    </row>
    <row r="111" spans="1:10">
      <c r="A111" s="26" t="s">
        <v>63</v>
      </c>
      <c r="B111" s="101">
        <f>SUM(B99:B110)</f>
        <v>63076176.999999993</v>
      </c>
      <c r="C111" s="101">
        <f>SUM(C99:C110)</f>
        <v>0</v>
      </c>
      <c r="D111" s="101">
        <f>SUM(D99:D110)</f>
        <v>-63593558.042819999</v>
      </c>
      <c r="E111" s="102">
        <f>SUM(E99:E110)</f>
        <v>-577612</v>
      </c>
      <c r="F111" s="45"/>
      <c r="G111" s="45"/>
      <c r="H111" s="46"/>
      <c r="I111" s="33"/>
      <c r="J111" s="43"/>
    </row>
    <row r="112" spans="1:10">
      <c r="A112" s="26"/>
      <c r="B112" s="37"/>
      <c r="C112" s="37"/>
      <c r="D112" s="37"/>
      <c r="E112" s="47"/>
      <c r="F112" s="45"/>
      <c r="G112" s="45"/>
      <c r="H112" s="46"/>
      <c r="I112" s="33"/>
      <c r="J112" s="43"/>
    </row>
    <row r="113" spans="1:10">
      <c r="A113" s="26"/>
      <c r="B113" s="37"/>
      <c r="C113" s="37"/>
      <c r="D113" s="37"/>
      <c r="E113" s="47"/>
      <c r="F113" s="45"/>
      <c r="G113" s="45"/>
      <c r="H113" s="46"/>
      <c r="I113" s="33"/>
      <c r="J113" s="43"/>
    </row>
    <row r="114" spans="1:10">
      <c r="A114" s="26"/>
      <c r="B114" s="37"/>
      <c r="C114" s="37"/>
      <c r="D114" s="37"/>
      <c r="E114" s="47"/>
      <c r="F114" s="45"/>
      <c r="G114" s="45"/>
      <c r="H114" s="46"/>
      <c r="I114" s="33"/>
      <c r="J114" s="43"/>
    </row>
    <row r="115" spans="1:10">
      <c r="A115" s="26"/>
      <c r="B115" s="37"/>
      <c r="C115" s="37"/>
      <c r="D115" s="37"/>
      <c r="E115" s="47"/>
      <c r="F115" s="45"/>
      <c r="G115" s="45"/>
      <c r="H115" s="46"/>
      <c r="I115" s="33"/>
      <c r="J115" s="43"/>
    </row>
    <row r="116" spans="1:10">
      <c r="A116" s="29" t="s">
        <v>77</v>
      </c>
      <c r="B116" s="42"/>
      <c r="C116" s="37">
        <f>+C27+C25+C11+C9+C7+C41+C55+C69+C83+C97</f>
        <v>2210589.6</v>
      </c>
      <c r="D116" s="42"/>
      <c r="E116" s="48"/>
      <c r="F116" s="48"/>
      <c r="G116" s="48"/>
      <c r="H116" s="49"/>
      <c r="I116" s="49"/>
      <c r="J116" s="48"/>
    </row>
    <row r="117" spans="1:10" ht="20.25" customHeight="1">
      <c r="B117" s="42"/>
      <c r="C117" s="55"/>
      <c r="D117" s="42"/>
      <c r="E117" s="48"/>
      <c r="F117" s="48"/>
      <c r="G117" s="48"/>
      <c r="H117" s="49"/>
      <c r="I117" s="49"/>
      <c r="J117" s="48"/>
    </row>
    <row r="118" spans="1:10">
      <c r="A118" s="80" t="s">
        <v>75</v>
      </c>
      <c r="B118" s="48"/>
      <c r="C118" s="48"/>
      <c r="D118" s="48"/>
      <c r="E118" s="48"/>
      <c r="F118" s="85">
        <f>+F89</f>
        <v>-2878379.9460000126</v>
      </c>
      <c r="G118" s="85">
        <f>+G89</f>
        <v>-667790.34600001178</v>
      </c>
      <c r="J118" s="42"/>
    </row>
    <row r="119" spans="1:10" ht="8.25" customHeight="1">
      <c r="A119" s="81"/>
      <c r="B119" s="48"/>
      <c r="C119" s="48"/>
      <c r="D119" s="48"/>
      <c r="E119" s="48"/>
      <c r="F119" s="85"/>
      <c r="G119" s="85"/>
      <c r="J119" s="42"/>
    </row>
    <row r="120" spans="1:10">
      <c r="A120" s="80" t="s">
        <v>67</v>
      </c>
      <c r="B120" s="48"/>
      <c r="C120" s="48"/>
      <c r="D120" s="48"/>
      <c r="E120" s="48"/>
      <c r="F120" s="85">
        <f>+SUM(B90:B96)+SUM(B99:B110)</f>
        <v>100966780.25</v>
      </c>
      <c r="G120" s="85">
        <f>+SUM(B90:B96)+SUM(B99:B110)</f>
        <v>100966780.25</v>
      </c>
      <c r="J120" s="42"/>
    </row>
    <row r="121" spans="1:10">
      <c r="A121" s="80" t="s">
        <v>68</v>
      </c>
      <c r="B121" s="48"/>
      <c r="C121" s="48"/>
      <c r="D121" s="48"/>
      <c r="E121" s="48"/>
      <c r="F121" s="85">
        <f>+SUM(E90:E96)+SUM(E99:E110)</f>
        <v>-930757</v>
      </c>
      <c r="G121" s="85">
        <f>+SUM(E90:E96)+SUM(E99:E110)</f>
        <v>-930757</v>
      </c>
    </row>
    <row r="122" spans="1:10">
      <c r="A122" s="80" t="s">
        <v>69</v>
      </c>
      <c r="B122" s="48"/>
      <c r="C122" s="48"/>
      <c r="D122" s="48"/>
      <c r="E122" s="48"/>
      <c r="F122" s="86">
        <f>SUM(F120:F121)</f>
        <v>100036023.25</v>
      </c>
      <c r="G122" s="86">
        <f>SUM(G120:G121)</f>
        <v>100036023.25</v>
      </c>
    </row>
    <row r="123" spans="1:10" ht="9" customHeight="1">
      <c r="A123" s="81"/>
      <c r="B123" s="48"/>
      <c r="C123" s="48"/>
      <c r="D123" s="48"/>
      <c r="E123" s="48"/>
      <c r="F123" s="85"/>
      <c r="G123" s="85"/>
    </row>
    <row r="124" spans="1:10">
      <c r="A124" s="80" t="s">
        <v>70</v>
      </c>
      <c r="B124" s="48"/>
      <c r="C124" s="48"/>
      <c r="D124" s="48"/>
      <c r="E124" s="48"/>
      <c r="F124" s="85">
        <f>SUM(D90:D96)+SUM(D99:D110)</f>
        <v>-103853772.8428241</v>
      </c>
      <c r="G124" s="85">
        <f>SUM(D90:D96)+SUM(D99:D110)</f>
        <v>-103853772.8428241</v>
      </c>
    </row>
    <row r="125" spans="1:10" ht="9" customHeight="1">
      <c r="A125" s="82"/>
      <c r="B125" s="48"/>
      <c r="C125" s="48"/>
      <c r="D125" s="48"/>
      <c r="E125" s="48"/>
      <c r="F125" s="85"/>
      <c r="G125" s="85"/>
    </row>
    <row r="126" spans="1:10" ht="15" thickBot="1">
      <c r="A126" s="80" t="s">
        <v>71</v>
      </c>
      <c r="B126" s="48"/>
      <c r="C126" s="48"/>
      <c r="D126" s="48"/>
      <c r="E126" s="48"/>
      <c r="F126" s="87">
        <f>+F118+F122+F124</f>
        <v>-6696129.5388241112</v>
      </c>
      <c r="G126" s="87">
        <f>+G118+G122+G124</f>
        <v>-4485539.9388241172</v>
      </c>
    </row>
    <row r="127" spans="1:10" ht="15" thickTop="1">
      <c r="A127" s="81"/>
      <c r="B127" s="48"/>
      <c r="C127" s="48"/>
      <c r="D127" s="48"/>
      <c r="E127" s="48"/>
      <c r="F127" s="48"/>
      <c r="G127" s="48"/>
    </row>
    <row r="128" spans="1:10">
      <c r="A128" s="75" t="s">
        <v>34</v>
      </c>
      <c r="B128" s="48"/>
      <c r="C128" s="48"/>
      <c r="D128" s="48"/>
      <c r="E128" s="48"/>
      <c r="F128" s="48"/>
      <c r="G128" s="48"/>
    </row>
    <row r="129" spans="1:7">
      <c r="A129" s="34" t="s">
        <v>76</v>
      </c>
      <c r="B129" s="42"/>
      <c r="C129" s="48"/>
      <c r="D129" s="48"/>
      <c r="E129" s="42"/>
      <c r="F129" s="42"/>
      <c r="G129" s="42"/>
    </row>
    <row r="130" spans="1:7" ht="14.25" customHeight="1">
      <c r="A130" s="34"/>
      <c r="B130" s="48"/>
      <c r="C130" s="48"/>
      <c r="D130" s="48"/>
      <c r="E130" s="48"/>
      <c r="F130" s="48"/>
      <c r="G130" s="42"/>
    </row>
    <row r="131" spans="1:7">
      <c r="A131" s="34"/>
    </row>
  </sheetData>
  <mergeCells count="1">
    <mergeCell ref="A3:J3"/>
  </mergeCells>
  <pageMargins left="0.7" right="0.45" top="0.75" bottom="0.75" header="0.3" footer="0.3"/>
  <pageSetup scale="60" orientation="portrait" r:id="rId1"/>
  <ignoredErrors>
    <ignoredError sqref="J14:J24 E19:F23 E14:F16 E17:F17 C25:E25 B25:B26 F24:G24 E18:F18 F40:G40 J30:J40 F29:F30 F31 F32 F33 F34 F35 F36 F37 F38 F39 D28 E29:E36 F50 F43 F44 F45 J43:J54 F54 F53 E55 B55:D55 D41 C42:E42 C41 E41 F46 F47 F48 F49 F51 F52 E37:E40 B41 B42 G13 E43:E44 G29:J29 F68 B69:E69 G43 G54 J57:J68 E53:E54 E46:E51 F57 F58 F59 F60 F61 F62 F63 F64 E65:F65 F66 F67 E57:E64 G57 G68 J71:J83 G71 F71:F82 E71:E75 B70 C83:E83 E66:E68 B83 G82 B90:B97 C97:E97 E85:E96 F85:F96 J86:J96 G85 G89 C116 D90:D96 G90:G96" unlockedFormula="1"/>
    <ignoredError sqref="G14:G18 G19:G23 G30:G36 G37:G39 G44:G50 G51:G53 G58:G60 G61:G64 G65:G67 G72:G74 G75:G81 G86 G88" formulaRange="1" unlockedFormula="1"/>
    <ignoredError sqref="G8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Normal="100" workbookViewId="0">
      <pane xSplit="1" ySplit="4" topLeftCell="B5" activePane="bottomRight" state="frozen"/>
      <selection activeCell="N79" sqref="N79"/>
      <selection pane="topRight" activeCell="N79" sqref="N79"/>
      <selection pane="bottomLeft" activeCell="N79" sqref="N79"/>
      <selection pane="bottomRight" activeCell="AA30" sqref="AA30"/>
    </sheetView>
  </sheetViews>
  <sheetFormatPr defaultColWidth="9.140625" defaultRowHeight="12.75" outlineLevelCol="1"/>
  <cols>
    <col min="1" max="1" width="44.140625" style="57" customWidth="1"/>
    <col min="2" max="2" width="13.5703125" style="57" customWidth="1" outlineLevel="1"/>
    <col min="3" max="3" width="11.5703125" style="57" customWidth="1" outlineLevel="1"/>
    <col min="4" max="11" width="11.5703125" style="57" customWidth="1"/>
    <col min="12" max="12" width="12.140625" style="57" bestFit="1" customWidth="1"/>
    <col min="13" max="14" width="12.140625" style="57" customWidth="1"/>
    <col min="15" max="15" width="1.7109375" style="57" customWidth="1"/>
    <col min="16" max="27" width="10.85546875" style="57" bestFit="1" customWidth="1"/>
    <col min="28" max="28" width="12.140625" style="57" customWidth="1"/>
    <col min="29" max="29" width="1.7109375" style="57" customWidth="1"/>
    <col min="30" max="30" width="13" style="57" customWidth="1"/>
    <col min="31" max="16384" width="9.140625" style="57"/>
  </cols>
  <sheetData>
    <row r="1" spans="1:30">
      <c r="A1" s="56"/>
    </row>
    <row r="2" spans="1:30">
      <c r="A2" s="58" t="s">
        <v>4</v>
      </c>
      <c r="B2" s="58"/>
    </row>
    <row r="3" spans="1:30">
      <c r="B3" s="59" t="s">
        <v>6</v>
      </c>
      <c r="C3" s="59" t="s">
        <v>32</v>
      </c>
      <c r="D3" s="59" t="s">
        <v>39</v>
      </c>
      <c r="L3" s="60" t="s">
        <v>61</v>
      </c>
      <c r="M3" s="94" t="s">
        <v>64</v>
      </c>
      <c r="N3" s="95" t="s">
        <v>65</v>
      </c>
      <c r="AB3" s="60" t="s">
        <v>5</v>
      </c>
      <c r="AD3" s="60" t="s">
        <v>60</v>
      </c>
    </row>
    <row r="4" spans="1:30">
      <c r="B4" s="91" t="s">
        <v>65</v>
      </c>
      <c r="C4" s="89" t="s">
        <v>72</v>
      </c>
      <c r="D4" s="91" t="s">
        <v>65</v>
      </c>
      <c r="E4" s="96">
        <v>43983</v>
      </c>
      <c r="F4" s="96">
        <v>44013</v>
      </c>
      <c r="G4" s="96">
        <v>44044</v>
      </c>
      <c r="H4" s="96">
        <v>44075</v>
      </c>
      <c r="I4" s="96">
        <v>44105</v>
      </c>
      <c r="J4" s="96">
        <v>44136</v>
      </c>
      <c r="K4" s="96">
        <v>44166</v>
      </c>
      <c r="L4" s="63" t="s">
        <v>58</v>
      </c>
      <c r="M4" s="61" t="s">
        <v>33</v>
      </c>
      <c r="N4" s="62" t="s">
        <v>33</v>
      </c>
      <c r="O4" s="64"/>
      <c r="P4" s="63">
        <v>44197</v>
      </c>
      <c r="Q4" s="63">
        <v>44228</v>
      </c>
      <c r="R4" s="63">
        <v>44256</v>
      </c>
      <c r="S4" s="63">
        <v>44287</v>
      </c>
      <c r="T4" s="63">
        <v>44317</v>
      </c>
      <c r="U4" s="63">
        <v>44348</v>
      </c>
      <c r="V4" s="63">
        <v>44378</v>
      </c>
      <c r="W4" s="63">
        <v>44409</v>
      </c>
      <c r="X4" s="63">
        <v>44440</v>
      </c>
      <c r="Y4" s="63">
        <v>44470</v>
      </c>
      <c r="Z4" s="63">
        <v>44501</v>
      </c>
      <c r="AA4" s="63">
        <v>44531</v>
      </c>
      <c r="AB4" s="63" t="s">
        <v>59</v>
      </c>
      <c r="AC4" s="64"/>
      <c r="AD4" s="61" t="s">
        <v>33</v>
      </c>
    </row>
    <row r="5" spans="1:30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4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4"/>
      <c r="AD5" s="1"/>
    </row>
    <row r="6" spans="1:30">
      <c r="A6" s="58" t="s">
        <v>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D6" s="1"/>
    </row>
    <row r="7" spans="1:30" ht="15">
      <c r="A7" s="50" t="s">
        <v>48</v>
      </c>
      <c r="B7" s="65">
        <v>1676762.01</v>
      </c>
      <c r="C7" s="65">
        <v>137999</v>
      </c>
      <c r="D7" s="65">
        <f>SUM(B7:C7)</f>
        <v>1814761.01</v>
      </c>
      <c r="E7" s="65">
        <v>350000</v>
      </c>
      <c r="F7" s="65">
        <v>350000</v>
      </c>
      <c r="G7" s="65">
        <v>350000</v>
      </c>
      <c r="H7" s="65">
        <v>350000</v>
      </c>
      <c r="I7" s="65">
        <v>350000</v>
      </c>
      <c r="J7" s="65">
        <v>2450000</v>
      </c>
      <c r="K7" s="65">
        <v>350000</v>
      </c>
      <c r="L7" s="79">
        <f>SUM(D7:K7)</f>
        <v>6364761.0099999998</v>
      </c>
      <c r="M7" s="71">
        <v>7000000</v>
      </c>
      <c r="N7" s="79">
        <v>6410100</v>
      </c>
      <c r="O7" s="69"/>
      <c r="P7" s="65">
        <v>350000</v>
      </c>
      <c r="Q7" s="65">
        <v>350000</v>
      </c>
      <c r="R7" s="65">
        <v>350000</v>
      </c>
      <c r="S7" s="65">
        <v>350000</v>
      </c>
      <c r="T7" s="65">
        <v>350000</v>
      </c>
      <c r="U7" s="65">
        <v>350000</v>
      </c>
      <c r="V7" s="65">
        <v>350000</v>
      </c>
      <c r="W7" s="65">
        <v>350000</v>
      </c>
      <c r="X7" s="65">
        <v>350000</v>
      </c>
      <c r="Y7" s="65">
        <v>350000</v>
      </c>
      <c r="Z7" s="65">
        <v>2450000</v>
      </c>
      <c r="AA7" s="65">
        <v>350000</v>
      </c>
      <c r="AB7" s="79">
        <f t="shared" ref="AB7:AB10" si="0">SUM(P7:AA7)</f>
        <v>6300000</v>
      </c>
      <c r="AC7" s="69"/>
      <c r="AD7" s="71">
        <v>6300000</v>
      </c>
    </row>
    <row r="8" spans="1:30" ht="15">
      <c r="A8" s="50" t="s">
        <v>1</v>
      </c>
      <c r="B8" s="65">
        <v>40512.559999999998</v>
      </c>
      <c r="C8" s="65"/>
      <c r="D8" s="65">
        <f t="shared" ref="D8:D10" si="1">SUM(B8:C8)</f>
        <v>40512.559999999998</v>
      </c>
      <c r="E8" s="65">
        <v>6250</v>
      </c>
      <c r="F8" s="65">
        <v>6250</v>
      </c>
      <c r="G8" s="65">
        <v>6250</v>
      </c>
      <c r="H8" s="65">
        <v>6250</v>
      </c>
      <c r="I8" s="65">
        <v>6250</v>
      </c>
      <c r="J8" s="65">
        <v>6250</v>
      </c>
      <c r="K8" s="65">
        <v>6250</v>
      </c>
      <c r="L8" s="79">
        <f>SUM(D8:K8)</f>
        <v>84262.56</v>
      </c>
      <c r="M8" s="71">
        <v>75000</v>
      </c>
      <c r="N8" s="79">
        <v>90103</v>
      </c>
      <c r="O8" s="69"/>
      <c r="P8" s="65">
        <f>+$AD$8/12</f>
        <v>6250</v>
      </c>
      <c r="Q8" s="65">
        <f t="shared" ref="Q8:AA8" si="2">+$AD$8/12</f>
        <v>6250</v>
      </c>
      <c r="R8" s="65">
        <f t="shared" si="2"/>
        <v>6250</v>
      </c>
      <c r="S8" s="65">
        <f t="shared" si="2"/>
        <v>6250</v>
      </c>
      <c r="T8" s="65">
        <f t="shared" si="2"/>
        <v>6250</v>
      </c>
      <c r="U8" s="65">
        <f t="shared" si="2"/>
        <v>6250</v>
      </c>
      <c r="V8" s="65">
        <f t="shared" si="2"/>
        <v>6250</v>
      </c>
      <c r="W8" s="65">
        <f t="shared" si="2"/>
        <v>6250</v>
      </c>
      <c r="X8" s="65">
        <f t="shared" si="2"/>
        <v>6250</v>
      </c>
      <c r="Y8" s="65">
        <f t="shared" si="2"/>
        <v>6250</v>
      </c>
      <c r="Z8" s="65">
        <f t="shared" si="2"/>
        <v>6250</v>
      </c>
      <c r="AA8" s="65">
        <f t="shared" si="2"/>
        <v>6250</v>
      </c>
      <c r="AB8" s="79">
        <f t="shared" si="0"/>
        <v>75000</v>
      </c>
      <c r="AC8" s="69"/>
      <c r="AD8" s="71">
        <v>75000</v>
      </c>
    </row>
    <row r="9" spans="1:30" ht="15">
      <c r="A9" s="50" t="s">
        <v>49</v>
      </c>
      <c r="B9" s="65">
        <v>319542.92</v>
      </c>
      <c r="C9" s="65">
        <v>18184.75</v>
      </c>
      <c r="D9" s="65">
        <f t="shared" si="1"/>
        <v>337727.67</v>
      </c>
      <c r="E9" s="65">
        <v>100000</v>
      </c>
      <c r="F9" s="65">
        <v>100000</v>
      </c>
      <c r="G9" s="65">
        <v>100000</v>
      </c>
      <c r="H9" s="65">
        <v>100000</v>
      </c>
      <c r="I9" s="65">
        <v>100000</v>
      </c>
      <c r="J9" s="65">
        <v>100000</v>
      </c>
      <c r="K9" s="65">
        <v>100000</v>
      </c>
      <c r="L9" s="79">
        <f>SUM(D9:K9)</f>
        <v>1037727.6699999999</v>
      </c>
      <c r="M9" s="71">
        <v>850080</v>
      </c>
      <c r="N9" s="79">
        <v>1047839</v>
      </c>
      <c r="O9" s="69"/>
      <c r="P9" s="65">
        <f>+$AD$9/12</f>
        <v>100000</v>
      </c>
      <c r="Q9" s="65">
        <f t="shared" ref="Q9:AA9" si="3">+$AD$9/12</f>
        <v>100000</v>
      </c>
      <c r="R9" s="65">
        <f t="shared" si="3"/>
        <v>100000</v>
      </c>
      <c r="S9" s="65">
        <f t="shared" si="3"/>
        <v>100000</v>
      </c>
      <c r="T9" s="65">
        <f t="shared" si="3"/>
        <v>100000</v>
      </c>
      <c r="U9" s="65">
        <f t="shared" si="3"/>
        <v>100000</v>
      </c>
      <c r="V9" s="65">
        <f t="shared" si="3"/>
        <v>100000</v>
      </c>
      <c r="W9" s="65">
        <f t="shared" si="3"/>
        <v>100000</v>
      </c>
      <c r="X9" s="65">
        <f t="shared" si="3"/>
        <v>100000</v>
      </c>
      <c r="Y9" s="65">
        <f t="shared" si="3"/>
        <v>100000</v>
      </c>
      <c r="Z9" s="65">
        <f t="shared" si="3"/>
        <v>100000</v>
      </c>
      <c r="AA9" s="65">
        <f t="shared" si="3"/>
        <v>100000</v>
      </c>
      <c r="AB9" s="79">
        <f>SUM(P9:AA9)</f>
        <v>1200000</v>
      </c>
      <c r="AC9" s="69"/>
      <c r="AD9" s="71">
        <v>1200000</v>
      </c>
    </row>
    <row r="10" spans="1:30" ht="15">
      <c r="A10" s="50" t="s">
        <v>47</v>
      </c>
      <c r="B10" s="65">
        <v>5513435.7000000002</v>
      </c>
      <c r="C10" s="65">
        <f>722362.85+41672.05</f>
        <v>764034.9</v>
      </c>
      <c r="D10" s="65">
        <f t="shared" si="1"/>
        <v>6277470.6000000006</v>
      </c>
      <c r="E10" s="65">
        <v>1291666.6666666667</v>
      </c>
      <c r="F10" s="65">
        <v>1291666.6666666667</v>
      </c>
      <c r="G10" s="65">
        <v>1291666.6666666667</v>
      </c>
      <c r="H10" s="65">
        <v>1291666.6666666667</v>
      </c>
      <c r="I10" s="65">
        <v>1291666.6666666667</v>
      </c>
      <c r="J10" s="65">
        <v>1291666.6666666667</v>
      </c>
      <c r="K10" s="65">
        <v>1291666.6666666667</v>
      </c>
      <c r="L10" s="79">
        <f>SUM(D10:K10)</f>
        <v>15319137.266666664</v>
      </c>
      <c r="M10" s="71">
        <f>16612535+246127</f>
        <v>16858662</v>
      </c>
      <c r="N10" s="79">
        <v>15761365</v>
      </c>
      <c r="O10" s="69"/>
      <c r="P10" s="65">
        <f>+$AD$10/12</f>
        <v>1291666.6666666667</v>
      </c>
      <c r="Q10" s="65">
        <f t="shared" ref="Q10:AA10" si="4">+$AD$10/12</f>
        <v>1291666.6666666667</v>
      </c>
      <c r="R10" s="65">
        <f t="shared" si="4"/>
        <v>1291666.6666666667</v>
      </c>
      <c r="S10" s="65">
        <f t="shared" si="4"/>
        <v>1291666.6666666667</v>
      </c>
      <c r="T10" s="65">
        <f t="shared" si="4"/>
        <v>1291666.6666666667</v>
      </c>
      <c r="U10" s="65">
        <f t="shared" si="4"/>
        <v>1291666.6666666667</v>
      </c>
      <c r="V10" s="65">
        <f t="shared" si="4"/>
        <v>1291666.6666666667</v>
      </c>
      <c r="W10" s="65">
        <f t="shared" si="4"/>
        <v>1291666.6666666667</v>
      </c>
      <c r="X10" s="65">
        <f t="shared" si="4"/>
        <v>1291666.6666666667</v>
      </c>
      <c r="Y10" s="65">
        <f t="shared" si="4"/>
        <v>1291666.6666666667</v>
      </c>
      <c r="Z10" s="65">
        <f t="shared" si="4"/>
        <v>1291666.6666666667</v>
      </c>
      <c r="AA10" s="65">
        <f t="shared" si="4"/>
        <v>1291666.6666666667</v>
      </c>
      <c r="AB10" s="79">
        <f t="shared" si="0"/>
        <v>15499999.999999998</v>
      </c>
      <c r="AC10" s="69"/>
      <c r="AD10" s="71">
        <v>15500000</v>
      </c>
    </row>
    <row r="11" spans="1:30" ht="15">
      <c r="A11" s="60"/>
      <c r="B11" s="70">
        <f t="shared" ref="B11:N11" si="5">SUM(B7:B10)</f>
        <v>7550253.1900000004</v>
      </c>
      <c r="C11" s="70">
        <f t="shared" si="5"/>
        <v>920218.65</v>
      </c>
      <c r="D11" s="70">
        <f t="shared" si="5"/>
        <v>8470471.8399999999</v>
      </c>
      <c r="E11" s="70">
        <f t="shared" si="5"/>
        <v>1747916.6666666667</v>
      </c>
      <c r="F11" s="70">
        <f t="shared" si="5"/>
        <v>1747916.6666666667</v>
      </c>
      <c r="G11" s="70">
        <f t="shared" si="5"/>
        <v>1747916.6666666667</v>
      </c>
      <c r="H11" s="70">
        <f t="shared" si="5"/>
        <v>1747916.6666666667</v>
      </c>
      <c r="I11" s="70">
        <f t="shared" si="5"/>
        <v>1747916.6666666667</v>
      </c>
      <c r="J11" s="70">
        <f t="shared" si="5"/>
        <v>3847916.666666667</v>
      </c>
      <c r="K11" s="70">
        <f t="shared" si="5"/>
        <v>1747916.6666666667</v>
      </c>
      <c r="L11" s="76">
        <f t="shared" si="5"/>
        <v>22805888.506666664</v>
      </c>
      <c r="M11" s="76">
        <f t="shared" si="5"/>
        <v>24783742</v>
      </c>
      <c r="N11" s="76">
        <f t="shared" si="5"/>
        <v>23309407</v>
      </c>
      <c r="O11" s="69"/>
      <c r="P11" s="70">
        <f t="shared" ref="P11:AB11" si="6">SUM(P7:P10)</f>
        <v>1747916.6666666667</v>
      </c>
      <c r="Q11" s="70">
        <f t="shared" si="6"/>
        <v>1747916.6666666667</v>
      </c>
      <c r="R11" s="70">
        <f t="shared" si="6"/>
        <v>1747916.6666666667</v>
      </c>
      <c r="S11" s="70">
        <f t="shared" si="6"/>
        <v>1747916.6666666667</v>
      </c>
      <c r="T11" s="70">
        <f t="shared" si="6"/>
        <v>1747916.6666666667</v>
      </c>
      <c r="U11" s="70">
        <f t="shared" si="6"/>
        <v>1747916.6666666667</v>
      </c>
      <c r="V11" s="70">
        <f t="shared" si="6"/>
        <v>1747916.6666666667</v>
      </c>
      <c r="W11" s="70">
        <f t="shared" si="6"/>
        <v>1747916.6666666667</v>
      </c>
      <c r="X11" s="70">
        <f t="shared" si="6"/>
        <v>1747916.6666666667</v>
      </c>
      <c r="Y11" s="70">
        <f t="shared" si="6"/>
        <v>1747916.6666666667</v>
      </c>
      <c r="Z11" s="70">
        <f t="shared" si="6"/>
        <v>3847916.666666667</v>
      </c>
      <c r="AA11" s="70">
        <f t="shared" si="6"/>
        <v>1747916.6666666667</v>
      </c>
      <c r="AB11" s="76">
        <f t="shared" si="6"/>
        <v>23075000</v>
      </c>
      <c r="AC11" s="69"/>
      <c r="AD11" s="76">
        <f>SUM(AD7:AD10)</f>
        <v>23075000</v>
      </c>
    </row>
    <row r="12" spans="1:30" ht="15"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71"/>
      <c r="M12" s="71"/>
      <c r="N12" s="71"/>
      <c r="O12" s="69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71"/>
      <c r="AC12" s="69"/>
      <c r="AD12" s="71"/>
    </row>
    <row r="13" spans="1:30" ht="15">
      <c r="A13" s="58" t="s">
        <v>50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71"/>
      <c r="M13" s="71"/>
      <c r="N13" s="71"/>
      <c r="O13" s="69"/>
      <c r="P13" s="65" t="s">
        <v>3</v>
      </c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71"/>
      <c r="AC13" s="69"/>
      <c r="AD13" s="71"/>
    </row>
    <row r="14" spans="1:30" ht="15">
      <c r="A14" s="50" t="s">
        <v>51</v>
      </c>
      <c r="B14" s="65">
        <f>5689005.14+(6285366.68*0.74)</f>
        <v>10340176.483199999</v>
      </c>
      <c r="C14" s="65">
        <f>(92052.08+378298.63+1626.75+551434.28+140822.51)*0.76</f>
        <v>884818.03</v>
      </c>
      <c r="D14" s="65">
        <f>SUM(B14:C14)</f>
        <v>11224994.513199998</v>
      </c>
      <c r="E14" s="120">
        <v>3083333.3333333335</v>
      </c>
      <c r="F14" s="120">
        <v>3083333.3333333335</v>
      </c>
      <c r="G14" s="120">
        <v>3083333.3333333335</v>
      </c>
      <c r="H14" s="120">
        <v>3083333.3333333335</v>
      </c>
      <c r="I14" s="120">
        <v>3083333.3333333335</v>
      </c>
      <c r="J14" s="120">
        <v>3083333.3333333335</v>
      </c>
      <c r="K14" s="125">
        <v>3083333.3333333335</v>
      </c>
      <c r="L14" s="121">
        <f>SUM(B14:K14)</f>
        <v>44033322.359733336</v>
      </c>
      <c r="M14" s="124">
        <v>36461156</v>
      </c>
      <c r="N14" s="121">
        <v>36676632</v>
      </c>
      <c r="O14" s="69"/>
      <c r="P14" s="120">
        <f>+$AD$14/12</f>
        <v>3083333.3333333335</v>
      </c>
      <c r="Q14" s="120">
        <f t="shared" ref="Q14:AA14" si="7">+$AD$14/12</f>
        <v>3083333.3333333335</v>
      </c>
      <c r="R14" s="120">
        <f t="shared" si="7"/>
        <v>3083333.3333333335</v>
      </c>
      <c r="S14" s="120">
        <f t="shared" si="7"/>
        <v>3083333.3333333335</v>
      </c>
      <c r="T14" s="120">
        <f t="shared" si="7"/>
        <v>3083333.3333333335</v>
      </c>
      <c r="U14" s="120">
        <f t="shared" si="7"/>
        <v>3083333.3333333335</v>
      </c>
      <c r="V14" s="120">
        <f t="shared" si="7"/>
        <v>3083333.3333333335</v>
      </c>
      <c r="W14" s="120">
        <f t="shared" si="7"/>
        <v>3083333.3333333335</v>
      </c>
      <c r="X14" s="120">
        <f t="shared" si="7"/>
        <v>3083333.3333333335</v>
      </c>
      <c r="Y14" s="120">
        <f t="shared" si="7"/>
        <v>3083333.3333333335</v>
      </c>
      <c r="Z14" s="120">
        <f t="shared" si="7"/>
        <v>3083333.3333333335</v>
      </c>
      <c r="AA14" s="120">
        <f t="shared" si="7"/>
        <v>3083333.3333333335</v>
      </c>
      <c r="AB14" s="121">
        <f>SUM(P14:AA14)</f>
        <v>37000000</v>
      </c>
      <c r="AC14" s="123"/>
      <c r="AD14" s="122">
        <v>37000000</v>
      </c>
    </row>
    <row r="15" spans="1:30" ht="15">
      <c r="A15" s="50" t="s">
        <v>52</v>
      </c>
      <c r="B15" s="65">
        <f>782475.77+129616.15+(6285366.68*0.26)</f>
        <v>2546287.2568000001</v>
      </c>
      <c r="C15" s="65">
        <f>(92052.08+378298.63+1626.75+551434.28+140822.51)*0.24</f>
        <v>279416.21999999997</v>
      </c>
      <c r="D15" s="65">
        <f t="shared" ref="D15:D16" si="8">SUM(B15:C15)</f>
        <v>2825703.4768000003</v>
      </c>
      <c r="E15" s="120"/>
      <c r="F15" s="120"/>
      <c r="G15" s="120"/>
      <c r="H15" s="120"/>
      <c r="I15" s="120"/>
      <c r="J15" s="120"/>
      <c r="K15" s="125"/>
      <c r="L15" s="121"/>
      <c r="M15" s="124"/>
      <c r="N15" s="121"/>
      <c r="O15" s="69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1"/>
      <c r="AC15" s="123"/>
      <c r="AD15" s="122"/>
    </row>
    <row r="16" spans="1:30" ht="15">
      <c r="A16" s="50" t="s">
        <v>36</v>
      </c>
      <c r="B16" s="65">
        <v>5264.29</v>
      </c>
      <c r="C16" s="65"/>
      <c r="D16" s="65">
        <f t="shared" si="8"/>
        <v>5264.29</v>
      </c>
      <c r="E16" s="65">
        <v>5000</v>
      </c>
      <c r="F16" s="65">
        <v>5000</v>
      </c>
      <c r="G16" s="65">
        <v>5000</v>
      </c>
      <c r="H16" s="65">
        <v>5000</v>
      </c>
      <c r="I16" s="65">
        <v>595000</v>
      </c>
      <c r="J16" s="65">
        <v>5000</v>
      </c>
      <c r="K16" s="65">
        <v>5000</v>
      </c>
      <c r="L16" s="79">
        <f>SUM(B16:K16)</f>
        <v>635528.57999999996</v>
      </c>
      <c r="M16" s="71">
        <v>600000</v>
      </c>
      <c r="N16" s="79">
        <v>738857</v>
      </c>
      <c r="O16" s="69"/>
      <c r="P16" s="65">
        <f>+$AD$16/12</f>
        <v>54166.666666666664</v>
      </c>
      <c r="Q16" s="65">
        <f t="shared" ref="Q16:AA16" si="9">+$AD$16/12</f>
        <v>54166.666666666664</v>
      </c>
      <c r="R16" s="65">
        <f t="shared" si="9"/>
        <v>54166.666666666664</v>
      </c>
      <c r="S16" s="65">
        <f t="shared" si="9"/>
        <v>54166.666666666664</v>
      </c>
      <c r="T16" s="65">
        <f t="shared" si="9"/>
        <v>54166.666666666664</v>
      </c>
      <c r="U16" s="65">
        <f t="shared" si="9"/>
        <v>54166.666666666664</v>
      </c>
      <c r="V16" s="65">
        <f t="shared" si="9"/>
        <v>54166.666666666664</v>
      </c>
      <c r="W16" s="65">
        <f t="shared" si="9"/>
        <v>54166.666666666664</v>
      </c>
      <c r="X16" s="65">
        <f t="shared" si="9"/>
        <v>54166.666666666664</v>
      </c>
      <c r="Y16" s="65">
        <f t="shared" si="9"/>
        <v>54166.666666666664</v>
      </c>
      <c r="Z16" s="65">
        <f t="shared" si="9"/>
        <v>54166.666666666664</v>
      </c>
      <c r="AA16" s="65">
        <f t="shared" si="9"/>
        <v>54166.666666666664</v>
      </c>
      <c r="AB16" s="79">
        <f>SUM(P16:AA16)</f>
        <v>650000</v>
      </c>
      <c r="AC16" s="69"/>
      <c r="AD16" s="71">
        <v>650000</v>
      </c>
    </row>
    <row r="17" spans="1:30" ht="15">
      <c r="A17" s="60"/>
      <c r="B17" s="70">
        <f t="shared" ref="B17:N17" si="10">SUM(B14:B16)</f>
        <v>12891728.029999997</v>
      </c>
      <c r="C17" s="70">
        <f t="shared" si="10"/>
        <v>1164234.25</v>
      </c>
      <c r="D17" s="70">
        <f t="shared" si="10"/>
        <v>14055962.279999997</v>
      </c>
      <c r="E17" s="70">
        <f t="shared" si="10"/>
        <v>3088333.3333333335</v>
      </c>
      <c r="F17" s="70">
        <f t="shared" si="10"/>
        <v>3088333.3333333335</v>
      </c>
      <c r="G17" s="70">
        <f t="shared" si="10"/>
        <v>3088333.3333333335</v>
      </c>
      <c r="H17" s="70">
        <f t="shared" si="10"/>
        <v>3088333.3333333335</v>
      </c>
      <c r="I17" s="70">
        <f t="shared" si="10"/>
        <v>3678333.3333333335</v>
      </c>
      <c r="J17" s="70">
        <f t="shared" si="10"/>
        <v>3088333.3333333335</v>
      </c>
      <c r="K17" s="70">
        <f t="shared" si="10"/>
        <v>3088333.3333333335</v>
      </c>
      <c r="L17" s="76">
        <f t="shared" si="10"/>
        <v>44668850.939733334</v>
      </c>
      <c r="M17" s="76">
        <f t="shared" si="10"/>
        <v>37061156</v>
      </c>
      <c r="N17" s="76">
        <f t="shared" si="10"/>
        <v>37415489</v>
      </c>
      <c r="O17" s="69"/>
      <c r="P17" s="70">
        <f t="shared" ref="P17:AB17" si="11">SUM(P14:P16)</f>
        <v>3137500</v>
      </c>
      <c r="Q17" s="70">
        <f t="shared" si="11"/>
        <v>3137500</v>
      </c>
      <c r="R17" s="70">
        <f t="shared" si="11"/>
        <v>3137500</v>
      </c>
      <c r="S17" s="70">
        <f t="shared" si="11"/>
        <v>3137500</v>
      </c>
      <c r="T17" s="70">
        <f t="shared" si="11"/>
        <v>3137500</v>
      </c>
      <c r="U17" s="70">
        <f t="shared" si="11"/>
        <v>3137500</v>
      </c>
      <c r="V17" s="70">
        <f t="shared" si="11"/>
        <v>3137500</v>
      </c>
      <c r="W17" s="70">
        <f t="shared" si="11"/>
        <v>3137500</v>
      </c>
      <c r="X17" s="70">
        <f t="shared" si="11"/>
        <v>3137500</v>
      </c>
      <c r="Y17" s="70">
        <f t="shared" si="11"/>
        <v>3137500</v>
      </c>
      <c r="Z17" s="70">
        <f t="shared" si="11"/>
        <v>3137500</v>
      </c>
      <c r="AA17" s="70">
        <f t="shared" si="11"/>
        <v>3137500</v>
      </c>
      <c r="AB17" s="76">
        <f t="shared" si="11"/>
        <v>37650000</v>
      </c>
      <c r="AC17" s="69"/>
      <c r="AD17" s="76">
        <f>SUM(AD14:AD16)</f>
        <v>37650000</v>
      </c>
    </row>
    <row r="18" spans="1:30" ht="15">
      <c r="A18" s="60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79"/>
      <c r="M18" s="79"/>
      <c r="N18" s="79"/>
      <c r="O18" s="69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79"/>
      <c r="AC18" s="69"/>
      <c r="AD18" s="71"/>
    </row>
    <row r="19" spans="1:30" ht="15">
      <c r="A19" s="50" t="s">
        <v>37</v>
      </c>
      <c r="B19" s="65">
        <v>381605.19</v>
      </c>
      <c r="C19" s="65"/>
      <c r="D19" s="65">
        <f>SUM(B19:C19)</f>
        <v>381605.19</v>
      </c>
      <c r="E19" s="65">
        <v>125000</v>
      </c>
      <c r="F19" s="65">
        <v>125000</v>
      </c>
      <c r="G19" s="65">
        <v>125000</v>
      </c>
      <c r="H19" s="65">
        <v>125000</v>
      </c>
      <c r="I19" s="65">
        <v>125000</v>
      </c>
      <c r="J19" s="65">
        <v>125000</v>
      </c>
      <c r="K19" s="65">
        <v>125000</v>
      </c>
      <c r="L19" s="79">
        <f>SUM(B19:K19)</f>
        <v>1638210.38</v>
      </c>
      <c r="M19" s="71">
        <v>1500000</v>
      </c>
      <c r="N19" s="79">
        <v>1571554</v>
      </c>
      <c r="O19" s="69"/>
      <c r="P19" s="65">
        <f>+$AD$19/12</f>
        <v>125000</v>
      </c>
      <c r="Q19" s="65">
        <f t="shared" ref="Q19:AA19" si="12">+$AD$19/12</f>
        <v>125000</v>
      </c>
      <c r="R19" s="65">
        <f t="shared" si="12"/>
        <v>125000</v>
      </c>
      <c r="S19" s="65">
        <f t="shared" si="12"/>
        <v>125000</v>
      </c>
      <c r="T19" s="65">
        <f t="shared" si="12"/>
        <v>125000</v>
      </c>
      <c r="U19" s="65">
        <f t="shared" si="12"/>
        <v>125000</v>
      </c>
      <c r="V19" s="65">
        <f t="shared" si="12"/>
        <v>125000</v>
      </c>
      <c r="W19" s="65">
        <f t="shared" si="12"/>
        <v>125000</v>
      </c>
      <c r="X19" s="65">
        <f t="shared" si="12"/>
        <v>125000</v>
      </c>
      <c r="Y19" s="65">
        <f t="shared" si="12"/>
        <v>125000</v>
      </c>
      <c r="Z19" s="65">
        <f t="shared" si="12"/>
        <v>125000</v>
      </c>
      <c r="AA19" s="65">
        <f t="shared" si="12"/>
        <v>125000</v>
      </c>
      <c r="AB19" s="79">
        <f>SUM(P19:AA19)</f>
        <v>1500000</v>
      </c>
      <c r="AC19" s="69"/>
      <c r="AD19" s="71">
        <v>1500000</v>
      </c>
    </row>
    <row r="20" spans="1:30" ht="15">
      <c r="A20" s="50" t="s">
        <v>46</v>
      </c>
      <c r="B20" s="65">
        <f>236581.51-B23</f>
        <v>190767.39</v>
      </c>
      <c r="C20" s="65">
        <v>7474.99</v>
      </c>
      <c r="D20" s="65">
        <f t="shared" ref="D20:D23" si="13">SUM(B20:C20)</f>
        <v>198242.38</v>
      </c>
      <c r="E20" s="65">
        <v>7000</v>
      </c>
      <c r="F20" s="65">
        <v>7000</v>
      </c>
      <c r="G20" s="65">
        <v>7000</v>
      </c>
      <c r="H20" s="65">
        <v>7000</v>
      </c>
      <c r="I20" s="65">
        <v>12000</v>
      </c>
      <c r="J20" s="65">
        <v>12000</v>
      </c>
      <c r="K20" s="65">
        <v>12000</v>
      </c>
      <c r="L20" s="79">
        <f>SUM(B20:K20)</f>
        <v>460484.76</v>
      </c>
      <c r="M20" s="71">
        <f>174100+75000</f>
        <v>249100</v>
      </c>
      <c r="N20" s="79">
        <v>451344</v>
      </c>
      <c r="O20" s="69"/>
      <c r="P20" s="65">
        <v>45000</v>
      </c>
      <c r="Q20" s="65">
        <v>12000</v>
      </c>
      <c r="R20" s="65">
        <v>12000</v>
      </c>
      <c r="S20" s="65">
        <v>12000</v>
      </c>
      <c r="T20" s="65">
        <v>7000</v>
      </c>
      <c r="U20" s="65">
        <v>7000</v>
      </c>
      <c r="V20" s="65">
        <v>7000</v>
      </c>
      <c r="W20" s="65">
        <v>7000</v>
      </c>
      <c r="X20" s="65">
        <v>7000</v>
      </c>
      <c r="Y20" s="65">
        <v>12000</v>
      </c>
      <c r="Z20" s="65">
        <v>12000</v>
      </c>
      <c r="AA20" s="65">
        <v>12000</v>
      </c>
      <c r="AB20" s="79">
        <f>SUM(P20:AA20)</f>
        <v>152000</v>
      </c>
      <c r="AC20" s="69"/>
      <c r="AD20" s="71">
        <v>152000</v>
      </c>
    </row>
    <row r="21" spans="1:30" ht="15">
      <c r="A21" s="50" t="s">
        <v>44</v>
      </c>
      <c r="B21" s="65">
        <v>31476.91</v>
      </c>
      <c r="C21" s="65"/>
      <c r="D21" s="65">
        <f t="shared" si="13"/>
        <v>31476.91</v>
      </c>
      <c r="E21" s="65">
        <v>42549.75</v>
      </c>
      <c r="F21" s="65">
        <v>42549.75</v>
      </c>
      <c r="G21" s="65">
        <v>42549.75</v>
      </c>
      <c r="H21" s="65">
        <v>42549.75</v>
      </c>
      <c r="I21" s="65">
        <v>42549.75</v>
      </c>
      <c r="J21" s="65">
        <v>42549.75</v>
      </c>
      <c r="K21" s="65">
        <v>42549.75</v>
      </c>
      <c r="L21" s="79">
        <f>SUM(B21:K21)</f>
        <v>360802.07</v>
      </c>
      <c r="M21" s="71">
        <f>3800+635621</f>
        <v>639421</v>
      </c>
      <c r="N21" s="79">
        <v>380071</v>
      </c>
      <c r="O21" s="69"/>
      <c r="P21" s="65">
        <f>+$AD$21/12</f>
        <v>42549.75</v>
      </c>
      <c r="Q21" s="65">
        <f t="shared" ref="Q21:AA21" si="14">+$AD$21/12</f>
        <v>42549.75</v>
      </c>
      <c r="R21" s="65">
        <f t="shared" si="14"/>
        <v>42549.75</v>
      </c>
      <c r="S21" s="65">
        <f t="shared" si="14"/>
        <v>42549.75</v>
      </c>
      <c r="T21" s="65">
        <f t="shared" si="14"/>
        <v>42549.75</v>
      </c>
      <c r="U21" s="65">
        <f t="shared" si="14"/>
        <v>42549.75</v>
      </c>
      <c r="V21" s="65">
        <f t="shared" si="14"/>
        <v>42549.75</v>
      </c>
      <c r="W21" s="65">
        <f t="shared" si="14"/>
        <v>42549.75</v>
      </c>
      <c r="X21" s="65">
        <f t="shared" si="14"/>
        <v>42549.75</v>
      </c>
      <c r="Y21" s="65">
        <f t="shared" si="14"/>
        <v>42549.75</v>
      </c>
      <c r="Z21" s="65">
        <f t="shared" si="14"/>
        <v>42549.75</v>
      </c>
      <c r="AA21" s="65">
        <f t="shared" si="14"/>
        <v>42549.75</v>
      </c>
      <c r="AB21" s="79">
        <f>SUM(P21:AA21)</f>
        <v>510597</v>
      </c>
      <c r="AC21" s="69"/>
      <c r="AD21" s="71">
        <f>455397+(69000*0.8)</f>
        <v>510597</v>
      </c>
    </row>
    <row r="22" spans="1:30" ht="15">
      <c r="A22" s="50" t="s">
        <v>45</v>
      </c>
      <c r="B22" s="65">
        <v>100164.38</v>
      </c>
      <c r="C22" s="65">
        <v>10342.51</v>
      </c>
      <c r="D22" s="65">
        <f t="shared" si="13"/>
        <v>110506.89</v>
      </c>
      <c r="E22" s="65">
        <v>9256.6666666666661</v>
      </c>
      <c r="F22" s="65">
        <v>9256.6666666666661</v>
      </c>
      <c r="G22" s="65">
        <v>9256.6666666666661</v>
      </c>
      <c r="H22" s="65">
        <v>9256.6666666666661</v>
      </c>
      <c r="I22" s="65">
        <v>9256.6666666666661</v>
      </c>
      <c r="J22" s="65">
        <v>9256.6666666666661</v>
      </c>
      <c r="K22" s="65">
        <v>9256.6666666666661</v>
      </c>
      <c r="L22" s="79">
        <f>SUM(B22:K22)</f>
        <v>285810.44666666666</v>
      </c>
      <c r="M22" s="71">
        <f>3800+170539</f>
        <v>174339</v>
      </c>
      <c r="N22" s="79">
        <v>269275</v>
      </c>
      <c r="O22" s="69"/>
      <c r="P22" s="65">
        <f>+$AD$22/12</f>
        <v>9256.6666666666661</v>
      </c>
      <c r="Q22" s="65">
        <f t="shared" ref="Q22:AA22" si="15">+$AD$22/12</f>
        <v>9256.6666666666661</v>
      </c>
      <c r="R22" s="65">
        <f t="shared" si="15"/>
        <v>9256.6666666666661</v>
      </c>
      <c r="S22" s="65">
        <f t="shared" si="15"/>
        <v>9256.6666666666661</v>
      </c>
      <c r="T22" s="65">
        <f t="shared" si="15"/>
        <v>9256.6666666666661</v>
      </c>
      <c r="U22" s="65">
        <f t="shared" si="15"/>
        <v>9256.6666666666661</v>
      </c>
      <c r="V22" s="65">
        <f t="shared" si="15"/>
        <v>9256.6666666666661</v>
      </c>
      <c r="W22" s="65">
        <f t="shared" si="15"/>
        <v>9256.6666666666661</v>
      </c>
      <c r="X22" s="65">
        <f t="shared" si="15"/>
        <v>9256.6666666666661</v>
      </c>
      <c r="Y22" s="65">
        <f t="shared" si="15"/>
        <v>9256.6666666666661</v>
      </c>
      <c r="Z22" s="65">
        <f t="shared" si="15"/>
        <v>9256.6666666666661</v>
      </c>
      <c r="AA22" s="65">
        <f t="shared" si="15"/>
        <v>9256.6666666666661</v>
      </c>
      <c r="AB22" s="79">
        <f>SUM(P22:AA22)</f>
        <v>111080.00000000001</v>
      </c>
      <c r="AC22" s="69"/>
      <c r="AD22" s="71">
        <f>97280+(69000*0.2)</f>
        <v>111080</v>
      </c>
    </row>
    <row r="23" spans="1:30" ht="15">
      <c r="A23" s="50" t="s">
        <v>56</v>
      </c>
      <c r="B23" s="65">
        <v>45814.12</v>
      </c>
      <c r="C23" s="65">
        <v>25953.96</v>
      </c>
      <c r="D23" s="65">
        <f t="shared" si="13"/>
        <v>71768.08</v>
      </c>
      <c r="E23" s="65">
        <v>6458.333333333333</v>
      </c>
      <c r="F23" s="65">
        <v>6458.333333333333</v>
      </c>
      <c r="G23" s="65">
        <v>6458.333333333333</v>
      </c>
      <c r="H23" s="65">
        <v>6458.333333333333</v>
      </c>
      <c r="I23" s="65">
        <v>6458.333333333333</v>
      </c>
      <c r="J23" s="65">
        <v>6458.333333333333</v>
      </c>
      <c r="K23" s="65">
        <v>6458.333333333333</v>
      </c>
      <c r="L23" s="79">
        <f>SUM(B23:K23)</f>
        <v>188744.4933333334</v>
      </c>
      <c r="M23" s="71">
        <v>529287</v>
      </c>
      <c r="N23" s="79">
        <v>128059</v>
      </c>
      <c r="O23" s="78"/>
      <c r="P23" s="65">
        <f>+$AD$23/12</f>
        <v>6458.333333333333</v>
      </c>
      <c r="Q23" s="65">
        <f t="shared" ref="Q23:AA23" si="16">+$AD$23/12</f>
        <v>6458.333333333333</v>
      </c>
      <c r="R23" s="65">
        <f t="shared" si="16"/>
        <v>6458.333333333333</v>
      </c>
      <c r="S23" s="65">
        <f t="shared" si="16"/>
        <v>6458.333333333333</v>
      </c>
      <c r="T23" s="65">
        <f t="shared" si="16"/>
        <v>6458.333333333333</v>
      </c>
      <c r="U23" s="65">
        <f t="shared" si="16"/>
        <v>6458.333333333333</v>
      </c>
      <c r="V23" s="65">
        <f t="shared" si="16"/>
        <v>6458.333333333333</v>
      </c>
      <c r="W23" s="65">
        <f t="shared" si="16"/>
        <v>6458.333333333333</v>
      </c>
      <c r="X23" s="65">
        <f t="shared" si="16"/>
        <v>6458.333333333333</v>
      </c>
      <c r="Y23" s="65">
        <f t="shared" si="16"/>
        <v>6458.333333333333</v>
      </c>
      <c r="Z23" s="65">
        <f t="shared" si="16"/>
        <v>6458.333333333333</v>
      </c>
      <c r="AA23" s="65">
        <f t="shared" si="16"/>
        <v>6458.333333333333</v>
      </c>
      <c r="AB23" s="79">
        <f>SUM(P23:AA23)</f>
        <v>77500</v>
      </c>
      <c r="AC23" s="78"/>
      <c r="AD23" s="71">
        <v>77500</v>
      </c>
    </row>
    <row r="24" spans="1:30" ht="15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71"/>
      <c r="M24" s="71"/>
      <c r="N24" s="71"/>
      <c r="O24" s="78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71"/>
      <c r="AC24" s="78"/>
      <c r="AD24" s="71"/>
    </row>
    <row r="25" spans="1:30">
      <c r="A25" s="66" t="s">
        <v>2</v>
      </c>
      <c r="B25" s="51">
        <f t="shared" ref="B25:N25" si="17">+B11+B17+SUM(B19:B24)</f>
        <v>21191809.209999997</v>
      </c>
      <c r="C25" s="51">
        <f t="shared" si="17"/>
        <v>2128224.36</v>
      </c>
      <c r="D25" s="51">
        <f t="shared" si="17"/>
        <v>23320033.569999997</v>
      </c>
      <c r="E25" s="51">
        <f t="shared" si="17"/>
        <v>5026514.75</v>
      </c>
      <c r="F25" s="51">
        <f t="shared" si="17"/>
        <v>5026514.75</v>
      </c>
      <c r="G25" s="51">
        <f t="shared" si="17"/>
        <v>5026514.75</v>
      </c>
      <c r="H25" s="51">
        <f t="shared" si="17"/>
        <v>5026514.75</v>
      </c>
      <c r="I25" s="51">
        <f t="shared" si="17"/>
        <v>5621514.75</v>
      </c>
      <c r="J25" s="51">
        <f t="shared" si="17"/>
        <v>7131514.75</v>
      </c>
      <c r="K25" s="51">
        <f t="shared" si="17"/>
        <v>5031514.75</v>
      </c>
      <c r="L25" s="77">
        <f t="shared" si="17"/>
        <v>70408791.596400008</v>
      </c>
      <c r="M25" s="77">
        <f t="shared" si="17"/>
        <v>64937045</v>
      </c>
      <c r="N25" s="77">
        <f t="shared" si="17"/>
        <v>63525199</v>
      </c>
      <c r="O25" s="77"/>
      <c r="P25" s="51">
        <f t="shared" ref="P25:AB25" si="18">+P11+P17+SUM(P19:P24)</f>
        <v>5113681.416666667</v>
      </c>
      <c r="Q25" s="51">
        <f t="shared" si="18"/>
        <v>5080681.416666667</v>
      </c>
      <c r="R25" s="51">
        <f t="shared" si="18"/>
        <v>5080681.416666667</v>
      </c>
      <c r="S25" s="51">
        <f t="shared" si="18"/>
        <v>5080681.416666667</v>
      </c>
      <c r="T25" s="51">
        <f t="shared" si="18"/>
        <v>5075681.416666667</v>
      </c>
      <c r="U25" s="51">
        <f t="shared" si="18"/>
        <v>5075681.416666667</v>
      </c>
      <c r="V25" s="51">
        <f t="shared" si="18"/>
        <v>5075681.416666667</v>
      </c>
      <c r="W25" s="51">
        <f t="shared" si="18"/>
        <v>5075681.416666667</v>
      </c>
      <c r="X25" s="51">
        <f t="shared" si="18"/>
        <v>5075681.416666667</v>
      </c>
      <c r="Y25" s="51">
        <f t="shared" si="18"/>
        <v>5080681.416666667</v>
      </c>
      <c r="Z25" s="51">
        <f t="shared" si="18"/>
        <v>7180681.416666667</v>
      </c>
      <c r="AA25" s="51">
        <f t="shared" si="18"/>
        <v>5080681.416666667</v>
      </c>
      <c r="AB25" s="77">
        <f t="shared" si="18"/>
        <v>63076177</v>
      </c>
      <c r="AC25" s="77"/>
      <c r="AD25" s="77">
        <f>+AD11+AD17+SUM(AD19:AD24)</f>
        <v>63076177</v>
      </c>
    </row>
    <row r="26" spans="1:30" s="58" customFormat="1">
      <c r="B26" s="2"/>
      <c r="C26" s="2"/>
      <c r="D26" s="2"/>
      <c r="E26" s="2"/>
      <c r="F26" s="2"/>
      <c r="G26" s="2"/>
      <c r="H26" s="2"/>
      <c r="I26" s="2"/>
      <c r="J26" s="2"/>
      <c r="K26" s="2"/>
      <c r="L26" s="53"/>
      <c r="M26" s="53"/>
      <c r="N26" s="53"/>
      <c r="O26" s="67"/>
    </row>
    <row r="27" spans="1:30" ht="25.5" customHeight="1">
      <c r="A27" s="68"/>
      <c r="B27" s="1"/>
      <c r="C27" s="1"/>
      <c r="D27" s="1"/>
      <c r="E27" s="1"/>
      <c r="F27" s="1"/>
      <c r="G27" s="1"/>
      <c r="H27" s="1"/>
      <c r="I27" s="1"/>
      <c r="J27" s="1"/>
      <c r="K27" s="1"/>
      <c r="L27" s="52"/>
      <c r="M27" s="52"/>
      <c r="N27" s="52"/>
    </row>
    <row r="28" spans="1:30">
      <c r="B28" s="1"/>
      <c r="C28" s="1"/>
      <c r="D28" s="1"/>
      <c r="E28" s="1"/>
      <c r="F28" s="1"/>
      <c r="G28" s="1"/>
      <c r="H28" s="1"/>
    </row>
    <row r="29" spans="1:30">
      <c r="A29" s="58" t="s">
        <v>41</v>
      </c>
    </row>
    <row r="30" spans="1:30" ht="25.5">
      <c r="A30" s="88" t="s">
        <v>73</v>
      </c>
    </row>
    <row r="31" spans="1:30" ht="25.5">
      <c r="A31" s="88" t="s">
        <v>62</v>
      </c>
      <c r="E31" s="90"/>
    </row>
    <row r="32" spans="1:30">
      <c r="A32" s="88" t="s">
        <v>53</v>
      </c>
    </row>
    <row r="33" spans="1:1">
      <c r="A33" s="88" t="s">
        <v>74</v>
      </c>
    </row>
    <row r="34" spans="1:1" ht="25.5">
      <c r="A34" s="88" t="s">
        <v>66</v>
      </c>
    </row>
  </sheetData>
  <mergeCells count="25">
    <mergeCell ref="M14:M15"/>
    <mergeCell ref="L14:L15"/>
    <mergeCell ref="N14:N15"/>
    <mergeCell ref="E14:E15"/>
    <mergeCell ref="F14:F15"/>
    <mergeCell ref="G14:G15"/>
    <mergeCell ref="H14:H15"/>
    <mergeCell ref="I14:I15"/>
    <mergeCell ref="J14:J15"/>
    <mergeCell ref="K14:K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D14:AD15"/>
    <mergeCell ref="AC14:AC15"/>
  </mergeCells>
  <pageMargins left="0.45" right="0.45" top="0.75" bottom="0.75" header="0.3" footer="0.3"/>
  <pageSetup scale="61" fitToWidth="0" orientation="landscape" r:id="rId1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4:J26"/>
  <sheetViews>
    <sheetView workbookViewId="0">
      <selection activeCell="G28" sqref="G28"/>
    </sheetView>
  </sheetViews>
  <sheetFormatPr defaultRowHeight="15"/>
  <cols>
    <col min="7" max="7" width="52.42578125" customWidth="1"/>
    <col min="8" max="8" width="14.85546875" customWidth="1"/>
    <col min="9" max="9" width="16.28515625" customWidth="1"/>
    <col min="10" max="10" width="17.42578125" customWidth="1"/>
  </cols>
  <sheetData>
    <row r="4" spans="7:10" ht="15.75">
      <c r="G4" s="103"/>
      <c r="H4" s="104" t="s">
        <v>64</v>
      </c>
      <c r="I4" s="105" t="s">
        <v>65</v>
      </c>
      <c r="J4" s="106" t="s">
        <v>60</v>
      </c>
    </row>
    <row r="5" spans="7:10" ht="15.75">
      <c r="G5" s="103"/>
      <c r="H5" s="107" t="s">
        <v>33</v>
      </c>
      <c r="I5" s="108" t="s">
        <v>33</v>
      </c>
      <c r="J5" s="107" t="s">
        <v>33</v>
      </c>
    </row>
    <row r="6" spans="7:10" ht="15.75">
      <c r="G6" s="103"/>
      <c r="H6" s="108"/>
      <c r="I6" s="108"/>
      <c r="J6" s="109"/>
    </row>
    <row r="7" spans="7:10" ht="15.75">
      <c r="G7" s="110" t="s">
        <v>0</v>
      </c>
      <c r="H7" s="111"/>
      <c r="I7" s="111"/>
      <c r="J7" s="109"/>
    </row>
    <row r="8" spans="7:10" ht="15.75">
      <c r="G8" s="112" t="s">
        <v>48</v>
      </c>
      <c r="H8" s="113">
        <v>7000000</v>
      </c>
      <c r="I8" s="114">
        <v>6410100</v>
      </c>
      <c r="J8" s="113">
        <v>6300000</v>
      </c>
    </row>
    <row r="9" spans="7:10" ht="15.75">
      <c r="G9" s="112" t="s">
        <v>1</v>
      </c>
      <c r="H9" s="113">
        <v>75000</v>
      </c>
      <c r="I9" s="114">
        <v>90103</v>
      </c>
      <c r="J9" s="113">
        <v>75000</v>
      </c>
    </row>
    <row r="10" spans="7:10" ht="15.75">
      <c r="G10" s="112" t="s">
        <v>49</v>
      </c>
      <c r="H10" s="113">
        <v>850080</v>
      </c>
      <c r="I10" s="114">
        <v>1047839</v>
      </c>
      <c r="J10" s="113">
        <v>1200000</v>
      </c>
    </row>
    <row r="11" spans="7:10" ht="15.75">
      <c r="G11" s="112" t="s">
        <v>47</v>
      </c>
      <c r="H11" s="113">
        <f>16612535+246127</f>
        <v>16858662</v>
      </c>
      <c r="I11" s="114">
        <v>15761365</v>
      </c>
      <c r="J11" s="113">
        <v>15500000</v>
      </c>
    </row>
    <row r="12" spans="7:10" ht="15.75">
      <c r="G12" s="106"/>
      <c r="H12" s="115">
        <f t="shared" ref="H12:I12" si="0">SUM(H8:H11)</f>
        <v>24783742</v>
      </c>
      <c r="I12" s="115">
        <f t="shared" si="0"/>
        <v>23309407</v>
      </c>
      <c r="J12" s="115">
        <f>SUM(J8:J11)</f>
        <v>23075000</v>
      </c>
    </row>
    <row r="13" spans="7:10" ht="15.75">
      <c r="G13" s="103"/>
      <c r="H13" s="113"/>
      <c r="I13" s="113"/>
      <c r="J13" s="113"/>
    </row>
    <row r="14" spans="7:10" ht="15.75">
      <c r="G14" s="110" t="s">
        <v>50</v>
      </c>
      <c r="H14" s="113"/>
      <c r="I14" s="113"/>
      <c r="J14" s="113"/>
    </row>
    <row r="15" spans="7:10" ht="15.75">
      <c r="G15" s="112" t="s">
        <v>51</v>
      </c>
      <c r="H15" s="126">
        <v>36461156</v>
      </c>
      <c r="I15" s="127">
        <v>36676632</v>
      </c>
      <c r="J15" s="128">
        <v>37000000</v>
      </c>
    </row>
    <row r="16" spans="7:10" ht="15.75">
      <c r="G16" s="112" t="s">
        <v>52</v>
      </c>
      <c r="H16" s="126"/>
      <c r="I16" s="127"/>
      <c r="J16" s="128"/>
    </row>
    <row r="17" spans="7:10" ht="15.75">
      <c r="G17" s="112" t="s">
        <v>36</v>
      </c>
      <c r="H17" s="113">
        <v>600000</v>
      </c>
      <c r="I17" s="114">
        <v>738857</v>
      </c>
      <c r="J17" s="113">
        <v>650000</v>
      </c>
    </row>
    <row r="18" spans="7:10" ht="16.5" thickBot="1">
      <c r="G18" s="106"/>
      <c r="H18" s="116">
        <f t="shared" ref="H18:I18" si="1">SUM(H15:H17)</f>
        <v>37061156</v>
      </c>
      <c r="I18" s="116">
        <f t="shared" si="1"/>
        <v>37415489</v>
      </c>
      <c r="J18" s="116">
        <f>SUM(J15:J17)</f>
        <v>37650000</v>
      </c>
    </row>
    <row r="19" spans="7:10" ht="15.75">
      <c r="G19" s="106"/>
      <c r="H19" s="114"/>
      <c r="I19" s="114"/>
      <c r="J19" s="113"/>
    </row>
    <row r="20" spans="7:10" ht="15.75">
      <c r="G20" s="112" t="s">
        <v>37</v>
      </c>
      <c r="H20" s="113">
        <v>1500000</v>
      </c>
      <c r="I20" s="114">
        <v>1571554</v>
      </c>
      <c r="J20" s="113">
        <v>1500000</v>
      </c>
    </row>
    <row r="21" spans="7:10" ht="15.75">
      <c r="G21" s="112" t="s">
        <v>46</v>
      </c>
      <c r="H21" s="113">
        <f>174100+75000</f>
        <v>249100</v>
      </c>
      <c r="I21" s="114">
        <v>451344</v>
      </c>
      <c r="J21" s="113">
        <v>152000</v>
      </c>
    </row>
    <row r="22" spans="7:10" ht="15.75">
      <c r="G22" s="112" t="s">
        <v>44</v>
      </c>
      <c r="H22" s="113">
        <f>3800+635621</f>
        <v>639421</v>
      </c>
      <c r="I22" s="114">
        <v>380071</v>
      </c>
      <c r="J22" s="113">
        <f>455397+(69000*0.8)</f>
        <v>510597</v>
      </c>
    </row>
    <row r="23" spans="7:10" ht="15.75">
      <c r="G23" s="112" t="s">
        <v>45</v>
      </c>
      <c r="H23" s="113">
        <f>3800+170539</f>
        <v>174339</v>
      </c>
      <c r="I23" s="114">
        <v>269275</v>
      </c>
      <c r="J23" s="113">
        <f>97280+(69000*0.2)</f>
        <v>111080</v>
      </c>
    </row>
    <row r="24" spans="7:10" ht="15.75">
      <c r="G24" s="112" t="s">
        <v>56</v>
      </c>
      <c r="H24" s="113">
        <v>529287</v>
      </c>
      <c r="I24" s="114">
        <v>128059</v>
      </c>
      <c r="J24" s="113">
        <v>77500</v>
      </c>
    </row>
    <row r="25" spans="7:10" ht="15.75">
      <c r="G25" s="103"/>
      <c r="H25" s="113"/>
      <c r="I25" s="113"/>
      <c r="J25" s="113"/>
    </row>
    <row r="26" spans="7:10" ht="15.75">
      <c r="G26" s="117" t="s">
        <v>2</v>
      </c>
      <c r="H26" s="118">
        <f t="shared" ref="H26:I26" si="2">+H12+H18+SUM(H20:H25)</f>
        <v>64937045</v>
      </c>
      <c r="I26" s="118">
        <f t="shared" si="2"/>
        <v>63525199</v>
      </c>
      <c r="J26" s="118">
        <f>+J12+J18+SUM(J20:J25)</f>
        <v>63076177</v>
      </c>
    </row>
  </sheetData>
  <mergeCells count="3">
    <mergeCell ref="H15:H16"/>
    <mergeCell ref="I15:I16"/>
    <mergeCell ref="J15:J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Balancing Acct</vt:lpstr>
      <vt:lpstr>Projected Expense</vt:lpstr>
      <vt:lpstr>Sheet1</vt:lpstr>
      <vt:lpstr>'Balancing Acct'!Print_Titles</vt:lpstr>
      <vt:lpstr>'Projected Expense'!Print_Titles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2010-11-01T19:40:29Z</dcterms:created>
  <dcterms:modified xsi:type="dcterms:W3CDTF">2020-07-01T22:14:50Z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