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4\"/>
    </mc:Choice>
  </mc:AlternateContent>
  <bookViews>
    <workbookView xWindow="0" yWindow="0" windowWidth="21540" windowHeight="10935" tabRatio="826"/>
  </bookViews>
  <sheets>
    <sheet name="Exhibit-RMP(RMM-3) page 1" sheetId="10" r:id="rId1"/>
    <sheet name="Exhibit-RMP(RMM-3) page 2" sheetId="6" r:id="rId2"/>
    <sheet name="Exhibit-RMP(RMM-3) pg 3-21" sheetId="33" r:id="rId3"/>
    <sheet name="NOT EXHIBIT&gt;&gt;&gt;" sheetId="39" r:id="rId4"/>
    <sheet name="Sh1 Bill Impact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Top1">[1]Jan!#REF!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TOP1">[1]Jan!#REF!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MEN3">[1]Jan!#REF!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MEN2">[1]Jan!#REF!</definedName>
    <definedName name="______MEN3">[1]Jan!#REF!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TOP1">[1]Jan!#REF!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MEN2">[1]Jan!#REF!</definedName>
    <definedName name="_____MEN3">[1]Jan!#REF!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TOP1">[1]Jan!#REF!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0" hidden="1">[2]Inputs!#REF!</definedName>
    <definedName name="__123Graph_A" localSheetId="4" hidden="1">[2]Inputs!#REF!</definedName>
    <definedName name="__123Graph_A" hidden="1">[2]Inputs!#REF!</definedName>
    <definedName name="__123Graph_B" localSheetId="0" hidden="1">[2]Inputs!#REF!</definedName>
    <definedName name="__123Graph_B" localSheetId="4" hidden="1">[2]Inputs!#REF!</definedName>
    <definedName name="__123Graph_B" hidden="1">[2]Inputs!#REF!</definedName>
    <definedName name="__123Graph_D" localSheetId="0" hidden="1">[2]Inputs!#REF!</definedName>
    <definedName name="__123Graph_D" localSheetId="4" hidden="1">[2]Inputs!#REF!</definedName>
    <definedName name="__123Graph_D" hidden="1">[2]Inputs!#REF!</definedName>
    <definedName name="__123Graph_E" localSheetId="4" hidden="1">[3]Input!$E$22:$E$37</definedName>
    <definedName name="__123Graph_E" hidden="1">[4]Input!$E$22:$E$37</definedName>
    <definedName name="__123Graph_F" localSheetId="4" hidden="1">[3]Input!$D$22:$D$37</definedName>
    <definedName name="__123Graph_F" hidden="1">[4]Input!$D$22:$D$37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hidden="1">#REF!</definedName>
    <definedName name="_xlnm._FilterDatabase" localSheetId="0" hidden="1">'Exhibit-RMP(RMM-3) page 1'!$M$15:$M$49</definedName>
    <definedName name="_xlnm._FilterDatabase" localSheetId="4" hidden="1">#REF!</definedName>
    <definedName name="_xlnm._FilterDatabase" hidden="1">#REF!</definedName>
    <definedName name="_idahoshr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4" hidden="1">#REF!</definedName>
    <definedName name="_Key2" hidden="1">#REF!</definedName>
    <definedName name="_MEN2">[1]Jan!#REF!</definedName>
    <definedName name="_MEN3">[1]Jan!#REF!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localSheetId="4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4" hidden="1">255</definedName>
    <definedName name="_Order2" hidden="1">0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4" hidden="1">#REF!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x1" localSheetId="4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4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4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4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localSheetId="4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able">[6]Variables!$AK$42:$AK$396</definedName>
    <definedName name="AcctTS0">[5]FuncStudy!$F$1380</definedName>
    <definedName name="ActualROR">#REF!</definedName>
    <definedName name="Additions_by_Function_Project_State_Month">'[7]Apr 05 - Mar 06 Adds'!#REF!</definedName>
    <definedName name="Adjs2avg">[8]Inputs!$L$255:'[8]Inputs'!$T$505</definedName>
    <definedName name="Adjustment">#REF!</definedName>
    <definedName name="aftertax_ror">[9]Utah!#REF!</definedName>
    <definedName name="alkjslkj" localSheetId="4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nual_WD">'[10]WD_WE_Aggreg end 0608'!$B$2:$O$49</definedName>
    <definedName name="Annual_WE">'[10]WD_WE_Aggreg end 0608'!$B$50:$O$97</definedName>
    <definedName name="anscount" hidden="1">1</definedName>
    <definedName name="APR">[1]Jan!#REF!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[11]Factors!$B$3:$P$99</definedName>
    <definedName name="B1_Print">[12]Main!#REF!</definedName>
    <definedName name="B2_Print">#REF!</definedName>
    <definedName name="B3_Print">#REF!</definedName>
    <definedName name="Bottom">#REF!</definedName>
    <definedName name="budsum2">[13]Att1!#REF!</definedName>
    <definedName name="bump">[9]Utah!#REF!</definedName>
    <definedName name="Burn">[14]NPC!$E$590:$Q$615</definedName>
    <definedName name="C_">'[15]Other States WZAMRT98'!#REF!</definedName>
    <definedName name="CA_Net_Rate_Base">#REF!</definedName>
    <definedName name="CA_Operating_Revenue_For_Return">#REF!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RBON_LONG">#REF!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'[16]COS Factor Table'!$F$13:$O$13</definedName>
    <definedName name="Classification">[5]FuncStudy!$Y$91</definedName>
    <definedName name="COAL_RECEIVED">#REF!</definedName>
    <definedName name="COAL_SALES">#REF!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actTypeDol">#REF!</definedName>
    <definedName name="ContractTypeMWh">#REF!</definedName>
    <definedName name="Controls">[17]Controls!$A$1:$I$543</definedName>
    <definedName name="Controls2013">[17]Controls2013!$A$8:$AP$762</definedName>
    <definedName name="Conversion">[18]Conversion!$A$2:$E$1253</definedName>
    <definedName name="copy" localSheetId="4" hidden="1">#REF!</definedName>
    <definedName name="copy" hidden="1">#REF!</definedName>
    <definedName name="COSAllocOptions">'[16]COS Allocation Options'!$D$3:$G$1277</definedName>
    <definedName name="COSFactors">'[16]COS Factor Table'!$A$15:$A$127</definedName>
    <definedName name="COSFactorTbl">'[16]COS Factor Table'!$F$15:$O$127</definedName>
    <definedName name="COSFacVal">[5]Inputs!$W$11</definedName>
    <definedName name="Cost">#REF!</definedName>
    <definedName name="CustNames">[19]Codes!$F$1:$H$121</definedName>
    <definedName name="D_TWKSHT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1">#REF!</definedName>
    <definedName name="DATA10">'[20]Carbon NBV'!#REF!</definedName>
    <definedName name="DATA11">'[20]Carbon NBV'!#REF!</definedName>
    <definedName name="DATA12">'[20]Carbon NBV'!$C$2:$C$7</definedName>
    <definedName name="DATA13">'[21]Intagible &amp; Leaseholds'!#REF!</definedName>
    <definedName name="DATA14">'[21]Intagible &amp; Leaseholds'!#REF!</definedName>
    <definedName name="DATA15">'[20]Carbon NBV'!#REF!</definedName>
    <definedName name="DATA16">'[20]Carbon NBV'!#REF!</definedName>
    <definedName name="DATA17">'[20]Carbon NBV'!#REF!</definedName>
    <definedName name="DATA18">'[22]390.1'!#REF!</definedName>
    <definedName name="DATA19">'[22]390.1'!#REF!</definedName>
    <definedName name="DATA2">#REF!</definedName>
    <definedName name="DATA20">'[22]390.1'!#REF!</definedName>
    <definedName name="DATA21">'[22]390.1'!#REF!</definedName>
    <definedName name="DATA22">#REF!</definedName>
    <definedName name="DATA23">'[22]390.1'!#REF!</definedName>
    <definedName name="DATA24">'[22]390.1'!#REF!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'[20]Carbon NBV'!#REF!</definedName>
    <definedName name="DATA9">'[20]Carbon NBV'!#REF!</definedName>
    <definedName name="DataCheck_Base">#REF!</definedName>
    <definedName name="DataCheck_Delta">#REF!</definedName>
    <definedName name="DataCheck_NPC">#REF!</definedName>
    <definedName name="DATE">[23]Jan!#REF!</definedName>
    <definedName name="debt">[9]Utah!#REF!</definedName>
    <definedName name="debt_cost">[9]Utah!#REF!</definedName>
    <definedName name="DebtCost">#REF!</definedName>
    <definedName name="DEC">[1]Jan!#REF!</definedName>
    <definedName name="Demand">[24]Inputs!$D$9</definedName>
    <definedName name="Demand2">[5]Inputs!$D$10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[17]TransmissionJune2013!$A$1:$S$11</definedName>
    <definedName name="DeprFactorCheck">#REF!</definedName>
    <definedName name="DeprNumberSort">#REF!</definedName>
    <definedName name="DeprTypeCheck">#REF!</definedName>
    <definedName name="Dis">[5]FuncStudy!$Y$90</definedName>
    <definedName name="Discount_Rate">[25]Assumptions!$B$12</definedName>
    <definedName name="DisFac">'[5]Func Dist Factor Table'!$A$11:$G$25</definedName>
    <definedName name="DispatchSum">"GRID Thermal Generation!R2C1:R4C2"</definedName>
    <definedName name="DistFuncAllocOptions">#REF!</definedName>
    <definedName name="DistFuncFactors">'[16]Func Dist Factor Table'!$A$12:$A$25</definedName>
    <definedName name="DistFuncFactorTbl">'[16]Func Dist Factor Table'!$B$12:$F$25</definedName>
    <definedName name="DistFunctions">'[16]Func Dist Factor Table'!$B$11:$F$11</definedName>
    <definedName name="dsd" localSheetId="4" hidden="1">[2]Inputs!#REF!</definedName>
    <definedName name="dsd" hidden="1">[2]Inputs!#REF!</definedName>
    <definedName name="DUDE" localSheetId="0" hidden="1">#REF!</definedName>
    <definedName name="DUDE" localSheetId="4" hidden="1">#REF!</definedName>
    <definedName name="DUDE" hidden="1">#REF!</definedName>
    <definedName name="ECDQF_Exp">'[26](3.1) Base NPC UE264 ORTAM2014'!#REF!</definedName>
    <definedName name="ECDQF_MWh">'[26](3.1) Base NPC UE264 ORTAM2014'!#REF!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'[27]Aug 03'!#REF!</definedName>
    <definedName name="Extract_MI">'[27]Aug 03'!#REF!</definedName>
    <definedName name="Factor">#REF!</definedName>
    <definedName name="Factorck">'[5]COS Factor Table'!$Q$15:$Q$136</definedName>
    <definedName name="FactorMethod">[8]Variables!$AB$2</definedName>
    <definedName name="FactorType">[11]Variables!$AK$2:$AL$12</definedName>
    <definedName name="FactSum">'[5]COS Factor Table'!$A$14:$Q$137</definedName>
    <definedName name="FEB">[1]Jan!#REF!</definedName>
    <definedName name="FedTax">[9]Utah!#REF!</definedName>
    <definedName name="FERCJAMFactor">'[28]JAM Download'!$R:$R</definedName>
    <definedName name="fhfjhke" localSheetId="4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IT">#REF!</definedName>
    <definedName name="fjljelj" localSheetId="4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Func">'[5]Func Factor Table'!$A$10:$H$76</definedName>
    <definedName name="FuncAllocOptions">#REF!</definedName>
    <definedName name="FuncFactors">'[28]Func Factors'!$A$6:$A$73</definedName>
    <definedName name="FuncFactorTbl">'[28]Func Factors'!$B$6:$G$73</definedName>
    <definedName name="Function">[5]FuncStudy!$Y$90</definedName>
    <definedName name="Functions">'[28]Func Factors'!$B$5:$G$5</definedName>
    <definedName name="GADSBY_GAS">#REF!</definedName>
    <definedName name="GRID_Prices">[29]PriceForecast!$N$7:$S$37</definedName>
    <definedName name="GWI_Annualized">#REF!</definedName>
    <definedName name="GWI_Proforma">#REF!</definedName>
    <definedName name="HALE_COAL">#REF!</definedName>
    <definedName name="HALE_GAS">#REF!</definedName>
    <definedName name="Hide_Rows">#REF!</definedName>
    <definedName name="Hide_Rows_Recon">#REF!</definedName>
    <definedName name="High_Plan">#REF!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comeTaxOptVal">[24]Inputs!$Y$11</definedName>
    <definedName name="INSERTPOINT">'[30]REX Data'!#REF!</definedName>
    <definedName name="INSERTPOINT2">'[30]REX Data'!#REF!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tem_Number">"GP Detail"</definedName>
    <definedName name="JAMValue">'[28]JAM Download'!$S:$S</definedName>
    <definedName name="JAN">[1]Jan!#REF!</definedName>
    <definedName name="JETSET">'[15]Other States WZAMRT98'!#REF!</definedName>
    <definedName name="jfkejflj" localSheetId="4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4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L">[1]Jan!#REF!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[11]Variables!$AK$15</definedName>
    <definedName name="JurisNumber">[11]Variables!$AL$15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[31]Variables!$B$7</definedName>
    <definedName name="LastCell">#REF!</definedName>
    <definedName name="limcount" hidden="1">1</definedName>
    <definedName name="LinkCos">'[5]JAM Download'!$I$4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'[32]Multipliers Input'!$Y$4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'[33]Master Data'!$A$2</definedName>
    <definedName name="MD_Low1">'[33]Master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'[34]DSM Output'!$AL$1:$AM$12</definedName>
    <definedName name="Months">[14]NPC!$F$3:$Q$3</definedName>
    <definedName name="monthtotals">'[34]DSM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Burn">[14]NPC!$C$590:$C$614</definedName>
    <definedName name="NameCost">#REF!</definedName>
    <definedName name="NameECDQF_Exp">'[26](3.1) Base NPC UE264 ORTAM2014'!#REF!</definedName>
    <definedName name="NameECDQF_MWh">'[26](3.1) Base NPC UE264 ORTAM2014'!#REF!</definedName>
    <definedName name="NameFactor">#REF!</definedName>
    <definedName name="NameMill">#REF!</definedName>
    <definedName name="NameMMBtu">#REF!</definedName>
    <definedName name="NameMWh">#REF!</definedName>
    <definedName name="NameMWhTotal">"NPC!$A$277:$A$559"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FPC_Date">[35]VDOC!$O$4</definedName>
    <definedName name="OH">[5]Inputs!$D$24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IL_RECEIVED">#REF!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'[36]Master Data'!$P$2</definedName>
    <definedName name="OMEX_Low1">'[36]Master Data'!$P$36</definedName>
    <definedName name="OMEX_Low2">'[36]Master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ned_Outage">'[37]Source - Planned Outages'!$B$2:$F$46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4" hidden="1">[38]Inputs!#REF!</definedName>
    <definedName name="PricingInfo" hidden="1">[38]Inputs!#REF!</definedName>
    <definedName name="_xlnm.Print_Area" localSheetId="0">'Exhibit-RMP(RMM-3) page 1'!$A$1:$W$49</definedName>
    <definedName name="_xlnm.Print_Area" localSheetId="1">'Exhibit-RMP(RMM-3) page 2'!$A$1:$M$52</definedName>
    <definedName name="_xlnm.Print_Area" localSheetId="2">'Exhibit-RMP(RMM-3) pg 3-21'!$A$1:$O$773</definedName>
    <definedName name="_xlnm.Print_Area" localSheetId="4">'Sh1 Bill Impact'!$A$1:$Q$34</definedName>
    <definedName name="Print_Area_MI">#REF!</definedName>
    <definedName name="Print_Area_MIA">#REF!</definedName>
    <definedName name="_xlnm.Print_Titles" localSheetId="2">'Exhibit-RMP(RMM-3) pg 3-21'!$1:$8</definedName>
    <definedName name="_xlnm.Print_Titles">#REF!</definedName>
    <definedName name="Print_Titles_MI">#REF!</definedName>
    <definedName name="Print_Titles_MIA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SATable">[14]Hermiston!$A$32:$E$57</definedName>
    <definedName name="ptc">[32]Main!$D$111</definedName>
    <definedName name="PTC_Credit">[32]Main!$D$108</definedName>
    <definedName name="ptc_date">[32]Main!$D$113</definedName>
    <definedName name="ptc_esc">[32]Main!$D$112</definedName>
    <definedName name="ptc_start_date">[32]Main!$D$114</definedName>
    <definedName name="ptc_yr">[32]Main!$D$109</definedName>
    <definedName name="RAMP_LOSS">'[39]X Source - Ramp Losses'!$E$4:$F$28</definedName>
    <definedName name="RampLossMonthlyDemand">'[40]Source - Ramp Losses'!$O$46:$P$57</definedName>
    <definedName name="RANGE_NAMES">#REF!</definedName>
    <definedName name="Rangename2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'[41]Repower Info'!$A$5:$AD$23</definedName>
    <definedName name="ResourceSupplier">#REF!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4" hidden="1">"45EQYSCWE9WJMGB34OOD1BOQZ"</definedName>
    <definedName name="SAPBEXwbID" hidden="1">"44KU92Q9LH2VK4DK86GZ93AXN"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MonthlyDemand">'[40]Source - Station Use'!$H$66:$H$77</definedName>
    <definedName name="ST_Bottom1">#REF!</definedName>
    <definedName name="ST_Top1">#REF!</definedName>
    <definedName name="ST_Top2">#REF!</definedName>
    <definedName name="ST_Top3">[12]Main!#REF!</definedName>
    <definedName name="standard1" localSheetId="4" hidden="1">{"YTD-Total",#N/A,FALSE,"Provision"}</definedName>
    <definedName name="standard1" hidden="1">{"YTD-Total",#N/A,FALSE,"Provision"}</definedName>
    <definedName name="START">[1]Jan!#REF!</definedName>
    <definedName name="Start_Date">[42]Prices!$C$2</definedName>
    <definedName name="StartMWh">#REF!</definedName>
    <definedName name="StartTheMill">#REF!</definedName>
    <definedName name="StartTheRack">#REF!</definedName>
    <definedName name="State">[5]Inputs!$C$5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'[43]Allocation FY2005'!#REF!</definedName>
    <definedName name="table2">'[43]Allocation FY2005'!#REF!</definedName>
    <definedName name="table3">'[43]Allocation FY2004'!#REF!</definedName>
    <definedName name="table4">'[43]Allocation FY2004'!#REF!</definedName>
    <definedName name="tableb">#REF!</definedName>
    <definedName name="tablec">#REF!</definedName>
    <definedName name="tablex">#REF!</definedName>
    <definedName name="tabley">#REF!</definedName>
    <definedName name="TargetROR">[5]Inputs!$L$6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_COS">'[5]Hot Sheet'!$F$120</definedName>
    <definedName name="TEST0">#REF!</definedName>
    <definedName name="TEST1">#REF!</definedName>
    <definedName name="TEST2">'[44]2007 - 2009 Detail'!#REF!</definedName>
    <definedName name="TESTHKEY">#REF!</definedName>
    <definedName name="TESTKEYS">#REF!</definedName>
    <definedName name="TestPeriod">[5]Inputs!$C$6</definedName>
    <definedName name="TESTVKEY">#REF!</definedName>
    <definedName name="ThreeFactorElectric">#REF!</definedName>
    <definedName name="TIMAAVGRBOR">#REF!</definedName>
    <definedName name="Top">#REF!</definedName>
    <definedName name="TotalRateBase">'[5]G+T+D+R+M'!$H$58</definedName>
    <definedName name="TotTaxRate">[5]Inputs!$H$17</definedName>
    <definedName name="TransRate">'[45]Exh 64 (Trans)'!$B$6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TAllocMethod">#REF!</definedName>
    <definedName name="UTGrossReceipts">#REF!</definedName>
    <definedName name="UTRateBase">#REF!</definedName>
    <definedName name="ValidAccount">[11]Variables!$AK$43:$AK$367</definedName>
    <definedName name="ValidFactor">#REF!</definedName>
    <definedName name="ValuationDate">'[46]Official Price'!$B$3</definedName>
    <definedName name="Version">#REF!</definedName>
    <definedName name="w" localSheetId="4" hidden="1">[47]Inputs!#REF!</definedName>
    <definedName name="w" hidden="1">[48]Inputs!#REF!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4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4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4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4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4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est." localSheetId="4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[49]Variables!$AK$2:$AL$12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[11]Factors!$S$3:$AG$99</definedName>
    <definedName name="YTD">'[50]Actuals - Data Input'!#REF!</definedName>
    <definedName name="z" hidden="1">'[2]DSM Output'!$G$21:$G$23</definedName>
    <definedName name="Z_01844156_6462_4A28_9785_1A86F4D0C834_.wvu.PrintTitles" localSheetId="4" hidden="1">#REF!</definedName>
    <definedName name="Z_01844156_6462_4A28_9785_1A86F4D0C834_.wvu.PrintTitles" hidden="1">#REF!</definedName>
    <definedName name="ZA">'[51] annual balance 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" i="6" l="1"/>
  <c r="K138" i="33"/>
  <c r="T23" i="34"/>
  <c r="I673" i="33"/>
  <c r="I674" i="33"/>
  <c r="I675" i="33"/>
  <c r="I676" i="33"/>
  <c r="I677" i="33"/>
  <c r="I678" i="33"/>
  <c r="I672" i="33"/>
  <c r="I664" i="33"/>
  <c r="I665" i="33"/>
  <c r="I666" i="33"/>
  <c r="I667" i="33"/>
  <c r="I668" i="33"/>
  <c r="I669" i="33"/>
  <c r="I670" i="33"/>
  <c r="I663" i="33"/>
  <c r="I716" i="33" l="1"/>
  <c r="I626" i="33"/>
  <c r="K623" i="33"/>
  <c r="K716" i="33" l="1"/>
  <c r="K626" i="33"/>
  <c r="I531" i="33"/>
  <c r="K513" i="33"/>
  <c r="K508" i="33"/>
  <c r="K357" i="33"/>
  <c r="I358" i="33"/>
  <c r="K346" i="33"/>
  <c r="I347" i="33"/>
  <c r="I334" i="33"/>
  <c r="K322" i="33"/>
  <c r="I323" i="33"/>
  <c r="I278" i="33"/>
  <c r="I279" i="33"/>
  <c r="I280" i="33"/>
  <c r="K280" i="33" s="1"/>
  <c r="I281" i="33"/>
  <c r="I282" i="33"/>
  <c r="K282" i="33" s="1"/>
  <c r="I277" i="33"/>
  <c r="I262" i="33"/>
  <c r="I263" i="33"/>
  <c r="I264" i="33"/>
  <c r="I265" i="33"/>
  <c r="I266" i="33"/>
  <c r="I267" i="33"/>
  <c r="I268" i="33"/>
  <c r="I269" i="33"/>
  <c r="I270" i="33"/>
  <c r="I271" i="33"/>
  <c r="I261" i="33"/>
  <c r="I253" i="33"/>
  <c r="I254" i="33"/>
  <c r="I255" i="33"/>
  <c r="I256" i="33"/>
  <c r="I257" i="33"/>
  <c r="I252" i="33"/>
  <c r="I228" i="33"/>
  <c r="I229" i="33"/>
  <c r="I230" i="33"/>
  <c r="I231" i="33"/>
  <c r="K231" i="33" s="1"/>
  <c r="I232" i="33"/>
  <c r="I227" i="33"/>
  <c r="I221" i="33"/>
  <c r="I220" i="33"/>
  <c r="I219" i="33"/>
  <c r="I218" i="33"/>
  <c r="I217" i="33"/>
  <c r="I216" i="33"/>
  <c r="I215" i="33"/>
  <c r="I214" i="33"/>
  <c r="I213" i="33"/>
  <c r="I212" i="33"/>
  <c r="I187" i="33"/>
  <c r="I188" i="33"/>
  <c r="I189" i="33"/>
  <c r="I190" i="33"/>
  <c r="I191" i="33"/>
  <c r="I192" i="33"/>
  <c r="I193" i="33"/>
  <c r="I194" i="33"/>
  <c r="I195" i="33"/>
  <c r="I186" i="33"/>
  <c r="I202" i="33"/>
  <c r="I203" i="33"/>
  <c r="I204" i="33"/>
  <c r="I205" i="33"/>
  <c r="I206" i="33"/>
  <c r="I207" i="33"/>
  <c r="I201" i="33"/>
  <c r="I176" i="33"/>
  <c r="K176" i="33" s="1"/>
  <c r="I164" i="33"/>
  <c r="K164" i="33" s="1"/>
  <c r="I152" i="33"/>
  <c r="K152" i="33" s="1"/>
  <c r="I139" i="33"/>
  <c r="K139" i="33" s="1"/>
  <c r="Y47" i="10"/>
  <c r="Y39" i="10"/>
  <c r="Y37" i="10"/>
  <c r="Y19" i="10"/>
  <c r="Y17" i="10"/>
  <c r="Q46" i="10"/>
  <c r="Q36" i="10"/>
  <c r="Q35" i="10"/>
  <c r="Q34" i="10"/>
  <c r="Q33" i="10"/>
  <c r="K207" i="33" l="1"/>
  <c r="K203" i="33"/>
  <c r="K212" i="33"/>
  <c r="K216" i="33"/>
  <c r="K220" i="33"/>
  <c r="K257" i="33"/>
  <c r="K253" i="33"/>
  <c r="K269" i="33"/>
  <c r="K265" i="33"/>
  <c r="K277" i="33"/>
  <c r="K334" i="33"/>
  <c r="K206" i="33"/>
  <c r="K202" i="33"/>
  <c r="K213" i="33"/>
  <c r="K217" i="33"/>
  <c r="K221" i="33"/>
  <c r="K229" i="33"/>
  <c r="K256" i="33"/>
  <c r="K261" i="33"/>
  <c r="K268" i="33"/>
  <c r="K264" i="33"/>
  <c r="K278" i="33"/>
  <c r="K347" i="33"/>
  <c r="K205" i="33"/>
  <c r="K214" i="33"/>
  <c r="K218" i="33"/>
  <c r="K227" i="33"/>
  <c r="K228" i="33"/>
  <c r="K255" i="33"/>
  <c r="K271" i="33"/>
  <c r="K267" i="33"/>
  <c r="K263" i="33"/>
  <c r="K323" i="33"/>
  <c r="K201" i="33"/>
  <c r="K204" i="33"/>
  <c r="K215" i="33"/>
  <c r="K219" i="33"/>
  <c r="K232" i="33"/>
  <c r="K230" i="33"/>
  <c r="K252" i="33"/>
  <c r="K254" i="33"/>
  <c r="K270" i="33"/>
  <c r="K266" i="33"/>
  <c r="K262" i="33"/>
  <c r="K281" i="33"/>
  <c r="K279" i="33"/>
  <c r="K358" i="33"/>
  <c r="K531" i="33"/>
  <c r="I722" i="33"/>
  <c r="I721" i="33"/>
  <c r="I720" i="33"/>
  <c r="I719" i="33"/>
  <c r="I718" i="33"/>
  <c r="I717" i="33"/>
  <c r="K717" i="33" s="1"/>
  <c r="I711" i="33"/>
  <c r="I710" i="33"/>
  <c r="I708" i="33"/>
  <c r="I707" i="33"/>
  <c r="I705" i="33"/>
  <c r="I704" i="33"/>
  <c r="I702" i="33"/>
  <c r="K702" i="33" s="1"/>
  <c r="I701" i="33"/>
  <c r="I699" i="33"/>
  <c r="I698" i="33"/>
  <c r="I695" i="33"/>
  <c r="I694" i="33"/>
  <c r="I693" i="33"/>
  <c r="I692" i="33"/>
  <c r="K691" i="33"/>
  <c r="I659" i="33"/>
  <c r="I658" i="33"/>
  <c r="I656" i="33"/>
  <c r="I655" i="33"/>
  <c r="I653" i="33"/>
  <c r="I652" i="33"/>
  <c r="I649" i="33"/>
  <c r="I646" i="33"/>
  <c r="I645" i="33"/>
  <c r="K645" i="33" s="1"/>
  <c r="I643" i="33"/>
  <c r="I642" i="33"/>
  <c r="I640" i="33"/>
  <c r="I639" i="33"/>
  <c r="K639" i="33" s="1"/>
  <c r="I636" i="33"/>
  <c r="I633" i="33"/>
  <c r="I632" i="33"/>
  <c r="I630" i="33"/>
  <c r="K630" i="33" s="1"/>
  <c r="I629" i="33"/>
  <c r="K629" i="33" s="1"/>
  <c r="I627" i="33"/>
  <c r="I617" i="33"/>
  <c r="I616" i="33"/>
  <c r="I615" i="33"/>
  <c r="I614" i="33"/>
  <c r="I613" i="33"/>
  <c r="K613" i="33" s="1"/>
  <c r="I612" i="33"/>
  <c r="I611" i="33"/>
  <c r="I603" i="33"/>
  <c r="K603" i="33" s="1"/>
  <c r="I602" i="33"/>
  <c r="I601" i="33"/>
  <c r="K601" i="33" s="1"/>
  <c r="I600" i="33"/>
  <c r="K600" i="33" s="1"/>
  <c r="I599" i="33"/>
  <c r="K599" i="33" s="1"/>
  <c r="I598" i="33"/>
  <c r="I597" i="33"/>
  <c r="I589" i="33"/>
  <c r="I588" i="33"/>
  <c r="I587" i="33"/>
  <c r="K587" i="33" s="1"/>
  <c r="I586" i="33"/>
  <c r="I585" i="33"/>
  <c r="I584" i="33"/>
  <c r="I583" i="33"/>
  <c r="K583" i="33" s="1"/>
  <c r="I537" i="33"/>
  <c r="I536" i="33"/>
  <c r="I535" i="33"/>
  <c r="K535" i="33" s="1"/>
  <c r="I534" i="33"/>
  <c r="K534" i="33" s="1"/>
  <c r="I533" i="33"/>
  <c r="I532" i="33"/>
  <c r="I527" i="33"/>
  <c r="K527" i="33" s="1"/>
  <c r="I526" i="33"/>
  <c r="I525" i="33"/>
  <c r="I524" i="33"/>
  <c r="I523" i="33"/>
  <c r="K523" i="33" s="1"/>
  <c r="I522" i="33"/>
  <c r="I521" i="33"/>
  <c r="I520" i="33"/>
  <c r="I519" i="33"/>
  <c r="K519" i="33" s="1"/>
  <c r="I499" i="33"/>
  <c r="I498" i="33"/>
  <c r="K498" i="33" s="1"/>
  <c r="I497" i="33"/>
  <c r="I496" i="33"/>
  <c r="K496" i="33" s="1"/>
  <c r="I494" i="33"/>
  <c r="K494" i="33" s="1"/>
  <c r="I493" i="33"/>
  <c r="I492" i="33"/>
  <c r="K492" i="33" s="1"/>
  <c r="I491" i="33"/>
  <c r="K491" i="33" s="1"/>
  <c r="I490" i="33"/>
  <c r="K490" i="33" s="1"/>
  <c r="I489" i="33"/>
  <c r="K489" i="33" s="1"/>
  <c r="I487" i="33"/>
  <c r="K487" i="33" s="1"/>
  <c r="I486" i="33"/>
  <c r="K486" i="33" s="1"/>
  <c r="I485" i="33"/>
  <c r="K485" i="33" s="1"/>
  <c r="I483" i="33"/>
  <c r="K483" i="33" s="1"/>
  <c r="I482" i="33"/>
  <c r="K482" i="33" s="1"/>
  <c r="I479" i="33"/>
  <c r="K479" i="33" s="1"/>
  <c r="I478" i="33"/>
  <c r="K478" i="33" s="1"/>
  <c r="I476" i="33"/>
  <c r="K476" i="33" s="1"/>
  <c r="I475" i="33"/>
  <c r="I474" i="33"/>
  <c r="K474" i="33" s="1"/>
  <c r="I473" i="33"/>
  <c r="I472" i="33"/>
  <c r="I471" i="33"/>
  <c r="I470" i="33"/>
  <c r="K470" i="33" s="1"/>
  <c r="I468" i="33"/>
  <c r="K468" i="33" s="1"/>
  <c r="I467" i="33"/>
  <c r="I466" i="33"/>
  <c r="I465" i="33"/>
  <c r="K465" i="33" s="1"/>
  <c r="I464" i="33"/>
  <c r="I463" i="33"/>
  <c r="I462" i="33"/>
  <c r="I461" i="33"/>
  <c r="K461" i="33" s="1"/>
  <c r="I460" i="33"/>
  <c r="K460" i="33" s="1"/>
  <c r="I459" i="33"/>
  <c r="K459" i="33" s="1"/>
  <c r="I457" i="33"/>
  <c r="I456" i="33"/>
  <c r="K456" i="33" s="1"/>
  <c r="I455" i="33"/>
  <c r="K455" i="33" s="1"/>
  <c r="I454" i="33"/>
  <c r="K454" i="33" s="1"/>
  <c r="I452" i="33"/>
  <c r="I451" i="33"/>
  <c r="K451" i="33" s="1"/>
  <c r="I448" i="33"/>
  <c r="I447" i="33"/>
  <c r="I446" i="33"/>
  <c r="I445" i="33"/>
  <c r="K445" i="33" s="1"/>
  <c r="I444" i="33"/>
  <c r="K444" i="33" s="1"/>
  <c r="I442" i="33"/>
  <c r="K442" i="33" s="1"/>
  <c r="I441" i="33"/>
  <c r="I440" i="33"/>
  <c r="K440" i="33" s="1"/>
  <c r="I439" i="33"/>
  <c r="K439" i="33" s="1"/>
  <c r="I431" i="33"/>
  <c r="I429" i="33"/>
  <c r="I428" i="33"/>
  <c r="I427" i="33"/>
  <c r="I426" i="33"/>
  <c r="I425" i="33"/>
  <c r="I424" i="33"/>
  <c r="I422" i="33"/>
  <c r="I420" i="33"/>
  <c r="I419" i="33"/>
  <c r="I418" i="33"/>
  <c r="I417" i="33"/>
  <c r="I416" i="33"/>
  <c r="I409" i="33"/>
  <c r="I405" i="33"/>
  <c r="K405" i="33" s="1"/>
  <c r="I404" i="33"/>
  <c r="K404" i="33" s="1"/>
  <c r="I403" i="33"/>
  <c r="K403" i="33" s="1"/>
  <c r="I402" i="33"/>
  <c r="I394" i="33"/>
  <c r="K394" i="33" s="1"/>
  <c r="K395" i="33" s="1"/>
  <c r="I390" i="33"/>
  <c r="I389" i="33"/>
  <c r="K389" i="33" s="1"/>
  <c r="I388" i="33"/>
  <c r="I387" i="33"/>
  <c r="K387" i="33" s="1"/>
  <c r="I386" i="33"/>
  <c r="K386" i="33" s="1"/>
  <c r="I385" i="33"/>
  <c r="K385" i="33" s="1"/>
  <c r="I377" i="33"/>
  <c r="I373" i="33"/>
  <c r="K373" i="33" s="1"/>
  <c r="I372" i="33"/>
  <c r="K372" i="33" s="1"/>
  <c r="I371" i="33"/>
  <c r="K371" i="33" s="1"/>
  <c r="I363" i="33"/>
  <c r="I362" i="33"/>
  <c r="K362" i="33" s="1"/>
  <c r="I361" i="33"/>
  <c r="K361" i="33" s="1"/>
  <c r="I360" i="33"/>
  <c r="K360" i="33" s="1"/>
  <c r="I359" i="33"/>
  <c r="I352" i="33"/>
  <c r="K352" i="33" s="1"/>
  <c r="I351" i="33"/>
  <c r="I350" i="33"/>
  <c r="K350" i="33" s="1"/>
  <c r="I349" i="33"/>
  <c r="K349" i="33" s="1"/>
  <c r="I348" i="33"/>
  <c r="I341" i="33"/>
  <c r="I340" i="33"/>
  <c r="I339" i="33"/>
  <c r="I338" i="33"/>
  <c r="K338" i="33" s="1"/>
  <c r="I337" i="33"/>
  <c r="I336" i="33"/>
  <c r="I335" i="33"/>
  <c r="I329" i="33"/>
  <c r="I328" i="33"/>
  <c r="I327" i="33"/>
  <c r="I326" i="33"/>
  <c r="I325" i="33"/>
  <c r="K325" i="33" s="1"/>
  <c r="I324" i="33"/>
  <c r="K324" i="33" s="1"/>
  <c r="I316" i="33"/>
  <c r="I315" i="33"/>
  <c r="I310" i="33"/>
  <c r="K310" i="33" s="1"/>
  <c r="I308" i="33"/>
  <c r="K308" i="33" s="1"/>
  <c r="I307" i="33"/>
  <c r="K307" i="33" s="1"/>
  <c r="I306" i="33"/>
  <c r="K306" i="33" s="1"/>
  <c r="I305" i="33"/>
  <c r="K305" i="33" s="1"/>
  <c r="I304" i="33"/>
  <c r="I303" i="33"/>
  <c r="K303" i="33" s="1"/>
  <c r="I302" i="33"/>
  <c r="K302" i="33" s="1"/>
  <c r="I301" i="33"/>
  <c r="K301" i="33" s="1"/>
  <c r="I296" i="33"/>
  <c r="I295" i="33"/>
  <c r="I293" i="33"/>
  <c r="I292" i="33"/>
  <c r="I291" i="33"/>
  <c r="K291" i="33" s="1"/>
  <c r="I290" i="33"/>
  <c r="I289" i="33"/>
  <c r="I288" i="33"/>
  <c r="K288" i="33" s="1"/>
  <c r="I287" i="33"/>
  <c r="K287" i="33" s="1"/>
  <c r="I246" i="33"/>
  <c r="I245" i="33"/>
  <c r="K245" i="33" s="1"/>
  <c r="I244" i="33"/>
  <c r="K244" i="33" s="1"/>
  <c r="I243" i="33"/>
  <c r="K243" i="33" s="1"/>
  <c r="I242" i="33"/>
  <c r="K242" i="33" s="1"/>
  <c r="I241" i="33"/>
  <c r="K241" i="33" s="1"/>
  <c r="I240" i="33"/>
  <c r="K240" i="33" s="1"/>
  <c r="I239" i="33"/>
  <c r="I238" i="33"/>
  <c r="I237" i="33"/>
  <c r="K195" i="33"/>
  <c r="K191" i="33"/>
  <c r="K190" i="33"/>
  <c r="K188" i="33"/>
  <c r="K187" i="33"/>
  <c r="I181" i="33"/>
  <c r="K181" i="33" s="1"/>
  <c r="I180" i="33"/>
  <c r="K180" i="33" s="1"/>
  <c r="I179" i="33"/>
  <c r="K179" i="33" s="1"/>
  <c r="I178" i="33"/>
  <c r="K178" i="33" s="1"/>
  <c r="I177" i="33"/>
  <c r="K177" i="33" s="1"/>
  <c r="I169" i="33"/>
  <c r="K169" i="33" s="1"/>
  <c r="I168" i="33"/>
  <c r="K168" i="33" s="1"/>
  <c r="I167" i="33"/>
  <c r="K167" i="33" s="1"/>
  <c r="I166" i="33"/>
  <c r="K166" i="33" s="1"/>
  <c r="I165" i="33"/>
  <c r="K165" i="33" s="1"/>
  <c r="I157" i="33"/>
  <c r="K157" i="33" s="1"/>
  <c r="I156" i="33"/>
  <c r="K156" i="33" s="1"/>
  <c r="I155" i="33"/>
  <c r="K155" i="33" s="1"/>
  <c r="I154" i="33"/>
  <c r="K154" i="33" s="1"/>
  <c r="I153" i="33"/>
  <c r="K153" i="33" s="1"/>
  <c r="I144" i="33"/>
  <c r="K144" i="33" s="1"/>
  <c r="I143" i="33"/>
  <c r="K143" i="33" s="1"/>
  <c r="I142" i="33"/>
  <c r="K142" i="33" s="1"/>
  <c r="I141" i="33"/>
  <c r="K141" i="33" s="1"/>
  <c r="I140" i="33"/>
  <c r="K140" i="33" s="1"/>
  <c r="I130" i="33"/>
  <c r="I129" i="33"/>
  <c r="I128" i="33"/>
  <c r="I127" i="33"/>
  <c r="I126" i="33"/>
  <c r="I125" i="33"/>
  <c r="I124" i="33"/>
  <c r="I123" i="33"/>
  <c r="I109" i="33"/>
  <c r="I108" i="33"/>
  <c r="I107" i="33"/>
  <c r="I106" i="33"/>
  <c r="I105" i="33"/>
  <c r="I104" i="33"/>
  <c r="I103" i="33"/>
  <c r="I102" i="33"/>
  <c r="I88" i="33"/>
  <c r="I87" i="33"/>
  <c r="I86" i="33"/>
  <c r="I85" i="33"/>
  <c r="I84" i="33"/>
  <c r="I83" i="33"/>
  <c r="I82" i="33"/>
  <c r="I81" i="33"/>
  <c r="I67" i="33"/>
  <c r="I66" i="33"/>
  <c r="I65" i="33"/>
  <c r="I63" i="33"/>
  <c r="I62" i="33"/>
  <c r="I47" i="33"/>
  <c r="I46" i="33"/>
  <c r="I45" i="33"/>
  <c r="I44" i="33"/>
  <c r="I43" i="33"/>
  <c r="I42" i="33"/>
  <c r="I41" i="33"/>
  <c r="I40" i="33"/>
  <c r="I26" i="33"/>
  <c r="I25" i="33"/>
  <c r="I24" i="33"/>
  <c r="I23" i="33"/>
  <c r="I22" i="33"/>
  <c r="I21" i="33"/>
  <c r="I20" i="33"/>
  <c r="K771" i="33"/>
  <c r="K659" i="33"/>
  <c r="K643" i="33"/>
  <c r="K614" i="33"/>
  <c r="K582" i="33"/>
  <c r="K514" i="33"/>
  <c r="K509" i="33"/>
  <c r="K499" i="33"/>
  <c r="K464" i="33"/>
  <c r="K448" i="33"/>
  <c r="K447" i="33"/>
  <c r="K438" i="33"/>
  <c r="K390" i="33"/>
  <c r="K370" i="33"/>
  <c r="K328" i="33"/>
  <c r="K304" i="33"/>
  <c r="K296" i="33"/>
  <c r="K286" i="33"/>
  <c r="K194" i="33"/>
  <c r="K193" i="33"/>
  <c r="K192" i="33"/>
  <c r="K189" i="33"/>
  <c r="K186" i="33"/>
  <c r="K283" i="33" l="1"/>
  <c r="K208" i="33"/>
  <c r="K326" i="33"/>
  <c r="K335" i="33"/>
  <c r="K363" i="33"/>
  <c r="K471" i="33"/>
  <c r="K475" i="33"/>
  <c r="K532" i="33"/>
  <c r="K627" i="33"/>
  <c r="K633" i="33"/>
  <c r="K649" i="33"/>
  <c r="K656" i="33"/>
  <c r="K692" i="33"/>
  <c r="K698" i="33"/>
  <c r="K708" i="33"/>
  <c r="K718" i="33"/>
  <c r="K722" i="33"/>
  <c r="K258" i="33"/>
  <c r="K293" i="33"/>
  <c r="K339" i="33"/>
  <c r="K520" i="33"/>
  <c r="K524" i="33"/>
  <c r="K589" i="33"/>
  <c r="K238" i="33"/>
  <c r="K246" i="33"/>
  <c r="K295" i="33"/>
  <c r="K327" i="33"/>
  <c r="K336" i="33"/>
  <c r="K463" i="33"/>
  <c r="K493" i="33"/>
  <c r="K533" i="33"/>
  <c r="K537" i="33"/>
  <c r="K612" i="33"/>
  <c r="K693" i="33"/>
  <c r="K699" i="33"/>
  <c r="K704" i="33"/>
  <c r="K710" i="33"/>
  <c r="K719" i="33"/>
  <c r="K233" i="33"/>
  <c r="K237" i="33"/>
  <c r="K289" i="33"/>
  <c r="K340" i="33"/>
  <c r="K466" i="33"/>
  <c r="K472" i="33"/>
  <c r="Q43" i="10"/>
  <c r="K521" i="33"/>
  <c r="K525" i="33"/>
  <c r="K585" i="33"/>
  <c r="K597" i="33"/>
  <c r="K615" i="33"/>
  <c r="K652" i="33"/>
  <c r="K239" i="33"/>
  <c r="K351" i="33"/>
  <c r="K598" i="33"/>
  <c r="K602" i="33"/>
  <c r="K617" i="33"/>
  <c r="K653" i="33"/>
  <c r="K694" i="33"/>
  <c r="K701" i="33"/>
  <c r="K705" i="33"/>
  <c r="K711" i="33"/>
  <c r="K720" i="33"/>
  <c r="K290" i="33"/>
  <c r="K337" i="33"/>
  <c r="K341" i="33"/>
  <c r="K359" i="33"/>
  <c r="K377" i="33"/>
  <c r="K378" i="33" s="1"/>
  <c r="K388" i="33"/>
  <c r="K402" i="33"/>
  <c r="K409" i="33"/>
  <c r="K410" i="33" s="1"/>
  <c r="K441" i="33"/>
  <c r="K446" i="33"/>
  <c r="K452" i="33"/>
  <c r="K457" i="33"/>
  <c r="K462" i="33"/>
  <c r="K467" i="33"/>
  <c r="K473" i="33"/>
  <c r="K497" i="33"/>
  <c r="Q44" i="10"/>
  <c r="K522" i="33"/>
  <c r="K526" i="33"/>
  <c r="K536" i="33"/>
  <c r="K586" i="33"/>
  <c r="K611" i="33"/>
  <c r="K616" i="33"/>
  <c r="K642" i="33"/>
  <c r="K658" i="33"/>
  <c r="K292" i="33"/>
  <c r="K329" i="33"/>
  <c r="K348" i="33"/>
  <c r="K584" i="33"/>
  <c r="K588" i="33"/>
  <c r="K636" i="33"/>
  <c r="K632" i="33"/>
  <c r="K640" i="33"/>
  <c r="K646" i="33"/>
  <c r="K655" i="33"/>
  <c r="K695" i="33"/>
  <c r="K707" i="33"/>
  <c r="K721" i="33"/>
  <c r="K272" i="33"/>
  <c r="K222" i="33"/>
  <c r="K311" i="33"/>
  <c r="K196" i="33"/>
  <c r="K374" i="33"/>
  <c r="G33" i="33"/>
  <c r="G34" i="33"/>
  <c r="G36" i="33"/>
  <c r="G37" i="33"/>
  <c r="G38" i="33"/>
  <c r="G39" i="33"/>
  <c r="K406" i="33" l="1"/>
  <c r="K618" i="33"/>
  <c r="K723" i="33"/>
  <c r="K364" i="33"/>
  <c r="Q25" i="10" s="1"/>
  <c r="K353" i="33"/>
  <c r="K158" i="33"/>
  <c r="K528" i="33"/>
  <c r="K182" i="33"/>
  <c r="K713" i="33"/>
  <c r="K604" i="33"/>
  <c r="K247" i="33"/>
  <c r="K591" i="33"/>
  <c r="K146" i="33"/>
  <c r="K538" i="33"/>
  <c r="K298" i="33"/>
  <c r="K342" i="33"/>
  <c r="K170" i="33"/>
  <c r="K501" i="33"/>
  <c r="K330" i="33"/>
  <c r="K391" i="33"/>
  <c r="K411" i="33"/>
  <c r="Q28" i="10" s="1"/>
  <c r="K379" i="33"/>
  <c r="K539" i="33" l="1"/>
  <c r="Q30" i="10"/>
  <c r="K724" i="33"/>
  <c r="Q32" i="10" s="1"/>
  <c r="Q24" i="10"/>
  <c r="Q26" i="10" s="1"/>
  <c r="Q21" i="10"/>
  <c r="Q20" i="10"/>
  <c r="K396" i="33"/>
  <c r="Q27" i="10" s="1"/>
  <c r="Q29" i="10" s="1"/>
  <c r="Q23" i="10"/>
  <c r="Q42" i="10"/>
  <c r="G723" i="33"/>
  <c r="Q22" i="10" l="1"/>
  <c r="C729" i="33"/>
  <c r="G728" i="33" l="1"/>
  <c r="G729" i="33" l="1"/>
  <c r="U25" i="34"/>
  <c r="E729" i="33" l="1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7" i="33"/>
  <c r="G116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6" i="33"/>
  <c r="G95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5" i="33"/>
  <c r="G74" i="33"/>
  <c r="G67" i="33"/>
  <c r="G66" i="33"/>
  <c r="G65" i="33"/>
  <c r="G63" i="33"/>
  <c r="G62" i="33"/>
  <c r="G60" i="33"/>
  <c r="G59" i="33"/>
  <c r="G58" i="33"/>
  <c r="G57" i="33"/>
  <c r="G55" i="33"/>
  <c r="G54" i="33"/>
  <c r="G47" i="33"/>
  <c r="G46" i="33"/>
  <c r="G45" i="33"/>
  <c r="G44" i="33"/>
  <c r="G43" i="33"/>
  <c r="G42" i="33"/>
  <c r="G41" i="33"/>
  <c r="G40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3" i="33"/>
  <c r="G12" i="33"/>
  <c r="K23" i="33" l="1"/>
  <c r="K44" i="33"/>
  <c r="K65" i="33"/>
  <c r="K107" i="33"/>
  <c r="K130" i="33"/>
  <c r="K24" i="33"/>
  <c r="K45" i="33"/>
  <c r="K104" i="33"/>
  <c r="K25" i="33"/>
  <c r="K19" i="33"/>
  <c r="K40" i="33"/>
  <c r="K84" i="33"/>
  <c r="K88" i="33"/>
  <c r="K103" i="33"/>
  <c r="K126" i="33"/>
  <c r="K20" i="33"/>
  <c r="K41" i="33"/>
  <c r="K66" i="33"/>
  <c r="K81" i="33"/>
  <c r="K85" i="33"/>
  <c r="K108" i="33"/>
  <c r="K123" i="33"/>
  <c r="K127" i="33"/>
  <c r="K21" i="33"/>
  <c r="K42" i="33"/>
  <c r="K46" i="33"/>
  <c r="K62" i="33"/>
  <c r="K67" i="33"/>
  <c r="K82" i="33"/>
  <c r="K86" i="33"/>
  <c r="K105" i="33"/>
  <c r="K109" i="33"/>
  <c r="K124" i="33"/>
  <c r="K128" i="33"/>
  <c r="K22" i="33"/>
  <c r="K26" i="33"/>
  <c r="K43" i="33"/>
  <c r="K47" i="33"/>
  <c r="K63" i="33"/>
  <c r="K83" i="33"/>
  <c r="K87" i="33"/>
  <c r="K102" i="33"/>
  <c r="K106" i="33"/>
  <c r="K125" i="33"/>
  <c r="K129" i="33"/>
  <c r="G28" i="33"/>
  <c r="G49" i="33"/>
  <c r="G111" i="33"/>
  <c r="G132" i="33"/>
  <c r="G69" i="33"/>
  <c r="G90" i="33"/>
  <c r="K69" i="33" l="1"/>
  <c r="K132" i="33"/>
  <c r="K49" i="33"/>
  <c r="Q16" i="10" s="1"/>
  <c r="K111" i="33"/>
  <c r="K28" i="33"/>
  <c r="K90" i="33"/>
  <c r="G679" i="33"/>
  <c r="G671" i="33"/>
  <c r="Q15" i="10" l="1"/>
  <c r="Q18" i="10" s="1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E12" i="6"/>
  <c r="G12" i="6" s="1"/>
  <c r="I12" i="6" l="1"/>
  <c r="K12" i="6"/>
  <c r="M12" i="6" l="1"/>
  <c r="G408" i="33"/>
  <c r="G393" i="33"/>
  <c r="G395" i="33" l="1"/>
  <c r="G410" i="33"/>
  <c r="I47" i="6"/>
  <c r="O771" i="33"/>
  <c r="G411" i="33" l="1"/>
  <c r="G396" i="33"/>
  <c r="M36" i="10"/>
  <c r="G773" i="33" l="1"/>
  <c r="U36" i="10"/>
  <c r="Y36" i="10"/>
  <c r="M46" i="10"/>
  <c r="U46" i="10" l="1"/>
  <c r="Y46" i="10"/>
  <c r="T27" i="34"/>
  <c r="U24" i="34"/>
  <c r="U26" i="34"/>
  <c r="U22" i="34"/>
  <c r="T19" i="34"/>
  <c r="U19" i="34" s="1"/>
  <c r="T18" i="34"/>
  <c r="U18" i="34" s="1"/>
  <c r="T13" i="34"/>
  <c r="U13" i="34" s="1"/>
  <c r="T12" i="34"/>
  <c r="U12" i="34" s="1"/>
  <c r="T11" i="34"/>
  <c r="T15" i="34"/>
  <c r="T21" i="34" s="1"/>
  <c r="T17" i="34" l="1"/>
  <c r="K27" i="34" s="1"/>
  <c r="U11" i="34"/>
  <c r="U17" i="34" s="1"/>
  <c r="C10" i="34"/>
  <c r="K14" i="34"/>
  <c r="K18" i="34"/>
  <c r="K10" i="34"/>
  <c r="C28" i="34"/>
  <c r="C24" i="34"/>
  <c r="C16" i="34"/>
  <c r="C11" i="34"/>
  <c r="K28" i="34"/>
  <c r="K11" i="34"/>
  <c r="C9" i="34"/>
  <c r="C19" i="34"/>
  <c r="C30" i="34"/>
  <c r="C26" i="34"/>
  <c r="C22" i="34"/>
  <c r="C18" i="34"/>
  <c r="C13" i="34"/>
  <c r="K30" i="34"/>
  <c r="K26" i="34"/>
  <c r="K9" i="34"/>
  <c r="C23" i="34"/>
  <c r="C29" i="34"/>
  <c r="C25" i="34"/>
  <c r="C21" i="34"/>
  <c r="C12" i="34"/>
  <c r="K21" i="34"/>
  <c r="K16" i="34"/>
  <c r="C27" i="34"/>
  <c r="C14" i="34"/>
  <c r="K13" i="34" l="1"/>
  <c r="K19" i="34"/>
  <c r="K23" i="34"/>
  <c r="K25" i="34"/>
  <c r="K12" i="34"/>
  <c r="K29" i="34"/>
  <c r="K22" i="34"/>
  <c r="K24" i="34"/>
  <c r="Y14" i="34"/>
  <c r="A20" i="34"/>
  <c r="C20" i="34" s="1"/>
  <c r="A17" i="34"/>
  <c r="A15" i="34"/>
  <c r="K15" i="34" s="1"/>
  <c r="C17" i="34" l="1"/>
  <c r="K17" i="34"/>
  <c r="Y13" i="34" l="1"/>
  <c r="Y11" i="34"/>
  <c r="Y12" i="34" l="1"/>
  <c r="K20" i="10" l="1"/>
  <c r="S20" i="10" s="1"/>
  <c r="I20" i="10"/>
  <c r="G20" i="10"/>
  <c r="G20" i="6" l="1"/>
  <c r="K37" i="10" l="1"/>
  <c r="W37" i="10" s="1"/>
  <c r="K47" i="10"/>
  <c r="K46" i="10"/>
  <c r="W46" i="10" s="1"/>
  <c r="K44" i="10"/>
  <c r="S44" i="10" s="1"/>
  <c r="K43" i="10"/>
  <c r="S43" i="10" s="1"/>
  <c r="K42" i="10"/>
  <c r="S42" i="10" s="1"/>
  <c r="K41" i="10"/>
  <c r="K40" i="10"/>
  <c r="K36" i="10"/>
  <c r="W36" i="10" s="1"/>
  <c r="K35" i="10"/>
  <c r="S35" i="10" s="1"/>
  <c r="K34" i="10"/>
  <c r="S34" i="10" s="1"/>
  <c r="K33" i="10"/>
  <c r="S33" i="10" s="1"/>
  <c r="K32" i="10"/>
  <c r="S32" i="10" s="1"/>
  <c r="K31" i="10"/>
  <c r="K30" i="10"/>
  <c r="S30" i="10" s="1"/>
  <c r="K28" i="10"/>
  <c r="S28" i="10" s="1"/>
  <c r="K27" i="10"/>
  <c r="S27" i="10" s="1"/>
  <c r="K25" i="10"/>
  <c r="S25" i="10" s="1"/>
  <c r="K24" i="10"/>
  <c r="S24" i="10" s="1"/>
  <c r="K23" i="10"/>
  <c r="S23" i="10" s="1"/>
  <c r="K21" i="10"/>
  <c r="S21" i="10" s="1"/>
  <c r="K17" i="10"/>
  <c r="K16" i="10"/>
  <c r="S16" i="10" s="1"/>
  <c r="K15" i="10"/>
  <c r="S15" i="10" s="1"/>
  <c r="C538" i="33"/>
  <c r="I24" i="10" s="1"/>
  <c r="C528" i="33"/>
  <c r="I21" i="10" s="1"/>
  <c r="G21" i="10"/>
  <c r="G22" i="10" s="1"/>
  <c r="G24" i="10"/>
  <c r="G26" i="10" s="1"/>
  <c r="G431" i="33"/>
  <c r="G429" i="33"/>
  <c r="G428" i="33"/>
  <c r="G427" i="33"/>
  <c r="G426" i="33"/>
  <c r="G425" i="33"/>
  <c r="G424" i="33"/>
  <c r="G422" i="33"/>
  <c r="G420" i="33"/>
  <c r="G419" i="33"/>
  <c r="G418" i="33"/>
  <c r="G417" i="33"/>
  <c r="G416" i="33"/>
  <c r="G415" i="33"/>
  <c r="G316" i="33"/>
  <c r="G315" i="33"/>
  <c r="G314" i="33"/>
  <c r="K417" i="33" l="1"/>
  <c r="K427" i="33"/>
  <c r="K424" i="33"/>
  <c r="K316" i="33"/>
  <c r="K418" i="33"/>
  <c r="K428" i="33"/>
  <c r="K415" i="33"/>
  <c r="K419" i="33"/>
  <c r="K425" i="33"/>
  <c r="K429" i="33"/>
  <c r="K315" i="33"/>
  <c r="K422" i="33"/>
  <c r="K314" i="33"/>
  <c r="K416" i="33"/>
  <c r="K420" i="33"/>
  <c r="K426" i="33"/>
  <c r="K431" i="33"/>
  <c r="S47" i="10"/>
  <c r="W47" i="10"/>
  <c r="O46" i="10"/>
  <c r="S46" i="10"/>
  <c r="O36" i="10"/>
  <c r="S36" i="10"/>
  <c r="O37" i="10"/>
  <c r="S37" i="10"/>
  <c r="G47" i="6"/>
  <c r="O47" i="10"/>
  <c r="G23" i="6"/>
  <c r="G28" i="6"/>
  <c r="G40" i="6"/>
  <c r="G44" i="6"/>
  <c r="G16" i="6"/>
  <c r="G24" i="6"/>
  <c r="G30" i="6"/>
  <c r="G34" i="6"/>
  <c r="G41" i="6"/>
  <c r="G46" i="6"/>
  <c r="I46" i="6" s="1"/>
  <c r="G15" i="6"/>
  <c r="I22" i="10"/>
  <c r="G17" i="6"/>
  <c r="I17" i="6" s="1"/>
  <c r="G25" i="6"/>
  <c r="G31" i="6"/>
  <c r="G35" i="6"/>
  <c r="G42" i="6"/>
  <c r="I26" i="10"/>
  <c r="G21" i="6"/>
  <c r="G27" i="6"/>
  <c r="G36" i="6"/>
  <c r="I36" i="6" s="1"/>
  <c r="G43" i="6"/>
  <c r="G37" i="6"/>
  <c r="I37" i="6" s="1"/>
  <c r="K22" i="10"/>
  <c r="S22" i="10" s="1"/>
  <c r="G32" i="6"/>
  <c r="G33" i="6"/>
  <c r="K45" i="10"/>
  <c r="K38" i="10"/>
  <c r="K318" i="33" l="1"/>
  <c r="K433" i="33"/>
  <c r="Q41" i="10" s="1"/>
  <c r="S41" i="10" s="1"/>
  <c r="Q40" i="10"/>
  <c r="S40" i="10" s="1"/>
  <c r="K48" i="10"/>
  <c r="Q45" i="10" l="1"/>
  <c r="G18" i="6"/>
  <c r="Q48" i="10" l="1"/>
  <c r="S48" i="10" s="1"/>
  <c r="S45" i="10"/>
  <c r="A16" i="10"/>
  <c r="E12" i="10"/>
  <c r="G12" i="10" l="1"/>
  <c r="I12" i="10" s="1"/>
  <c r="A17" i="10"/>
  <c r="K12" i="10" l="1"/>
  <c r="A18" i="10"/>
  <c r="M12" i="10" l="1"/>
  <c r="A20" i="10"/>
  <c r="O13" i="10" l="1"/>
  <c r="A21" i="10"/>
  <c r="O12" i="10" l="1"/>
  <c r="A22" i="10"/>
  <c r="A23" i="10" s="1"/>
  <c r="Q12" i="10" l="1"/>
  <c r="A24" i="10"/>
  <c r="S13" i="10" l="1"/>
  <c r="U13" i="10"/>
  <c r="S12" i="10"/>
  <c r="U12" i="10" s="1"/>
  <c r="A25" i="10"/>
  <c r="W13" i="10" l="1"/>
  <c r="W12" i="10"/>
  <c r="A26" i="10"/>
  <c r="A27" i="10" s="1"/>
  <c r="A28" i="10" s="1"/>
  <c r="A29" i="10" s="1"/>
  <c r="A30" i="10" s="1"/>
  <c r="A31" i="10" s="1"/>
  <c r="A34" i="10" l="1"/>
  <c r="A32" i="10"/>
  <c r="A33" i="10" s="1"/>
  <c r="A35" i="10" l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6" i="6"/>
  <c r="A17" i="6" l="1"/>
  <c r="A18" i="6" l="1"/>
  <c r="A20" i="6" s="1"/>
  <c r="A21" i="6" l="1"/>
  <c r="A22" i="6" s="1"/>
  <c r="A23" i="6" l="1"/>
  <c r="A24" i="6" l="1"/>
  <c r="A25" i="6" s="1"/>
  <c r="A26" i="6" l="1"/>
  <c r="A27" i="6" s="1"/>
  <c r="A28" i="6" s="1"/>
  <c r="A29" i="6" s="1"/>
  <c r="A30" i="6" s="1"/>
  <c r="A31" i="6" s="1"/>
  <c r="A34" i="6" l="1"/>
  <c r="A32" i="6"/>
  <c r="A33" i="6" s="1"/>
  <c r="A35" i="6" l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45" i="6" l="1"/>
  <c r="G48" i="6" s="1"/>
  <c r="K18" i="10"/>
  <c r="S18" i="10" l="1"/>
  <c r="K26" i="10"/>
  <c r="S26" i="10" s="1"/>
  <c r="G26" i="6"/>
  <c r="G22" i="6" l="1"/>
  <c r="K29" i="10" l="1"/>
  <c r="S29" i="10" s="1"/>
  <c r="G29" i="6"/>
  <c r="G38" i="6"/>
  <c r="G49" i="6" s="1"/>
  <c r="K20" i="6" l="1"/>
  <c r="K43" i="6"/>
  <c r="K16" i="6"/>
  <c r="K32" i="6"/>
  <c r="R686" i="33" s="1"/>
  <c r="K31" i="6"/>
  <c r="K25" i="6"/>
  <c r="K27" i="6"/>
  <c r="K41" i="6"/>
  <c r="K15" i="6"/>
  <c r="K44" i="6"/>
  <c r="K23" i="6"/>
  <c r="K30" i="6"/>
  <c r="K42" i="6"/>
  <c r="K24" i="6"/>
  <c r="K21" i="6"/>
  <c r="K40" i="6"/>
  <c r="K29" i="6"/>
  <c r="K28" i="6" l="1"/>
  <c r="R512" i="33"/>
  <c r="M513" i="33" s="1"/>
  <c r="R624" i="33"/>
  <c r="R504" i="33"/>
  <c r="M508" i="33" s="1"/>
  <c r="R441" i="33"/>
  <c r="M438" i="33" s="1"/>
  <c r="R347" i="33"/>
  <c r="M346" i="33" s="1"/>
  <c r="R315" i="33"/>
  <c r="R358" i="33"/>
  <c r="R288" i="33"/>
  <c r="R580" i="33"/>
  <c r="R418" i="33"/>
  <c r="M415" i="33" s="1"/>
  <c r="R323" i="33"/>
  <c r="R137" i="33"/>
  <c r="K18" i="6"/>
  <c r="I43" i="6"/>
  <c r="I40" i="6"/>
  <c r="I44" i="6"/>
  <c r="I15" i="6"/>
  <c r="I42" i="6"/>
  <c r="I30" i="6"/>
  <c r="K26" i="6"/>
  <c r="I41" i="6"/>
  <c r="K22" i="6"/>
  <c r="I23" i="6"/>
  <c r="I33" i="6"/>
  <c r="M33" i="10"/>
  <c r="I34" i="6"/>
  <c r="I35" i="6"/>
  <c r="M41" i="6"/>
  <c r="M42" i="6"/>
  <c r="M23" i="6"/>
  <c r="M43" i="6"/>
  <c r="M44" i="6"/>
  <c r="M34" i="6"/>
  <c r="M30" i="6"/>
  <c r="M35" i="6"/>
  <c r="M40" i="6"/>
  <c r="K45" i="6"/>
  <c r="K49" i="10"/>
  <c r="M138" i="33" l="1"/>
  <c r="O138" i="33" s="1"/>
  <c r="M429" i="33"/>
  <c r="O513" i="33"/>
  <c r="O514" i="33" s="1"/>
  <c r="K672" i="33"/>
  <c r="M716" i="33"/>
  <c r="M672" i="33"/>
  <c r="M582" i="33"/>
  <c r="M603" i="33" s="1"/>
  <c r="M456" i="33"/>
  <c r="M357" i="33"/>
  <c r="M361" i="33" s="1"/>
  <c r="O508" i="33"/>
  <c r="O509" i="33" s="1"/>
  <c r="M531" i="33"/>
  <c r="M322" i="33"/>
  <c r="M670" i="33" s="1"/>
  <c r="M286" i="33"/>
  <c r="M314" i="33"/>
  <c r="M420" i="33"/>
  <c r="M417" i="33"/>
  <c r="O415" i="33"/>
  <c r="M425" i="33"/>
  <c r="K664" i="33"/>
  <c r="M418" i="33"/>
  <c r="M431" i="33"/>
  <c r="M416" i="33"/>
  <c r="M427" i="33"/>
  <c r="M424" i="33"/>
  <c r="M422" i="33"/>
  <c r="M419" i="33"/>
  <c r="M428" i="33"/>
  <c r="M426" i="33"/>
  <c r="K666" i="33"/>
  <c r="K668" i="33"/>
  <c r="M155" i="33"/>
  <c r="O155" i="33" s="1"/>
  <c r="M22" i="6"/>
  <c r="M26" i="6"/>
  <c r="U33" i="10"/>
  <c r="W33" i="10" s="1"/>
  <c r="Y33" i="10"/>
  <c r="O33" i="10"/>
  <c r="R368" i="33"/>
  <c r="M370" i="33" s="1"/>
  <c r="M29" i="6"/>
  <c r="R14" i="33"/>
  <c r="M19" i="33" s="1"/>
  <c r="I45" i="6"/>
  <c r="I48" i="6" s="1"/>
  <c r="I27" i="6"/>
  <c r="I20" i="6"/>
  <c r="I24" i="6"/>
  <c r="I21" i="6"/>
  <c r="U27" i="34"/>
  <c r="M24" i="6"/>
  <c r="M21" i="6"/>
  <c r="M20" i="6"/>
  <c r="K48" i="6"/>
  <c r="M45" i="6"/>
  <c r="M27" i="6"/>
  <c r="M362" i="33" l="1"/>
  <c r="M180" i="33"/>
  <c r="O180" i="33" s="1"/>
  <c r="M586" i="33"/>
  <c r="M482" i="33"/>
  <c r="M341" i="33"/>
  <c r="O341" i="33" s="1"/>
  <c r="M452" i="33"/>
  <c r="O452" i="33" s="1"/>
  <c r="M472" i="33"/>
  <c r="O472" i="33" s="1"/>
  <c r="M335" i="33"/>
  <c r="O335" i="33" s="1"/>
  <c r="M599" i="33"/>
  <c r="M493" i="33"/>
  <c r="O493" i="33" s="1"/>
  <c r="M466" i="33"/>
  <c r="O466" i="33" s="1"/>
  <c r="M463" i="33"/>
  <c r="O463" i="33" s="1"/>
  <c r="M499" i="33"/>
  <c r="O499" i="33" s="1"/>
  <c r="M455" i="33"/>
  <c r="O455" i="33" s="1"/>
  <c r="M478" i="33"/>
  <c r="O478" i="33" s="1"/>
  <c r="M325" i="33"/>
  <c r="O325" i="33" s="1"/>
  <c r="M467" i="33"/>
  <c r="O467" i="33" s="1"/>
  <c r="M487" i="33"/>
  <c r="O487" i="33" s="1"/>
  <c r="M476" i="33"/>
  <c r="M457" i="33"/>
  <c r="O457" i="33" s="1"/>
  <c r="O456" i="33"/>
  <c r="O670" i="33"/>
  <c r="O603" i="33"/>
  <c r="M483" i="33"/>
  <c r="M465" i="33"/>
  <c r="M441" i="33"/>
  <c r="M471" i="33"/>
  <c r="O418" i="33"/>
  <c r="M669" i="33"/>
  <c r="M451" i="33"/>
  <c r="M473" i="33"/>
  <c r="M462" i="33"/>
  <c r="M468" i="33"/>
  <c r="M497" i="33"/>
  <c r="O425" i="33"/>
  <c r="M470" i="33"/>
  <c r="M316" i="33"/>
  <c r="O531" i="33"/>
  <c r="M601" i="33"/>
  <c r="O482" i="33"/>
  <c r="M496" i="33"/>
  <c r="M460" i="33"/>
  <c r="O416" i="33"/>
  <c r="O362" i="33"/>
  <c r="M668" i="33"/>
  <c r="M464" i="33"/>
  <c r="M440" i="33"/>
  <c r="M459" i="33"/>
  <c r="O428" i="33"/>
  <c r="M490" i="33"/>
  <c r="O422" i="33"/>
  <c r="M486" i="33"/>
  <c r="M461" i="33"/>
  <c r="O361" i="33"/>
  <c r="M326" i="33"/>
  <c r="M340" i="33"/>
  <c r="M492" i="33"/>
  <c r="M498" i="33"/>
  <c r="M446" i="33"/>
  <c r="M447" i="33"/>
  <c r="M448" i="33"/>
  <c r="M240" i="33"/>
  <c r="O672" i="33"/>
  <c r="O429" i="33"/>
  <c r="O599" i="33"/>
  <c r="O427" i="33"/>
  <c r="O431" i="33"/>
  <c r="O420" i="33"/>
  <c r="M444" i="33"/>
  <c r="U23" i="34"/>
  <c r="U15" i="34" s="1"/>
  <c r="U21" i="34" s="1"/>
  <c r="M324" i="33"/>
  <c r="M329" i="33"/>
  <c r="O586" i="33"/>
  <c r="M454" i="33"/>
  <c r="O426" i="33"/>
  <c r="M475" i="33"/>
  <c r="O419" i="33"/>
  <c r="M489" i="33"/>
  <c r="O424" i="33"/>
  <c r="M491" i="33"/>
  <c r="M445" i="33"/>
  <c r="M667" i="33"/>
  <c r="M665" i="33"/>
  <c r="M485" i="33"/>
  <c r="M494" i="33"/>
  <c r="M439" i="33"/>
  <c r="M442" i="33"/>
  <c r="M474" i="33"/>
  <c r="O438" i="33"/>
  <c r="M479" i="33"/>
  <c r="O417" i="33"/>
  <c r="M360" i="33"/>
  <c r="O716" i="33"/>
  <c r="M44" i="10"/>
  <c r="M612" i="33"/>
  <c r="M615" i="33"/>
  <c r="M587" i="33"/>
  <c r="M616" i="33"/>
  <c r="M600" i="33"/>
  <c r="M588" i="33"/>
  <c r="M614" i="33"/>
  <c r="M613" i="33"/>
  <c r="M338" i="33"/>
  <c r="K663" i="33"/>
  <c r="M663" i="33"/>
  <c r="M43" i="10"/>
  <c r="R503" i="33"/>
  <c r="R505" i="33" s="1"/>
  <c r="M675" i="33"/>
  <c r="M559" i="33"/>
  <c r="K676" i="33"/>
  <c r="M553" i="33"/>
  <c r="K674" i="33"/>
  <c r="M678" i="33"/>
  <c r="K675" i="33"/>
  <c r="M535" i="33"/>
  <c r="M568" i="33"/>
  <c r="M351" i="33"/>
  <c r="K667" i="33"/>
  <c r="K670" i="33"/>
  <c r="M674" i="33"/>
  <c r="K669" i="33"/>
  <c r="M718" i="33"/>
  <c r="M348" i="33"/>
  <c r="K673" i="33"/>
  <c r="M533" i="33"/>
  <c r="M666" i="33"/>
  <c r="M359" i="33"/>
  <c r="M534" i="33"/>
  <c r="M339" i="33"/>
  <c r="M597" i="33"/>
  <c r="M602" i="33"/>
  <c r="M585" i="33"/>
  <c r="M584" i="33"/>
  <c r="M589" i="33"/>
  <c r="M570" i="33"/>
  <c r="M552" i="33"/>
  <c r="M569" i="33"/>
  <c r="M537" i="33"/>
  <c r="M717" i="33"/>
  <c r="M549" i="33"/>
  <c r="M337" i="33"/>
  <c r="M327" i="33"/>
  <c r="M536" i="33"/>
  <c r="M350" i="33"/>
  <c r="M562" i="33"/>
  <c r="M556" i="33"/>
  <c r="M558" i="33"/>
  <c r="M352" i="33"/>
  <c r="M720" i="33"/>
  <c r="K677" i="33"/>
  <c r="M722" i="33"/>
  <c r="M567" i="33"/>
  <c r="M719" i="33"/>
  <c r="M676" i="33"/>
  <c r="M336" i="33"/>
  <c r="M677" i="33"/>
  <c r="M575" i="33"/>
  <c r="M664" i="33"/>
  <c r="M721" i="33"/>
  <c r="M573" i="33"/>
  <c r="M328" i="33"/>
  <c r="O582" i="33"/>
  <c r="M598" i="33"/>
  <c r="M583" i="33"/>
  <c r="M611" i="33"/>
  <c r="M617" i="33"/>
  <c r="M349" i="33"/>
  <c r="M673" i="33"/>
  <c r="M547" i="33"/>
  <c r="M565" i="33"/>
  <c r="M555" i="33"/>
  <c r="M532" i="33"/>
  <c r="M574" i="33"/>
  <c r="M564" i="33"/>
  <c r="M548" i="33"/>
  <c r="M572" i="33"/>
  <c r="M563" i="33"/>
  <c r="O357" i="33"/>
  <c r="M358" i="33"/>
  <c r="M363" i="33"/>
  <c r="M237" i="33"/>
  <c r="M527" i="33"/>
  <c r="M156" i="33"/>
  <c r="O156" i="33" s="1"/>
  <c r="M167" i="33"/>
  <c r="O167" i="33" s="1"/>
  <c r="O346" i="33"/>
  <c r="M347" i="33"/>
  <c r="M157" i="33"/>
  <c r="O157" i="33" s="1"/>
  <c r="M141" i="33"/>
  <c r="O141" i="33" s="1"/>
  <c r="K678" i="33"/>
  <c r="M315" i="33"/>
  <c r="O314" i="33"/>
  <c r="M523" i="33"/>
  <c r="M520" i="33"/>
  <c r="M144" i="33"/>
  <c r="O144" i="33" s="1"/>
  <c r="M191" i="33"/>
  <c r="M295" i="33"/>
  <c r="M288" i="33"/>
  <c r="M524" i="33"/>
  <c r="M165" i="33"/>
  <c r="O165" i="33" s="1"/>
  <c r="M142" i="33"/>
  <c r="O142" i="33" s="1"/>
  <c r="O322" i="33"/>
  <c r="M334" i="33"/>
  <c r="M323" i="33"/>
  <c r="M296" i="33"/>
  <c r="M522" i="33"/>
  <c r="M187" i="33"/>
  <c r="M154" i="33"/>
  <c r="O154" i="33" s="1"/>
  <c r="M153" i="33"/>
  <c r="O153" i="33" s="1"/>
  <c r="M168" i="33"/>
  <c r="O168" i="33" s="1"/>
  <c r="M166" i="33"/>
  <c r="O166" i="33" s="1"/>
  <c r="K665" i="33"/>
  <c r="M264" i="33"/>
  <c r="M215" i="33"/>
  <c r="M263" i="33"/>
  <c r="M261" i="33"/>
  <c r="M216" i="33"/>
  <c r="M262" i="33"/>
  <c r="M271" i="33"/>
  <c r="M219" i="33"/>
  <c r="M213" i="33"/>
  <c r="M269" i="33"/>
  <c r="M220" i="33"/>
  <c r="M214" i="33"/>
  <c r="M217" i="33"/>
  <c r="M265" i="33"/>
  <c r="M270" i="33"/>
  <c r="M218" i="33"/>
  <c r="M267" i="33"/>
  <c r="M221" i="33"/>
  <c r="M212" i="33"/>
  <c r="M266" i="33"/>
  <c r="M268" i="33"/>
  <c r="M189" i="33"/>
  <c r="M525" i="33"/>
  <c r="M521" i="33"/>
  <c r="O286" i="33"/>
  <c r="M310" i="33"/>
  <c r="M190" i="33"/>
  <c r="M301" i="33"/>
  <c r="M186" i="33"/>
  <c r="M290" i="33"/>
  <c r="M239" i="33"/>
  <c r="M304" i="33"/>
  <c r="M289" i="33"/>
  <c r="M192" i="33"/>
  <c r="M243" i="33"/>
  <c r="M238" i="33"/>
  <c r="M195" i="33"/>
  <c r="M308" i="33"/>
  <c r="M519" i="33"/>
  <c r="M291" i="33"/>
  <c r="M526" i="33"/>
  <c r="M242" i="33"/>
  <c r="M307" i="33"/>
  <c r="M245" i="33"/>
  <c r="M241" i="33"/>
  <c r="M188" i="33"/>
  <c r="M244" i="33"/>
  <c r="M278" i="33"/>
  <c r="M279" i="33"/>
  <c r="M280" i="33"/>
  <c r="M281" i="33"/>
  <c r="M282" i="33"/>
  <c r="M253" i="33"/>
  <c r="M257" i="33"/>
  <c r="M229" i="33"/>
  <c r="M230" i="33"/>
  <c r="M231" i="33"/>
  <c r="M232" i="33"/>
  <c r="M206" i="33"/>
  <c r="M254" i="33"/>
  <c r="M203" i="33"/>
  <c r="M201" i="33"/>
  <c r="M256" i="33"/>
  <c r="M228" i="33"/>
  <c r="M204" i="33"/>
  <c r="M207" i="33"/>
  <c r="M164" i="33"/>
  <c r="O164" i="33" s="1"/>
  <c r="M277" i="33"/>
  <c r="M255" i="33"/>
  <c r="M252" i="33"/>
  <c r="M227" i="33"/>
  <c r="M202" i="33"/>
  <c r="M205" i="33"/>
  <c r="M176" i="33"/>
  <c r="O176" i="33" s="1"/>
  <c r="M152" i="33"/>
  <c r="O152" i="33" s="1"/>
  <c r="M139" i="33"/>
  <c r="O139" i="33" s="1"/>
  <c r="M306" i="33"/>
  <c r="M193" i="33"/>
  <c r="M178" i="33"/>
  <c r="O178" i="33" s="1"/>
  <c r="M287" i="33"/>
  <c r="M292" i="33"/>
  <c r="M305" i="33"/>
  <c r="M179" i="33"/>
  <c r="O179" i="33" s="1"/>
  <c r="M302" i="33"/>
  <c r="M177" i="33"/>
  <c r="O177" i="33" s="1"/>
  <c r="M303" i="33"/>
  <c r="M194" i="33"/>
  <c r="M140" i="33"/>
  <c r="O140" i="33" s="1"/>
  <c r="M246" i="33"/>
  <c r="M293" i="33"/>
  <c r="M143" i="33"/>
  <c r="O143" i="33" s="1"/>
  <c r="M181" i="33"/>
  <c r="O181" i="33" s="1"/>
  <c r="M169" i="33"/>
  <c r="O169" i="33" s="1"/>
  <c r="K660" i="33"/>
  <c r="M127" i="33"/>
  <c r="M67" i="33"/>
  <c r="M123" i="33"/>
  <c r="M104" i="33"/>
  <c r="M63" i="33"/>
  <c r="M105" i="33"/>
  <c r="M126" i="33"/>
  <c r="M88" i="33"/>
  <c r="O19" i="33"/>
  <c r="M125" i="33"/>
  <c r="M85" i="33"/>
  <c r="M84" i="33"/>
  <c r="M103" i="33"/>
  <c r="M109" i="33"/>
  <c r="M65" i="33"/>
  <c r="M62" i="33"/>
  <c r="M106" i="33"/>
  <c r="M129" i="33"/>
  <c r="M130" i="33"/>
  <c r="M107" i="33"/>
  <c r="M66" i="33"/>
  <c r="M128" i="33"/>
  <c r="M81" i="33"/>
  <c r="M82" i="33"/>
  <c r="M86" i="33"/>
  <c r="M108" i="33"/>
  <c r="M102" i="33"/>
  <c r="M83" i="33"/>
  <c r="M87" i="33"/>
  <c r="M124" i="33"/>
  <c r="M404" i="33"/>
  <c r="M388" i="33"/>
  <c r="M390" i="33"/>
  <c r="M405" i="33"/>
  <c r="M371" i="33"/>
  <c r="M403" i="33"/>
  <c r="M387" i="33"/>
  <c r="M402" i="33"/>
  <c r="O370" i="33"/>
  <c r="M389" i="33"/>
  <c r="M394" i="33"/>
  <c r="M386" i="33"/>
  <c r="M377" i="33"/>
  <c r="M385" i="33"/>
  <c r="M409" i="33"/>
  <c r="M373" i="33"/>
  <c r="M372" i="33"/>
  <c r="M47" i="33"/>
  <c r="M26" i="33"/>
  <c r="M46" i="33"/>
  <c r="M25" i="33"/>
  <c r="M45" i="33"/>
  <c r="M24" i="33"/>
  <c r="M44" i="33"/>
  <c r="M23" i="33"/>
  <c r="M43" i="33"/>
  <c r="M22" i="33"/>
  <c r="M42" i="33"/>
  <c r="M21" i="33"/>
  <c r="M40" i="33"/>
  <c r="M20" i="33"/>
  <c r="M41" i="33"/>
  <c r="M35" i="10"/>
  <c r="M34" i="10"/>
  <c r="I22" i="6"/>
  <c r="I25" i="6"/>
  <c r="I28" i="6"/>
  <c r="I29" i="6" s="1"/>
  <c r="M28" i="6"/>
  <c r="M48" i="6"/>
  <c r="M33" i="6"/>
  <c r="M25" i="6"/>
  <c r="O476" i="33" l="1"/>
  <c r="O44" i="33"/>
  <c r="O386" i="33"/>
  <c r="O405" i="33"/>
  <c r="O128" i="33"/>
  <c r="O109" i="33"/>
  <c r="O67" i="33"/>
  <c r="O302" i="33"/>
  <c r="O228" i="33"/>
  <c r="O282" i="33"/>
  <c r="O241" i="33"/>
  <c r="O195" i="33"/>
  <c r="O186" i="33"/>
  <c r="O268" i="33"/>
  <c r="O213" i="33"/>
  <c r="O264" i="33"/>
  <c r="O296" i="33"/>
  <c r="O523" i="33"/>
  <c r="O363" i="33"/>
  <c r="O532" i="33"/>
  <c r="O352" i="33"/>
  <c r="O585" i="33"/>
  <c r="O534" i="33"/>
  <c r="O615" i="33"/>
  <c r="O665" i="33"/>
  <c r="O324" i="33"/>
  <c r="O444" i="33"/>
  <c r="O340" i="33"/>
  <c r="O490" i="33"/>
  <c r="O601" i="33"/>
  <c r="O497" i="33"/>
  <c r="O471" i="33"/>
  <c r="O20" i="33"/>
  <c r="O22" i="33"/>
  <c r="O24" i="33"/>
  <c r="O26" i="33"/>
  <c r="O409" i="33"/>
  <c r="O394" i="33"/>
  <c r="O387" i="33"/>
  <c r="O390" i="33"/>
  <c r="O87" i="33"/>
  <c r="O86" i="33"/>
  <c r="O66" i="33"/>
  <c r="O106" i="33"/>
  <c r="O103" i="33"/>
  <c r="O63" i="33"/>
  <c r="O127" i="33"/>
  <c r="O194" i="33"/>
  <c r="O227" i="33"/>
  <c r="O256" i="33"/>
  <c r="O206" i="33"/>
  <c r="O229" i="33"/>
  <c r="O281" i="33"/>
  <c r="O245" i="33"/>
  <c r="O291" i="33"/>
  <c r="O238" i="33"/>
  <c r="O304" i="33"/>
  <c r="O301" i="33"/>
  <c r="O521" i="33"/>
  <c r="O266" i="33"/>
  <c r="O218" i="33"/>
  <c r="O214" i="33"/>
  <c r="O219" i="33"/>
  <c r="O261" i="33"/>
  <c r="O323" i="33"/>
  <c r="O191" i="33"/>
  <c r="O358" i="33"/>
  <c r="O349" i="33"/>
  <c r="O598" i="33"/>
  <c r="O721" i="33"/>
  <c r="O336" i="33"/>
  <c r="O722" i="33"/>
  <c r="O536" i="33"/>
  <c r="O717" i="33"/>
  <c r="O602" i="33"/>
  <c r="O359" i="33"/>
  <c r="O348" i="33"/>
  <c r="O535" i="33"/>
  <c r="O338" i="33"/>
  <c r="O600" i="33"/>
  <c r="O612" i="33"/>
  <c r="O479" i="33"/>
  <c r="O439" i="33"/>
  <c r="O667" i="33"/>
  <c r="O475" i="33"/>
  <c r="O446" i="33"/>
  <c r="O326" i="33"/>
  <c r="O486" i="33"/>
  <c r="O464" i="33"/>
  <c r="O460" i="33"/>
  <c r="O470" i="33"/>
  <c r="O468" i="33"/>
  <c r="O669" i="33"/>
  <c r="O441" i="33"/>
  <c r="O42" i="33"/>
  <c r="O46" i="33"/>
  <c r="O402" i="33"/>
  <c r="O108" i="33"/>
  <c r="O129" i="33"/>
  <c r="O105" i="33"/>
  <c r="O287" i="33"/>
  <c r="O277" i="33"/>
  <c r="O254" i="33"/>
  <c r="O278" i="33"/>
  <c r="O267" i="33"/>
  <c r="O216" i="33"/>
  <c r="O295" i="33"/>
  <c r="O673" i="33"/>
  <c r="O583" i="33"/>
  <c r="O677" i="33"/>
  <c r="O675" i="33"/>
  <c r="O588" i="33"/>
  <c r="O44" i="10"/>
  <c r="U44" i="10"/>
  <c r="W44" i="10" s="1"/>
  <c r="Y44" i="10"/>
  <c r="O360" i="33"/>
  <c r="O442" i="33"/>
  <c r="O454" i="33"/>
  <c r="O447" i="33"/>
  <c r="O461" i="33"/>
  <c r="O440" i="33"/>
  <c r="O316" i="33"/>
  <c r="O451" i="33"/>
  <c r="O40" i="33"/>
  <c r="O43" i="33"/>
  <c r="O45" i="33"/>
  <c r="O47" i="33"/>
  <c r="O385" i="33"/>
  <c r="O389" i="33"/>
  <c r="O403" i="33"/>
  <c r="O388" i="33"/>
  <c r="O83" i="33"/>
  <c r="O82" i="33"/>
  <c r="O107" i="33"/>
  <c r="O62" i="33"/>
  <c r="O84" i="33"/>
  <c r="O88" i="33"/>
  <c r="O104" i="33"/>
  <c r="O303" i="33"/>
  <c r="O305" i="33"/>
  <c r="O193" i="33"/>
  <c r="O252" i="33"/>
  <c r="O207" i="33"/>
  <c r="O201" i="33"/>
  <c r="O232" i="33"/>
  <c r="O257" i="33"/>
  <c r="O280" i="33"/>
  <c r="O244" i="33"/>
  <c r="O307" i="33"/>
  <c r="O519" i="33"/>
  <c r="O243" i="33"/>
  <c r="O239" i="33"/>
  <c r="O190" i="33"/>
  <c r="O525" i="33"/>
  <c r="O212" i="33"/>
  <c r="O270" i="33"/>
  <c r="O220" i="33"/>
  <c r="O271" i="33"/>
  <c r="O263" i="33"/>
  <c r="O187" i="33"/>
  <c r="O334" i="33"/>
  <c r="O524" i="33"/>
  <c r="O315" i="33"/>
  <c r="O347" i="33"/>
  <c r="O527" i="33"/>
  <c r="O617" i="33"/>
  <c r="O664" i="33"/>
  <c r="O676" i="33"/>
  <c r="O327" i="33"/>
  <c r="O537" i="33"/>
  <c r="O589" i="33"/>
  <c r="O597" i="33"/>
  <c r="O666" i="33"/>
  <c r="O718" i="33"/>
  <c r="O613" i="33"/>
  <c r="O616" i="33"/>
  <c r="O494" i="33"/>
  <c r="O445" i="33"/>
  <c r="O489" i="33"/>
  <c r="O240" i="33"/>
  <c r="O498" i="33"/>
  <c r="O668" i="33"/>
  <c r="O496" i="33"/>
  <c r="O462" i="33"/>
  <c r="O465" i="33"/>
  <c r="O41" i="33"/>
  <c r="O373" i="33"/>
  <c r="O124" i="33"/>
  <c r="O125" i="33"/>
  <c r="O202" i="33"/>
  <c r="O230" i="33"/>
  <c r="O526" i="33"/>
  <c r="O289" i="33"/>
  <c r="O217" i="33"/>
  <c r="O350" i="33"/>
  <c r="O674" i="33"/>
  <c r="O21" i="33"/>
  <c r="O23" i="33"/>
  <c r="O25" i="33"/>
  <c r="O372" i="33"/>
  <c r="O377" i="33"/>
  <c r="O378" i="33" s="1"/>
  <c r="O371" i="33"/>
  <c r="O404" i="33"/>
  <c r="O102" i="33"/>
  <c r="O81" i="33"/>
  <c r="O130" i="33"/>
  <c r="O65" i="33"/>
  <c r="O85" i="33"/>
  <c r="O126" i="33"/>
  <c r="O123" i="33"/>
  <c r="O246" i="33"/>
  <c r="O292" i="33"/>
  <c r="O306" i="33"/>
  <c r="O205" i="33"/>
  <c r="O255" i="33"/>
  <c r="O204" i="33"/>
  <c r="O203" i="33"/>
  <c r="O231" i="33"/>
  <c r="O253" i="33"/>
  <c r="O279" i="33"/>
  <c r="O188" i="33"/>
  <c r="O242" i="33"/>
  <c r="O308" i="33"/>
  <c r="O192" i="33"/>
  <c r="O290" i="33"/>
  <c r="O310" i="33"/>
  <c r="O189" i="33"/>
  <c r="O221" i="33"/>
  <c r="O265" i="33"/>
  <c r="O269" i="33"/>
  <c r="O262" i="33"/>
  <c r="O215" i="33"/>
  <c r="O522" i="33"/>
  <c r="O288" i="33"/>
  <c r="O520" i="33"/>
  <c r="O237" i="33"/>
  <c r="O611" i="33"/>
  <c r="O328" i="33"/>
  <c r="O719" i="33"/>
  <c r="O720" i="33"/>
  <c r="O337" i="33"/>
  <c r="O584" i="33"/>
  <c r="O339" i="33"/>
  <c r="O533" i="33"/>
  <c r="O351" i="33"/>
  <c r="O678" i="33"/>
  <c r="O663" i="33"/>
  <c r="O614" i="33"/>
  <c r="O587" i="33"/>
  <c r="O474" i="33"/>
  <c r="O485" i="33"/>
  <c r="O491" i="33"/>
  <c r="O329" i="33"/>
  <c r="O448" i="33"/>
  <c r="O492" i="33"/>
  <c r="O459" i="33"/>
  <c r="O473" i="33"/>
  <c r="O483" i="33"/>
  <c r="K679" i="33"/>
  <c r="K671" i="33"/>
  <c r="O43" i="10"/>
  <c r="Y43" i="10"/>
  <c r="U43" i="10"/>
  <c r="W43" i="10" s="1"/>
  <c r="O293" i="33"/>
  <c r="U34" i="10"/>
  <c r="W34" i="10" s="1"/>
  <c r="Y34" i="10"/>
  <c r="U35" i="10"/>
  <c r="W35" i="10" s="1"/>
  <c r="Y35" i="10"/>
  <c r="O34" i="10"/>
  <c r="O35" i="10"/>
  <c r="O410" i="33"/>
  <c r="E24" i="34"/>
  <c r="I26" i="6"/>
  <c r="K38" i="6"/>
  <c r="I31" i="6"/>
  <c r="I32" i="6"/>
  <c r="O433" i="33"/>
  <c r="R734" i="33"/>
  <c r="R736" i="33" s="1"/>
  <c r="R744" i="33"/>
  <c r="R746" i="33" s="1"/>
  <c r="M32" i="6"/>
  <c r="M36" i="6"/>
  <c r="M31" i="6"/>
  <c r="O406" i="33" l="1"/>
  <c r="O604" i="33"/>
  <c r="O208" i="33"/>
  <c r="O679" i="33"/>
  <c r="O374" i="33"/>
  <c r="O379" i="33" s="1"/>
  <c r="O298" i="33"/>
  <c r="O28" i="33"/>
  <c r="O233" i="33"/>
  <c r="O69" i="33"/>
  <c r="O528" i="33"/>
  <c r="O111" i="33"/>
  <c r="O395" i="33"/>
  <c r="O146" i="33"/>
  <c r="O318" i="33"/>
  <c r="M40" i="10" s="1"/>
  <c r="O591" i="33"/>
  <c r="O671" i="33"/>
  <c r="O618" i="33"/>
  <c r="O311" i="33"/>
  <c r="O501" i="33"/>
  <c r="R417" i="33"/>
  <c r="R419" i="33" s="1"/>
  <c r="O391" i="33"/>
  <c r="K680" i="33"/>
  <c r="Q31" i="10" s="1"/>
  <c r="Q38" i="10" s="1"/>
  <c r="M30" i="34"/>
  <c r="Q30" i="34" s="1"/>
  <c r="E19" i="34"/>
  <c r="G19" i="34" s="1"/>
  <c r="E16" i="34"/>
  <c r="E17" i="34"/>
  <c r="I17" i="34" s="1"/>
  <c r="E20" i="34"/>
  <c r="Z11" i="34" s="1"/>
  <c r="AB11" i="34" s="1"/>
  <c r="E29" i="34"/>
  <c r="G29" i="34" s="1"/>
  <c r="E30" i="34"/>
  <c r="I30" i="34" s="1"/>
  <c r="E13" i="34"/>
  <c r="I13" i="34" s="1"/>
  <c r="E23" i="34"/>
  <c r="I23" i="34" s="1"/>
  <c r="E22" i="34"/>
  <c r="E18" i="34"/>
  <c r="G18" i="34" s="1"/>
  <c r="E9" i="34"/>
  <c r="E21" i="34"/>
  <c r="I21" i="34" s="1"/>
  <c r="E28" i="34"/>
  <c r="I28" i="34" s="1"/>
  <c r="E27" i="34"/>
  <c r="E10" i="34"/>
  <c r="E11" i="34"/>
  <c r="E12" i="34"/>
  <c r="O132" i="33"/>
  <c r="I24" i="34"/>
  <c r="G24" i="34"/>
  <c r="E14" i="34"/>
  <c r="E26" i="34"/>
  <c r="E25" i="34"/>
  <c r="M25" i="34"/>
  <c r="M28" i="34"/>
  <c r="M17" i="34"/>
  <c r="M9" i="34"/>
  <c r="M13" i="34"/>
  <c r="M15" i="34"/>
  <c r="M11" i="34"/>
  <c r="M19" i="34"/>
  <c r="M12" i="34"/>
  <c r="M26" i="34"/>
  <c r="M16" i="34"/>
  <c r="M24" i="34"/>
  <c r="M10" i="34"/>
  <c r="M22" i="34"/>
  <c r="M18" i="34"/>
  <c r="M23" i="34"/>
  <c r="M29" i="34"/>
  <c r="M21" i="34"/>
  <c r="M14" i="34"/>
  <c r="M27" i="34"/>
  <c r="O49" i="33"/>
  <c r="O90" i="33"/>
  <c r="O170" i="33"/>
  <c r="O158" i="33"/>
  <c r="O182" i="33"/>
  <c r="O222" i="33"/>
  <c r="O196" i="33"/>
  <c r="O247" i="33"/>
  <c r="O272" i="33"/>
  <c r="O258" i="33"/>
  <c r="I38" i="6"/>
  <c r="M41" i="10"/>
  <c r="M38" i="6"/>
  <c r="R28" i="33" l="1"/>
  <c r="O411" i="33"/>
  <c r="M28" i="10" s="1"/>
  <c r="U28" i="10" s="1"/>
  <c r="W28" i="10" s="1"/>
  <c r="M21" i="10"/>
  <c r="U21" i="10" s="1"/>
  <c r="W21" i="10" s="1"/>
  <c r="R579" i="33"/>
  <c r="R581" i="33" s="1"/>
  <c r="Y40" i="10"/>
  <c r="O40" i="10"/>
  <c r="U40" i="10"/>
  <c r="W40" i="10" s="1"/>
  <c r="R314" i="33"/>
  <c r="R316" i="33" s="1"/>
  <c r="M30" i="10"/>
  <c r="O30" i="10" s="1"/>
  <c r="R440" i="33"/>
  <c r="R442" i="33" s="1"/>
  <c r="M42" i="10"/>
  <c r="M45" i="10" s="1"/>
  <c r="O396" i="33"/>
  <c r="K773" i="33"/>
  <c r="M16" i="10"/>
  <c r="U16" i="10" s="1"/>
  <c r="W16" i="10" s="1"/>
  <c r="S31" i="10"/>
  <c r="G20" i="34"/>
  <c r="Y21" i="10"/>
  <c r="U41" i="10"/>
  <c r="W41" i="10" s="1"/>
  <c r="Y41" i="10"/>
  <c r="Q49" i="10"/>
  <c r="S38" i="10"/>
  <c r="AA11" i="34"/>
  <c r="G21" i="34"/>
  <c r="M15" i="10"/>
  <c r="I20" i="34"/>
  <c r="O41" i="10"/>
  <c r="O21" i="10"/>
  <c r="O30" i="34"/>
  <c r="I19" i="34"/>
  <c r="Z14" i="34"/>
  <c r="AB14" i="34" s="1"/>
  <c r="I18" i="34"/>
  <c r="G13" i="34"/>
  <c r="G17" i="34"/>
  <c r="G30" i="34"/>
  <c r="I11" i="34"/>
  <c r="G11" i="34"/>
  <c r="I10" i="34"/>
  <c r="G10" i="34"/>
  <c r="I16" i="34"/>
  <c r="G16" i="34"/>
  <c r="G28" i="34"/>
  <c r="I27" i="34"/>
  <c r="G27" i="34"/>
  <c r="I22" i="34"/>
  <c r="G22" i="34"/>
  <c r="G23" i="34"/>
  <c r="G9" i="34"/>
  <c r="I9" i="34"/>
  <c r="I12" i="34"/>
  <c r="G12" i="34"/>
  <c r="I29" i="34"/>
  <c r="G25" i="34"/>
  <c r="I25" i="34"/>
  <c r="I26" i="34"/>
  <c r="G26" i="34"/>
  <c r="G14" i="34"/>
  <c r="I14" i="34"/>
  <c r="Q22" i="34"/>
  <c r="O22" i="34"/>
  <c r="O15" i="34"/>
  <c r="Q15" i="34"/>
  <c r="Z12" i="34"/>
  <c r="O10" i="34"/>
  <c r="Q10" i="34"/>
  <c r="O13" i="34"/>
  <c r="Q13" i="34"/>
  <c r="Q27" i="34"/>
  <c r="O27" i="34"/>
  <c r="Q24" i="34"/>
  <c r="O24" i="34"/>
  <c r="Q9" i="34"/>
  <c r="O9" i="34"/>
  <c r="Q14" i="34"/>
  <c r="O14" i="34"/>
  <c r="O16" i="34"/>
  <c r="Q16" i="34"/>
  <c r="O17" i="34"/>
  <c r="Q17" i="34"/>
  <c r="O21" i="34"/>
  <c r="Q21" i="34"/>
  <c r="O26" i="34"/>
  <c r="Q26" i="34"/>
  <c r="O28" i="34"/>
  <c r="Q28" i="34"/>
  <c r="Q29" i="34"/>
  <c r="O29" i="34"/>
  <c r="O12" i="34"/>
  <c r="Q12" i="34"/>
  <c r="Q25" i="34"/>
  <c r="O25" i="34"/>
  <c r="O23" i="34"/>
  <c r="Q23" i="34"/>
  <c r="Q19" i="34"/>
  <c r="O19" i="34"/>
  <c r="Q18" i="34"/>
  <c r="O18" i="34"/>
  <c r="Q11" i="34"/>
  <c r="O11" i="34"/>
  <c r="Z13" i="34"/>
  <c r="R13" i="33"/>
  <c r="O283" i="33"/>
  <c r="O342" i="33"/>
  <c r="O330" i="33"/>
  <c r="R287" i="33"/>
  <c r="R289" i="33" s="1"/>
  <c r="R367" i="33" l="1"/>
  <c r="R369" i="33" s="1"/>
  <c r="U30" i="10"/>
  <c r="W30" i="10" s="1"/>
  <c r="Y30" i="10"/>
  <c r="O16" i="10"/>
  <c r="O28" i="10"/>
  <c r="R28" i="10" s="1"/>
  <c r="Y28" i="10"/>
  <c r="R136" i="33"/>
  <c r="R138" i="33" s="1"/>
  <c r="Y16" i="10"/>
  <c r="U42" i="10"/>
  <c r="W42" i="10" s="1"/>
  <c r="Y42" i="10"/>
  <c r="O42" i="10"/>
  <c r="M27" i="10"/>
  <c r="M20" i="10"/>
  <c r="S49" i="10"/>
  <c r="U15" i="10"/>
  <c r="W15" i="10" s="1"/>
  <c r="Y15" i="10"/>
  <c r="U45" i="10"/>
  <c r="W45" i="10" s="1"/>
  <c r="Y45" i="10"/>
  <c r="M18" i="10"/>
  <c r="O18" i="10" s="1"/>
  <c r="O15" i="10"/>
  <c r="O45" i="10"/>
  <c r="AA14" i="34"/>
  <c r="AB12" i="34"/>
  <c r="AA12" i="34"/>
  <c r="AA13" i="34"/>
  <c r="AB13" i="34"/>
  <c r="O723" i="33"/>
  <c r="R322" i="33"/>
  <c r="O353" i="33"/>
  <c r="O538" i="33"/>
  <c r="M23" i="10"/>
  <c r="M623" i="33"/>
  <c r="M48" i="10"/>
  <c r="M691" i="33" l="1"/>
  <c r="U27" i="10"/>
  <c r="W27" i="10" s="1"/>
  <c r="O27" i="10"/>
  <c r="M29" i="10"/>
  <c r="Y27" i="10"/>
  <c r="O539" i="33"/>
  <c r="U48" i="10"/>
  <c r="W48" i="10" s="1"/>
  <c r="Y48" i="10"/>
  <c r="U20" i="10"/>
  <c r="W20" i="10" s="1"/>
  <c r="Y20" i="10"/>
  <c r="U18" i="10"/>
  <c r="W18" i="10" s="1"/>
  <c r="Y18" i="10"/>
  <c r="U23" i="10"/>
  <c r="W23" i="10" s="1"/>
  <c r="Y23" i="10"/>
  <c r="O20" i="10"/>
  <c r="O23" i="10"/>
  <c r="O48" i="10"/>
  <c r="M22" i="10"/>
  <c r="R346" i="33"/>
  <c r="M24" i="10"/>
  <c r="Y29" i="10" l="1"/>
  <c r="O29" i="10"/>
  <c r="U29" i="10"/>
  <c r="W29" i="10" s="1"/>
  <c r="M711" i="33"/>
  <c r="M710" i="33"/>
  <c r="M694" i="33"/>
  <c r="M693" i="33"/>
  <c r="M699" i="33"/>
  <c r="M705" i="33"/>
  <c r="M704" i="33"/>
  <c r="M698" i="33"/>
  <c r="M692" i="33"/>
  <c r="M695" i="33"/>
  <c r="M701" i="33"/>
  <c r="M708" i="33"/>
  <c r="M702" i="33"/>
  <c r="M707" i="33"/>
  <c r="O691" i="33"/>
  <c r="U22" i="10"/>
  <c r="W22" i="10" s="1"/>
  <c r="Y22" i="10"/>
  <c r="U24" i="10"/>
  <c r="W24" i="10" s="1"/>
  <c r="Y24" i="10"/>
  <c r="M658" i="33"/>
  <c r="M646" i="33"/>
  <c r="M633" i="33"/>
  <c r="M659" i="33"/>
  <c r="O623" i="33"/>
  <c r="M656" i="33"/>
  <c r="M645" i="33"/>
  <c r="M632" i="33"/>
  <c r="M655" i="33"/>
  <c r="M630" i="33"/>
  <c r="M636" i="33"/>
  <c r="M653" i="33"/>
  <c r="M643" i="33"/>
  <c r="M629" i="33"/>
  <c r="M652" i="33"/>
  <c r="M642" i="33"/>
  <c r="M626" i="33"/>
  <c r="M640" i="33"/>
  <c r="M627" i="33"/>
  <c r="M649" i="33"/>
  <c r="M639" i="33"/>
  <c r="O24" i="10"/>
  <c r="O22" i="10"/>
  <c r="O364" i="33"/>
  <c r="R324" i="33"/>
  <c r="M18" i="6"/>
  <c r="K49" i="6"/>
  <c r="O652" i="33" l="1"/>
  <c r="O633" i="33"/>
  <c r="O639" i="33"/>
  <c r="O626" i="33"/>
  <c r="O643" i="33"/>
  <c r="O655" i="33"/>
  <c r="O658" i="33"/>
  <c r="O649" i="33"/>
  <c r="O642" i="33"/>
  <c r="O653" i="33"/>
  <c r="O632" i="33"/>
  <c r="O659" i="33"/>
  <c r="O627" i="33"/>
  <c r="O636" i="33"/>
  <c r="O645" i="33"/>
  <c r="O640" i="33"/>
  <c r="O629" i="33"/>
  <c r="O630" i="33"/>
  <c r="O656" i="33"/>
  <c r="O646" i="33"/>
  <c r="R357" i="33"/>
  <c r="R359" i="33" s="1"/>
  <c r="M25" i="10"/>
  <c r="M15" i="6"/>
  <c r="M49" i="6"/>
  <c r="O660" i="33" l="1"/>
  <c r="U25" i="10"/>
  <c r="W25" i="10" s="1"/>
  <c r="Y25" i="10"/>
  <c r="O25" i="10"/>
  <c r="M26" i="10"/>
  <c r="I16" i="6"/>
  <c r="M16" i="6"/>
  <c r="O680" i="33" l="1"/>
  <c r="U26" i="10"/>
  <c r="W26" i="10" s="1"/>
  <c r="Y26" i="10"/>
  <c r="O26" i="10"/>
  <c r="I18" i="6"/>
  <c r="I49" i="6" s="1"/>
  <c r="R623" i="33" l="1"/>
  <c r="R625" i="33" s="1"/>
  <c r="M31" i="10"/>
  <c r="R15" i="33"/>
  <c r="U31" i="10" l="1"/>
  <c r="W31" i="10" s="1"/>
  <c r="O31" i="10"/>
  <c r="Y31" i="10"/>
  <c r="R511" i="33"/>
  <c r="R513" i="33" s="1"/>
  <c r="R348" i="33" l="1"/>
  <c r="O692" i="33"/>
  <c r="O693" i="33"/>
  <c r="O694" i="33"/>
  <c r="O695" i="33"/>
  <c r="O698" i="33"/>
  <c r="O699" i="33"/>
  <c r="O701" i="33"/>
  <c r="O702" i="33"/>
  <c r="O704" i="33"/>
  <c r="O705" i="33"/>
  <c r="O707" i="33"/>
  <c r="O708" i="33"/>
  <c r="O710" i="33"/>
  <c r="O711" i="33"/>
  <c r="O713" i="33" l="1"/>
  <c r="O724" i="33" l="1"/>
  <c r="R685" i="33" l="1"/>
  <c r="R687" i="33" s="1"/>
  <c r="O773" i="33"/>
  <c r="M32" i="10"/>
  <c r="O32" i="10" s="1"/>
  <c r="U32" i="10" l="1"/>
  <c r="W32" i="10" s="1"/>
  <c r="M38" i="10"/>
  <c r="Y38" i="10" s="1"/>
  <c r="Y32" i="10"/>
  <c r="U38" i="10" l="1"/>
  <c r="W38" i="10" s="1"/>
  <c r="O38" i="10"/>
  <c r="M49" i="10"/>
  <c r="Y49" i="10" s="1"/>
  <c r="O49" i="10"/>
  <c r="U49" i="10" l="1"/>
  <c r="W49" i="10" s="1"/>
</calcChain>
</file>

<file path=xl/sharedStrings.xml><?xml version="1.0" encoding="utf-8"?>
<sst xmlns="http://schemas.openxmlformats.org/spreadsheetml/2006/main" count="1217" uniqueCount="374">
  <si>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</si>
  <si>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</si>
  <si>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</si>
  <si>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</si>
  <si>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</si>
  <si>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</si>
  <si>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</si>
  <si>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</si>
  <si>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</si>
  <si>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</si>
  <si>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>¢</t>
  </si>
  <si>
    <t>In Rate</t>
  </si>
  <si>
    <t>Target</t>
  </si>
  <si>
    <t>D</t>
  </si>
  <si>
    <t xml:space="preserve">  Total</t>
  </si>
  <si>
    <t xml:space="preserve">  Off-Peak kWh (May - Sept)</t>
  </si>
  <si>
    <t xml:space="preserve">  Voltage Discount</t>
  </si>
  <si>
    <t xml:space="preserve">  Seasonal Service</t>
  </si>
  <si>
    <t>Schedule No. 6 - Composite</t>
  </si>
  <si>
    <t>Schedule No. 6A - Energy Time-of-Day Option - Composite</t>
  </si>
  <si>
    <t xml:space="preserve">   7,000 Lumen</t>
  </si>
  <si>
    <t xml:space="preserve">   20,000 Lumen</t>
  </si>
  <si>
    <t xml:space="preserve">   22,000 Lumen</t>
  </si>
  <si>
    <t>Customers</t>
  </si>
  <si>
    <t>Total (kWh)</t>
  </si>
  <si>
    <t>Schedule No. 8 - Composite</t>
  </si>
  <si>
    <t xml:space="preserve">  Facilities kW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</si>
  <si>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</si>
  <si>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</si>
  <si>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</si>
  <si>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</si>
  <si>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</si>
  <si>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</si>
  <si>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</si>
  <si>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</si>
  <si>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</si>
  <si>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</si>
  <si>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</si>
  <si>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</si>
  <si>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</si>
  <si>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</si>
  <si>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</si>
  <si>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</si>
  <si>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</si>
  <si>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</si>
  <si>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</si>
  <si>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</si>
  <si>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</si>
  <si>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</si>
  <si>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</si>
  <si>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</si>
  <si>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Metal Halide Lamps</t>
  </si>
  <si>
    <t xml:space="preserve">   4,000 Lumen</t>
  </si>
  <si>
    <t xml:space="preserve">   10,000 Lumen</t>
  </si>
  <si>
    <t xml:space="preserve">   6,000 Lumen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</si>
  <si>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</si>
  <si>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</si>
  <si>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</si>
  <si>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</si>
  <si>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</si>
  <si>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</si>
  <si>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</si>
  <si>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</si>
  <si>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</si>
  <si>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</si>
  <si>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</si>
  <si>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</si>
  <si>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</si>
  <si>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</si>
  <si>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</si>
  <si>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</si>
  <si>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</si>
  <si>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</si>
  <si>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</si>
  <si>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</si>
  <si>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</si>
  <si>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</si>
  <si>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</si>
  <si>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</si>
  <si>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</si>
  <si>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</si>
  <si>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</si>
  <si>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</si>
  <si>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</si>
  <si>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</si>
  <si>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</si>
  <si>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</si>
  <si>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</si>
  <si>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</si>
  <si>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</si>
  <si>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</si>
  <si>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</si>
  <si>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</si>
  <si>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</si>
  <si>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</si>
  <si>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Customer Charge</t>
  </si>
  <si>
    <t>Schedule No. 21 - Electric Furnace Operations - Limited Service - Industrial</t>
  </si>
  <si>
    <t xml:space="preserve">  Subtotal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</si>
  <si>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</si>
  <si>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</si>
  <si>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</si>
  <si>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</si>
  <si>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</si>
  <si>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</si>
  <si>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</si>
  <si>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</si>
  <si>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</si>
  <si>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 xml:space="preserve">  Schedule 8</t>
  </si>
  <si>
    <t xml:space="preserve">  Schedule 9</t>
  </si>
  <si>
    <t xml:space="preserve">  Total (Aggregated)</t>
  </si>
  <si>
    <t xml:space="preserve">  Total </t>
  </si>
  <si>
    <t>Energy Only Res</t>
  </si>
  <si>
    <t>Energy Only Non-Res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</si>
  <si>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</si>
  <si>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</si>
  <si>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</si>
  <si>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</si>
  <si>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</si>
  <si>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</si>
  <si>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</si>
  <si>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</si>
  <si>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</si>
  <si>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</si>
  <si>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</si>
  <si>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</si>
  <si>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</si>
  <si>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</si>
  <si>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</si>
  <si>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</si>
  <si>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</si>
  <si>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</si>
  <si>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</si>
  <si>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</si>
  <si>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</si>
  <si>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</si>
  <si>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</si>
  <si>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</si>
  <si>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</si>
  <si>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</si>
  <si>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</si>
  <si>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</si>
  <si>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</si>
  <si>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</si>
  <si>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</si>
  <si>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</si>
  <si>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</si>
  <si>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</si>
  <si>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</si>
  <si>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</si>
  <si>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</si>
  <si>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</si>
  <si>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</si>
  <si>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</si>
  <si>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</si>
  <si>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</si>
  <si>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</si>
  <si>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</si>
  <si>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</si>
  <si>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</si>
  <si>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</si>
  <si>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</si>
  <si>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</si>
  <si>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</si>
  <si>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</si>
  <si>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</si>
  <si>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</si>
  <si>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</si>
  <si>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</si>
  <si>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Estimated Effect of Proposed Changes</t>
  </si>
  <si>
    <t>Revenues</t>
  </si>
  <si>
    <t xml:space="preserve">  Total Customer</t>
  </si>
  <si>
    <t>Schedule No. 6B - Demand Time-of-Day Option - Composite</t>
  </si>
  <si>
    <t>Schedule No. 9A - Energy TOD - Composite</t>
  </si>
  <si>
    <t xml:space="preserve">Present </t>
  </si>
  <si>
    <t>Rate Spread</t>
  </si>
  <si>
    <t>Sch 1</t>
  </si>
  <si>
    <t>Sch 6</t>
  </si>
  <si>
    <t>Monthly Billing Comparison</t>
  </si>
  <si>
    <t>Schedule 1 - State of Utah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</si>
  <si>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</si>
  <si>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</si>
  <si>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</si>
  <si>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</si>
  <si>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</si>
  <si>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</si>
  <si>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</si>
  <si>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</si>
  <si>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</si>
  <si>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</si>
  <si>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</si>
  <si>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</si>
  <si>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</si>
  <si>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</si>
  <si>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</si>
  <si>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</si>
  <si>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</si>
  <si>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</si>
  <si>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</si>
  <si>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</si>
  <si>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</si>
  <si>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(%)</t>
  </si>
  <si>
    <t>Blocking Based on Adjusted Actuals and Forecasted Loads</t>
  </si>
  <si>
    <t>Schedule No. 3- Residential Service - Low Income Lifeline Program</t>
  </si>
  <si>
    <t>Schedule No. 2 - Residential Service - Optional Time-of-Day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</si>
  <si>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</si>
  <si>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</si>
  <si>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</si>
  <si>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</si>
  <si>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</si>
  <si>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</si>
  <si>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>Lighting Contract - Post Top Lighting - Composite</t>
  </si>
  <si>
    <t>DSM&amp;STEP</t>
  </si>
  <si>
    <t>Sch 197 TAA</t>
  </si>
  <si>
    <t>Sch 98 REC</t>
  </si>
  <si>
    <t>Net (EBA+REC)</t>
  </si>
  <si>
    <r>
      <t>1</t>
    </r>
    <r>
      <rPr>
        <sz val="10"/>
        <rFont val="Times New Roman"/>
        <family val="1"/>
      </rPr>
      <t xml:space="preserve">  Including HELP, DSM, EBA, REC, STEP and TAA.</t>
    </r>
  </si>
  <si>
    <t>Sch 193 DSM</t>
  </si>
  <si>
    <t xml:space="preserve">      Single Family</t>
  </si>
  <si>
    <t xml:space="preserve">      Multi Family</t>
  </si>
  <si>
    <t xml:space="preserve">  Aggregate Charge</t>
  </si>
  <si>
    <t xml:space="preserve">  Non-Standard Meter Reading Fee</t>
  </si>
  <si>
    <t xml:space="preserve">  On-Peak kWh (Jun - Sept)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</si>
  <si>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</si>
  <si>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</si>
  <si>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</si>
  <si>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</si>
  <si>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</si>
  <si>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</si>
  <si>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Subscriber Solar kWh</t>
  </si>
  <si>
    <t xml:space="preserve">  Subscriber Solar kWh Adj</t>
  </si>
  <si>
    <t>Schedule No. 2E - Electric Vehicle Time-of-Use Pilot Option</t>
  </si>
  <si>
    <t>Rate Option 1</t>
  </si>
  <si>
    <t>Rate Option 2</t>
  </si>
  <si>
    <t>Subscriber Solar kWh</t>
  </si>
  <si>
    <t>Schedule No. 135 - Residential Service - Net Metering</t>
  </si>
  <si>
    <t>Schedule No. 136 - Residential Service - Net Metering</t>
  </si>
  <si>
    <t>Schedule 6 moving to 6A - Composite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</si>
  <si>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</si>
  <si>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</si>
  <si>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</si>
  <si>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</si>
  <si>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</si>
  <si>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</si>
  <si>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</si>
  <si>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</si>
  <si>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Schedule 6A</t>
  </si>
  <si>
    <t xml:space="preserve">  Minimum Charge</t>
  </si>
  <si>
    <t xml:space="preserve">  All kW (Jun - Sept)</t>
  </si>
  <si>
    <t xml:space="preserve">  All kW (Oct - May)</t>
  </si>
  <si>
    <t xml:space="preserve">  kWh (Jun-Sept)</t>
  </si>
  <si>
    <t xml:space="preserve">  kWh (Oct-May)</t>
  </si>
  <si>
    <t>Schedule 6-135 moving to 6A - Net Metering - Composite</t>
  </si>
  <si>
    <t>Schedule 6-136 moving to 6A - Net Metering - Commercial</t>
  </si>
  <si>
    <t>Schedule 6B moving to 6A - Composite</t>
  </si>
  <si>
    <t xml:space="preserve">  All on-peak kW (Jun - Sept)</t>
  </si>
  <si>
    <t xml:space="preserve">  All on-peak kW (Oct - May)</t>
  </si>
  <si>
    <t>Schedule No. 6-135 - Net Metering - Composite</t>
  </si>
  <si>
    <t>Schedule No. 6-136 - Net Metering - Composite</t>
  </si>
  <si>
    <t>Schedule No. 6A-135 - Composite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</si>
  <si>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</si>
  <si>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</si>
  <si>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</si>
  <si>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</si>
  <si>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>Schedule No. 8-135 - Commercial</t>
  </si>
  <si>
    <t>Schedule No. 10-135 - Irrigation</t>
  </si>
  <si>
    <t>TOTAL RATE 10-135</t>
  </si>
  <si>
    <t xml:space="preserve"> </t>
  </si>
  <si>
    <t>Schedule 6A</t>
  </si>
  <si>
    <t>Schedule 9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</si>
  <si>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</si>
  <si>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</si>
  <si>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</si>
  <si>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</si>
  <si>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</si>
  <si>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</si>
  <si>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</si>
  <si>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</si>
  <si>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</si>
  <si>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</si>
  <si>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</si>
  <si>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</si>
  <si>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</si>
  <si>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</si>
  <si>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</si>
  <si>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</si>
  <si>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</si>
  <si>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</si>
  <si>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</si>
  <si>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</si>
  <si>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</si>
  <si>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>Schedule No. 23-135 - Composite</t>
  </si>
  <si>
    <t>Schedule No. 23-136 - Composite</t>
  </si>
  <si>
    <t xml:space="preserve">              Jun - Sept</t>
  </si>
  <si>
    <t xml:space="preserve">              Oct - May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</si>
  <si>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</si>
  <si>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</si>
  <si>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</si>
  <si>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</si>
  <si>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</si>
  <si>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</si>
  <si>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</si>
  <si>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</si>
  <si>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</si>
  <si>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</si>
  <si>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</si>
  <si>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</si>
  <si>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</si>
  <si>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</si>
  <si>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</si>
  <si>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</si>
  <si>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</si>
  <si>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</si>
  <si>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</si>
  <si>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</si>
  <si>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</si>
  <si>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>Renewable Energy PPA</t>
  </si>
  <si>
    <t>Schedule 34 - Renewable Energy Purchases for Qualified Customers – 5,000 kW and Over - Commercial</t>
  </si>
  <si>
    <t>Customer Charge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</si>
  <si>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</si>
  <si>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</si>
  <si>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</si>
  <si>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</si>
  <si>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</si>
  <si>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</si>
  <si>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</si>
  <si>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</si>
  <si>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 xml:space="preserve">  Off-Peak kWh (Oct-Apr)</t>
  </si>
  <si>
    <t>Block 1</t>
  </si>
  <si>
    <t>Block 2 - Market</t>
  </si>
  <si>
    <t>Block 2 - Index</t>
  </si>
  <si>
    <t>Base Period 12 Months Ending December 2019</t>
  </si>
  <si>
    <t>Forecast Period 12 Months Ending December 2021</t>
  </si>
  <si>
    <t>Level 1 (0-5,500 LED Equivalent Lumens)</t>
  </si>
  <si>
    <t>Level 2 (5,501-12,000 LED Equivalent Lumens)</t>
  </si>
  <si>
    <t>Level 3 (12,001 and Greater LED Equivalent Lumens)</t>
  </si>
  <si>
    <t>Level 1 (0-3,500 LED Equivalent Lumens)</t>
  </si>
  <si>
    <t>Level 2 (3,501-5,500 LED Equivalent Lumens)</t>
  </si>
  <si>
    <t>Level 3 (5,501-8,000 LED Equivalent Lumens)</t>
  </si>
  <si>
    <t>Level 4 (8,001-12,000 LED Equivalent Lumens)</t>
  </si>
  <si>
    <t>Level 5 (12,001-15,500 LED Equivalent Lumens)</t>
  </si>
  <si>
    <t>Level 6 (15,501 and Greater LED Equivalent Lumens)</t>
  </si>
  <si>
    <t>Supplemental billed at Schedule 8/9 rate</t>
  </si>
  <si>
    <t>2/2E</t>
  </si>
  <si>
    <t>Functional Lighting</t>
  </si>
  <si>
    <t>Decorative Series</t>
  </si>
  <si>
    <t>Customer-Funded Conversion</t>
  </si>
  <si>
    <t>Customer-Funded Conversion Decorative Series</t>
  </si>
  <si>
    <t>Svc. From Ren. Ene. Facilities</t>
  </si>
  <si>
    <t>Ren. Ene. Pur. for Qlf. Cust &gt; 5,000 kW</t>
  </si>
  <si>
    <t>Res 1, 2, 2E, 3</t>
  </si>
  <si>
    <t>SCH 6A</t>
  </si>
  <si>
    <t>Residential Service - Single Family</t>
  </si>
  <si>
    <t>System Facilities Charge</t>
  </si>
  <si>
    <t>All other charge</t>
  </si>
  <si>
    <t>SCH 8</t>
  </si>
  <si>
    <t>SCH 31</t>
  </si>
  <si>
    <t>SCH 32</t>
  </si>
  <si>
    <t>Sch9/21</t>
  </si>
  <si>
    <t>Sch9A</t>
  </si>
  <si>
    <t>Sch 7</t>
  </si>
  <si>
    <t>Sch 11</t>
  </si>
  <si>
    <t>Sch 12</t>
  </si>
  <si>
    <t>kW/Lighting</t>
  </si>
  <si>
    <t>Table A</t>
  </si>
  <si>
    <t>vs.</t>
  </si>
  <si>
    <t>Sch 198</t>
  </si>
  <si>
    <t>Schedule 198</t>
  </si>
  <si>
    <t>Proposed Sch 198</t>
  </si>
  <si>
    <t>Sch 196</t>
  </si>
  <si>
    <t>Expiring</t>
  </si>
  <si>
    <t>Net Price</t>
  </si>
  <si>
    <t>Sch 196 STEP/198 EVIP</t>
  </si>
  <si>
    <t>Adj</t>
  </si>
  <si>
    <t>Goal seek: R138=0 by changing R140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</si>
</sst>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_);\(#,##0.0000\)"/>
    <numFmt numFmtId="171" formatCode="_(* #,##0.0000_);_(* \(#,##0.0000\);_(* &quot;-&quot;??_);_(@_)"/>
    <numFmt numFmtId="172" formatCode="_(* #,##0_);_(* \(#,##0\);_(* &quot;-&quot;??_);_(@_)"/>
    <numFmt numFmtId="173" formatCode="0.000%"/>
    <numFmt numFmtId="174" formatCode="0.0"/>
    <numFmt numFmtId="175" formatCode="&quot;$&quot;#,##0.0000_);\(&quot;$&quot;#,##0.0000\)"/>
    <numFmt numFmtId="176" formatCode="_(&quot;$&quot;* #,##0_);_(&quot;$&quot;* \(#,##0\);_(&quot;$&quot;* &quot;-&quot;??_);_(@_)"/>
    <numFmt numFmtId="177" formatCode="&quot;$&quot;#,##0.00"/>
    <numFmt numFmtId="178" formatCode="&quot;$&quot;###0;[Red]\(&quot;$&quot;###0\)"/>
    <numFmt numFmtId="179" formatCode="_-* #,##0\ &quot;F&quot;_-;\-* #,##0\ &quot;F&quot;_-;_-* &quot;-&quot;\ &quot;F&quot;_-;_-@_-"/>
    <numFmt numFmtId="180" formatCode="#,##0.000;[Red]\-#,##0.000"/>
    <numFmt numFmtId="181" formatCode="_(* #,##0_);[Red]_(* \(#,##0\);_(* &quot;-&quot;_);_(@_)"/>
    <numFmt numFmtId="182" formatCode="0.0000"/>
    <numFmt numFmtId="183" formatCode="#,##0;\-#,##0;&quot;-&quot;"/>
    <numFmt numFmtId="184" formatCode="mmmm\ d\,\ yyyy"/>
    <numFmt numFmtId="185" formatCode="########\-###\-###"/>
    <numFmt numFmtId="186" formatCode="#,##0.0_);\(#,##0.0\);\-\ ;"/>
    <numFmt numFmtId="187" formatCode="0.000000"/>
    <numFmt numFmtId="188" formatCode="mmm\ dd\,\ yyyy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$&quot;#,##0.0"/>
    <numFmt numFmtId="194" formatCode="0.00000"/>
    <numFmt numFmtId="195" formatCode="0.000000%"/>
  </numFmts>
  <fonts count="99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sz val="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090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8" fillId="0" borderId="0"/>
    <xf numFmtId="164" fontId="8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left"/>
    </xf>
    <xf numFmtId="172" fontId="15" fillId="0" borderId="0" applyFont="0" applyAlignment="0" applyProtection="0"/>
    <xf numFmtId="0" fontId="14" fillId="0" borderId="0">
      <alignment wrapText="1"/>
    </xf>
    <xf numFmtId="41" fontId="20" fillId="0" borderId="0" applyFont="0" applyFill="0" applyBorder="0" applyAlignment="0" applyProtection="0"/>
    <xf numFmtId="177" fontId="21" fillId="0" borderId="0"/>
    <xf numFmtId="0" fontId="22" fillId="0" borderId="0"/>
    <xf numFmtId="0" fontId="7" fillId="0" borderId="0"/>
    <xf numFmtId="0" fontId="8" fillId="0" borderId="0"/>
    <xf numFmtId="0" fontId="14" fillId="0" borderId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24" fillId="0" borderId="0">
      <alignment horizontal="left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8" fontId="25" fillId="0" borderId="0" applyFont="0" applyFill="0" applyBorder="0" applyProtection="0">
      <alignment horizontal="right"/>
    </xf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74" fontId="26" fillId="0" borderId="0" applyNumberFormat="0" applyFill="0" applyBorder="0" applyAlignment="0" applyProtection="0"/>
    <xf numFmtId="0" fontId="27" fillId="0" borderId="14" applyNumberFormat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2" fontId="30" fillId="2" borderId="15">
      <alignment horizontal="left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31" fillId="3" borderId="16" applyNumberFormat="0" applyProtection="0">
      <alignment vertical="center"/>
    </xf>
    <xf numFmtId="4" fontId="32" fillId="4" borderId="16" applyNumberFormat="0" applyProtection="0">
      <alignment vertical="center"/>
    </xf>
    <xf numFmtId="4" fontId="31" fillId="4" borderId="16" applyNumberFormat="0" applyProtection="0">
      <alignment vertical="center"/>
    </xf>
    <xf numFmtId="0" fontId="31" fillId="4" borderId="16" applyNumberFormat="0" applyProtection="0">
      <alignment horizontal="left" vertical="top" indent="1"/>
    </xf>
    <xf numFmtId="4" fontId="31" fillId="5" borderId="0" applyNumberFormat="0" applyProtection="0">
      <alignment horizontal="left" vertical="center" indent="1"/>
    </xf>
    <xf numFmtId="4" fontId="33" fillId="6" borderId="16" applyNumberFormat="0" applyProtection="0">
      <alignment horizontal="right" vertical="center"/>
    </xf>
    <xf numFmtId="4" fontId="33" fillId="7" borderId="16" applyNumberFormat="0" applyProtection="0">
      <alignment horizontal="right" vertical="center"/>
    </xf>
    <xf numFmtId="4" fontId="33" fillId="8" borderId="16" applyNumberFormat="0" applyProtection="0">
      <alignment horizontal="right" vertical="center"/>
    </xf>
    <xf numFmtId="4" fontId="33" fillId="9" borderId="16" applyNumberFormat="0" applyProtection="0">
      <alignment horizontal="right" vertical="center"/>
    </xf>
    <xf numFmtId="4" fontId="33" fillId="10" borderId="16" applyNumberFormat="0" applyProtection="0">
      <alignment horizontal="right" vertical="center"/>
    </xf>
    <xf numFmtId="4" fontId="33" fillId="11" borderId="16" applyNumberFormat="0" applyProtection="0">
      <alignment horizontal="right" vertical="center"/>
    </xf>
    <xf numFmtId="4" fontId="33" fillId="12" borderId="16" applyNumberFormat="0" applyProtection="0">
      <alignment horizontal="right" vertical="center"/>
    </xf>
    <xf numFmtId="4" fontId="33" fillId="13" borderId="16" applyNumberFormat="0" applyProtection="0">
      <alignment horizontal="right" vertical="center"/>
    </xf>
    <xf numFmtId="4" fontId="33" fillId="14" borderId="16" applyNumberFormat="0" applyProtection="0">
      <alignment horizontal="right" vertical="center"/>
    </xf>
    <xf numFmtId="4" fontId="31" fillId="15" borderId="17" applyNumberFormat="0" applyProtection="0">
      <alignment horizontal="left" vertical="center" indent="1"/>
    </xf>
    <xf numFmtId="4" fontId="33" fillId="16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3" fillId="18" borderId="16" applyNumberFormat="0" applyProtection="0">
      <alignment horizontal="right" vertical="center"/>
    </xf>
    <xf numFmtId="4" fontId="35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top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top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top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top" indent="1"/>
    </xf>
    <xf numFmtId="4" fontId="33" fillId="21" borderId="16" applyNumberFormat="0" applyProtection="0">
      <alignment vertical="center"/>
    </xf>
    <xf numFmtId="4" fontId="37" fillId="21" borderId="16" applyNumberFormat="0" applyProtection="0">
      <alignment vertical="center"/>
    </xf>
    <xf numFmtId="4" fontId="33" fillId="21" borderId="16" applyNumberFormat="0" applyProtection="0">
      <alignment horizontal="left" vertical="center" indent="1"/>
    </xf>
    <xf numFmtId="0" fontId="33" fillId="21" borderId="16" applyNumberFormat="0" applyProtection="0">
      <alignment horizontal="left" vertical="top" indent="1"/>
    </xf>
    <xf numFmtId="4" fontId="33" fillId="22" borderId="18" applyNumberFormat="0" applyProtection="0">
      <alignment horizontal="right" vertical="center"/>
    </xf>
    <xf numFmtId="4" fontId="37" fillId="16" borderId="16" applyNumberFormat="0" applyProtection="0">
      <alignment horizontal="right" vertical="center"/>
    </xf>
    <xf numFmtId="4" fontId="33" fillId="18" borderId="16" applyNumberFormat="0" applyProtection="0">
      <alignment horizontal="left" vertical="center" indent="1"/>
    </xf>
    <xf numFmtId="0" fontId="33" fillId="5" borderId="16" applyNumberFormat="0" applyProtection="0">
      <alignment horizontal="center" vertical="top"/>
    </xf>
    <xf numFmtId="4" fontId="38" fillId="0" borderId="0" applyNumberFormat="0" applyProtection="0">
      <alignment horizontal="left" vertical="center"/>
    </xf>
    <xf numFmtId="4" fontId="39" fillId="16" borderId="16" applyNumberFormat="0" applyProtection="0">
      <alignment horizontal="right" vertical="center"/>
    </xf>
    <xf numFmtId="37" fontId="27" fillId="4" borderId="0" applyNumberFormat="0" applyBorder="0" applyAlignment="0" applyProtection="0"/>
    <xf numFmtId="37" fontId="27" fillId="0" borderId="0"/>
    <xf numFmtId="3" fontId="40" fillId="23" borderId="19" applyProtection="0"/>
    <xf numFmtId="0" fontId="8" fillId="0" borderId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38" fontId="27" fillId="24" borderId="0" applyNumberFormat="0" applyBorder="0" applyAlignment="0" applyProtection="0"/>
    <xf numFmtId="0" fontId="44" fillId="0" borderId="0"/>
    <xf numFmtId="0" fontId="30" fillId="0" borderId="23" applyNumberFormat="0" applyAlignment="0" applyProtection="0">
      <alignment horizontal="left" vertical="center"/>
    </xf>
    <xf numFmtId="0" fontId="30" fillId="0" borderId="22">
      <alignment horizontal="left" vertical="center"/>
    </xf>
    <xf numFmtId="10" fontId="27" fillId="21" borderId="20" applyNumberFormat="0" applyBorder="0" applyAlignment="0" applyProtection="0"/>
    <xf numFmtId="180" fontId="14" fillId="0" borderId="0"/>
    <xf numFmtId="0" fontId="14" fillId="0" borderId="0"/>
    <xf numFmtId="0" fontId="5" fillId="0" borderId="0"/>
    <xf numFmtId="41" fontId="20" fillId="0" borderId="0" applyFont="0" applyFill="0" applyBorder="0" applyAlignment="0" applyProtection="0"/>
    <xf numFmtId="181" fontId="14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45" fillId="25" borderId="0" applyNumberFormat="0" applyProtection="0">
      <alignment horizontal="left"/>
    </xf>
    <xf numFmtId="0" fontId="43" fillId="0" borderId="20">
      <alignment horizontal="center" vertical="center" wrapText="1"/>
    </xf>
    <xf numFmtId="0" fontId="14" fillId="0" borderId="0"/>
    <xf numFmtId="164" fontId="53" fillId="0" borderId="0"/>
    <xf numFmtId="0" fontId="54" fillId="0" borderId="0"/>
    <xf numFmtId="9" fontId="53" fillId="0" borderId="0" applyFont="0" applyFill="0" applyBorder="0" applyAlignment="0" applyProtection="0"/>
    <xf numFmtId="164" fontId="8" fillId="0" borderId="0"/>
    <xf numFmtId="0" fontId="55" fillId="3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4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39" borderId="0" applyNumberFormat="0" applyBorder="0" applyAlignment="0" applyProtection="0"/>
    <xf numFmtId="0" fontId="55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40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43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49" borderId="2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3" fillId="50" borderId="0" applyNumberFormat="0" applyBorder="0" applyAlignment="0" applyProtection="0"/>
    <xf numFmtId="183" fontId="33" fillId="0" borderId="0" applyFill="0" applyBorder="0" applyAlignment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59" fillId="51" borderId="28" applyNumberFormat="0" applyAlignment="0" applyProtection="0"/>
    <xf numFmtId="0" fontId="60" fillId="0" borderId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61" fillId="52" borderId="29" applyNumberFormat="0" applyAlignment="0" applyProtection="0"/>
    <xf numFmtId="0" fontId="53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" fontId="62" fillId="0" borderId="0"/>
    <xf numFmtId="41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0" fontId="66" fillId="0" borderId="0"/>
    <xf numFmtId="0" fontId="66" fillId="0" borderId="0"/>
    <xf numFmtId="0" fontId="66" fillId="0" borderId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66" fillId="0" borderId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67" fillId="0" borderId="0"/>
    <xf numFmtId="0" fontId="67" fillId="0" borderId="30"/>
    <xf numFmtId="0" fontId="66" fillId="0" borderId="0"/>
    <xf numFmtId="0" fontId="66" fillId="0" borderId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84" fontId="14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6" fillId="0" borderId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38" fontId="27" fillId="24" borderId="0" applyNumberFormat="0" applyBorder="0" applyAlignment="0" applyProtection="0"/>
    <xf numFmtId="38" fontId="27" fillId="24" borderId="0" applyNumberFormat="0" applyBorder="0" applyAlignment="0" applyProtection="0"/>
    <xf numFmtId="0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3" fontId="14" fillId="0" borderId="0">
      <protection locked="0"/>
    </xf>
    <xf numFmtId="173" fontId="14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27" fillId="21" borderId="20" applyNumberFormat="0" applyBorder="0" applyAlignment="0" applyProtection="0"/>
    <xf numFmtId="10" fontId="27" fillId="21" borderId="20" applyNumberFormat="0" applyBorder="0" applyAlignment="0" applyProtection="0"/>
    <xf numFmtId="0" fontId="73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38" fontId="74" fillId="0" borderId="0">
      <alignment horizontal="left" wrapText="1"/>
    </xf>
    <xf numFmtId="38" fontId="75" fillId="0" borderId="0">
      <alignment horizontal="left" wrapText="1"/>
    </xf>
    <xf numFmtId="0" fontId="76" fillId="53" borderId="3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8" fillId="54" borderId="0"/>
    <xf numFmtId="0" fontId="78" fillId="55" borderId="0"/>
    <xf numFmtId="0" fontId="43" fillId="56" borderId="7" applyBorder="0"/>
    <xf numFmtId="0" fontId="14" fillId="57" borderId="8" applyNumberFormat="0" applyFont="0" applyBorder="0" applyAlignment="0" applyProtection="0"/>
    <xf numFmtId="185" fontId="14" fillId="0" borderId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37" fontId="80" fillId="0" borderId="0" applyNumberFormat="0" applyFill="0" applyBorder="0"/>
    <xf numFmtId="0" fontId="27" fillId="0" borderId="14" applyNumberFormat="0" applyBorder="0" applyAlignment="0"/>
    <xf numFmtId="0" fontId="27" fillId="0" borderId="14" applyNumberFormat="0" applyBorder="0" applyAlignment="0"/>
    <xf numFmtId="0" fontId="27" fillId="0" borderId="14" applyNumberFormat="0" applyBorder="0" applyAlignment="0"/>
    <xf numFmtId="180" fontId="14" fillId="0" borderId="0"/>
    <xf numFmtId="18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41" fontId="14" fillId="0" borderId="0"/>
    <xf numFmtId="0" fontId="14" fillId="0" borderId="0"/>
    <xf numFmtId="0" fontId="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28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7" fillId="0" borderId="0"/>
    <xf numFmtId="41" fontId="47" fillId="0" borderId="0"/>
    <xf numFmtId="41" fontId="47" fillId="0" borderId="0"/>
    <xf numFmtId="41" fontId="47" fillId="0" borderId="0"/>
    <xf numFmtId="41" fontId="47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6" fillId="0" borderId="0"/>
    <xf numFmtId="0" fontId="14" fillId="58" borderId="33" applyNumberFormat="0" applyFont="0" applyAlignment="0" applyProtection="0"/>
    <xf numFmtId="0" fontId="23" fillId="26" borderId="27" applyNumberFormat="0" applyFont="0" applyAlignment="0" applyProtection="0"/>
    <xf numFmtId="0" fontId="23" fillId="26" borderId="27" applyNumberFormat="0" applyFont="0" applyAlignment="0" applyProtection="0"/>
    <xf numFmtId="0" fontId="23" fillId="26" borderId="27" applyNumberFormat="0" applyFont="0" applyAlignment="0" applyProtection="0"/>
    <xf numFmtId="0" fontId="14" fillId="58" borderId="33" applyNumberFormat="0" applyFont="0" applyAlignment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186" fontId="8" fillId="0" borderId="0" applyFont="0" applyFill="0" applyBorder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0" fontId="83" fillId="51" borderId="34" applyNumberFormat="0" applyAlignment="0" applyProtection="0"/>
    <xf numFmtId="40" fontId="33" fillId="22" borderId="0">
      <alignment horizontal="right"/>
    </xf>
    <xf numFmtId="0" fontId="31" fillId="22" borderId="0">
      <alignment horizontal="left"/>
    </xf>
    <xf numFmtId="0" fontId="66" fillId="0" borderId="0"/>
    <xf numFmtId="0" fontId="66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5" fillId="0" borderId="0"/>
    <xf numFmtId="0" fontId="67" fillId="0" borderId="0"/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4" borderId="16" applyNumberFormat="0" applyProtection="0">
      <alignment horizontal="left" vertical="center" indent="1"/>
    </xf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5" borderId="16" applyNumberFormat="0" applyProtection="0"/>
    <xf numFmtId="4" fontId="31" fillId="15" borderId="17" applyNumberFormat="0" applyProtection="0">
      <alignment horizontal="left" vertical="center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3" fillId="16" borderId="0" applyNumberFormat="0" applyProtection="0">
      <alignment horizontal="left" indent="1"/>
    </xf>
    <xf numFmtId="4" fontId="34" fillId="17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86" fillId="59" borderId="0" applyNumberFormat="0" applyProtection="0">
      <alignment horizontal="left" indent="1"/>
    </xf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4" fontId="36" fillId="60" borderId="0" applyNumberFormat="0" applyProtection="0"/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center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17" borderId="16" applyNumberFormat="0" applyProtection="0">
      <alignment horizontal="left" vertical="top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5" borderId="16" applyNumberFormat="0" applyProtection="0">
      <alignment horizontal="left" vertical="top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center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19" borderId="16" applyNumberFormat="0" applyProtection="0">
      <alignment horizontal="left" vertical="top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center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0" fontId="14" fillId="20" borderId="16" applyNumberFormat="0" applyProtection="0">
      <alignment horizontal="left" vertical="top" indent="1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right" vertical="center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4" fontId="33" fillId="0" borderId="16" applyNumberFormat="0" applyProtection="0">
      <alignment horizontal="left" vertical="center" indent="1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0" fontId="33" fillId="5" borderId="16" applyNumberFormat="0" applyProtection="0">
      <alignment horizontal="left" vertical="top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4" fontId="45" fillId="25" borderId="0" applyNumberFormat="0" applyProtection="0">
      <alignment horizontal="left"/>
    </xf>
    <xf numFmtId="37" fontId="28" fillId="61" borderId="0" applyNumberFormat="0" applyFont="0" applyBorder="0" applyAlignment="0" applyProtection="0"/>
    <xf numFmtId="0" fontId="87" fillId="0" borderId="0" applyNumberFormat="0" applyFill="0" applyBorder="0" applyAlignment="0" applyProtection="0"/>
    <xf numFmtId="169" fontId="14" fillId="0" borderId="24">
      <alignment horizontal="justify" vertical="top" wrapText="1"/>
    </xf>
    <xf numFmtId="169" fontId="14" fillId="0" borderId="24">
      <alignment horizontal="justify" vertical="top" wrapText="1"/>
    </xf>
    <xf numFmtId="169" fontId="14" fillId="0" borderId="24">
      <alignment horizontal="justify" vertical="top" wrapText="1"/>
    </xf>
    <xf numFmtId="0" fontId="88" fillId="62" borderId="35"/>
    <xf numFmtId="187" fontId="14" fillId="0" borderId="0">
      <alignment horizontal="left" wrapText="1"/>
    </xf>
    <xf numFmtId="2" fontId="14" fillId="0" borderId="0" applyFill="0" applyBorder="0" applyProtection="0">
      <alignment horizontal="right"/>
    </xf>
    <xf numFmtId="14" fontId="89" fillId="63" borderId="36" applyProtection="0">
      <alignment horizontal="right"/>
    </xf>
    <xf numFmtId="0" fontId="89" fillId="0" borderId="0" applyNumberFormat="0" applyFill="0" applyBorder="0" applyProtection="0">
      <alignment horizontal="left"/>
    </xf>
    <xf numFmtId="188" fontId="14" fillId="0" borderId="0" applyFill="0" applyBorder="0" applyAlignment="0" applyProtection="0">
      <alignment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67" fillId="0" borderId="30"/>
    <xf numFmtId="38" fontId="14" fillId="0" borderId="0">
      <alignment horizontal="left" wrapText="1"/>
    </xf>
    <xf numFmtId="0" fontId="90" fillId="64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3" fillId="0" borderId="20">
      <alignment horizontal="center" vertical="center"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6" fillId="0" borderId="12"/>
    <xf numFmtId="0" fontId="76" fillId="0" borderId="37"/>
    <xf numFmtId="0" fontId="76" fillId="0" borderId="3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66" fillId="0" borderId="2"/>
    <xf numFmtId="38" fontId="33" fillId="0" borderId="26" applyFill="0" applyBorder="0" applyAlignment="0" applyProtection="0">
      <protection locked="0"/>
    </xf>
    <xf numFmtId="37" fontId="27" fillId="4" borderId="0" applyNumberFormat="0" applyBorder="0" applyAlignment="0" applyProtection="0"/>
    <xf numFmtId="37" fontId="27" fillId="4" borderId="0" applyNumberFormat="0" applyBorder="0" applyAlignment="0" applyProtection="0"/>
    <xf numFmtId="37" fontId="27" fillId="4" borderId="0" applyNumberFormat="0" applyBorder="0" applyAlignment="0" applyProtection="0"/>
    <xf numFmtId="37" fontId="27" fillId="0" borderId="0"/>
    <xf numFmtId="37" fontId="27" fillId="0" borderId="0"/>
    <xf numFmtId="37" fontId="27" fillId="0" borderId="0"/>
    <xf numFmtId="37" fontId="27" fillId="4" borderId="0" applyNumberFormat="0" applyBorder="0" applyAlignment="0" applyProtection="0"/>
    <xf numFmtId="191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/>
    <xf numFmtId="0" fontId="14" fillId="0" borderId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6">
    <xf numFmtId="0" fontId="0" fillId="0" borderId="0" xfId="0"/>
    <xf numFmtId="164" fontId="8" fillId="0" borderId="0" xfId="4" applyNumberFormat="1" applyFill="1"/>
    <xf numFmtId="164" fontId="12" fillId="0" borderId="0" xfId="4" applyNumberFormat="1" applyFont="1" applyFill="1" applyBorder="1"/>
    <xf numFmtId="5" fontId="8" fillId="0" borderId="0" xfId="4" applyNumberFormat="1" applyFill="1" applyProtection="1"/>
    <xf numFmtId="37" fontId="13" fillId="0" borderId="0" xfId="4" applyNumberFormat="1" applyFont="1" applyFill="1" applyBorder="1" applyAlignment="1" applyProtection="1">
      <alignment horizontal="center"/>
    </xf>
    <xf numFmtId="37" fontId="13" fillId="0" borderId="1" xfId="4" quotePrefix="1" applyNumberFormat="1" applyFont="1" applyFill="1" applyBorder="1" applyAlignment="1" applyProtection="1">
      <alignment horizontal="center"/>
    </xf>
    <xf numFmtId="5" fontId="12" fillId="0" borderId="0" xfId="4" applyNumberFormat="1" applyFont="1" applyFill="1" applyProtection="1"/>
    <xf numFmtId="5" fontId="8" fillId="0" borderId="6" xfId="4" applyNumberFormat="1" applyFill="1" applyBorder="1" applyProtection="1"/>
    <xf numFmtId="5" fontId="8" fillId="0" borderId="7" xfId="4" applyNumberFormat="1" applyFill="1" applyBorder="1" applyProtection="1"/>
    <xf numFmtId="5" fontId="8" fillId="0" borderId="10" xfId="4" applyNumberFormat="1" applyFill="1" applyBorder="1" applyProtection="1"/>
    <xf numFmtId="5" fontId="12" fillId="0" borderId="0" xfId="4" applyNumberFormat="1" applyFont="1" applyFill="1" applyBorder="1" applyProtection="1"/>
    <xf numFmtId="5" fontId="12" fillId="0" borderId="2" xfId="4" applyNumberFormat="1" applyFont="1" applyFill="1" applyBorder="1" applyProtection="1"/>
    <xf numFmtId="5" fontId="12" fillId="0" borderId="11" xfId="4" applyNumberFormat="1" applyFont="1" applyFill="1" applyBorder="1" applyProtection="1"/>
    <xf numFmtId="5" fontId="12" fillId="0" borderId="12" xfId="4" applyNumberFormat="1" applyFont="1" applyFill="1" applyBorder="1" applyProtection="1"/>
    <xf numFmtId="168" fontId="15" fillId="0" borderId="0" xfId="4" applyNumberFormat="1" applyFont="1" applyFill="1" applyAlignment="1" applyProtection="1">
      <alignment horizontal="right"/>
    </xf>
    <xf numFmtId="10" fontId="15" fillId="0" borderId="0" xfId="4" applyNumberFormat="1" applyFont="1" applyFill="1" applyAlignment="1" applyProtection="1">
      <alignment horizontal="right"/>
    </xf>
    <xf numFmtId="165" fontId="12" fillId="0" borderId="12" xfId="1" applyNumberFormat="1" applyFont="1" applyFill="1" applyBorder="1"/>
    <xf numFmtId="0" fontId="0" fillId="0" borderId="0" xfId="0" applyAlignment="1"/>
    <xf numFmtId="37" fontId="10" fillId="0" borderId="0" xfId="5" quotePrefix="1" applyNumberFormat="1" applyFont="1" applyAlignment="1">
      <alignment horizontal="center"/>
    </xf>
    <xf numFmtId="37" fontId="10" fillId="0" borderId="0" xfId="5" quotePrefix="1" applyNumberFormat="1" applyFont="1" applyFill="1" applyAlignment="1">
      <alignment horizontal="center"/>
    </xf>
    <xf numFmtId="172" fontId="8" fillId="0" borderId="0" xfId="1" applyNumberFormat="1" applyFont="1" applyFill="1"/>
    <xf numFmtId="5" fontId="8" fillId="0" borderId="0" xfId="2" applyNumberFormat="1" applyFont="1" applyFill="1"/>
    <xf numFmtId="5" fontId="8" fillId="0" borderId="0" xfId="5" applyNumberFormat="1" applyFill="1"/>
    <xf numFmtId="5" fontId="8" fillId="0" borderId="1" xfId="2" applyNumberFormat="1" applyFont="1" applyFill="1" applyBorder="1"/>
    <xf numFmtId="5" fontId="8" fillId="0" borderId="0" xfId="2" applyNumberFormat="1" applyFont="1" applyFill="1" applyBorder="1"/>
    <xf numFmtId="5" fontId="8" fillId="0" borderId="0" xfId="5" applyNumberFormat="1" applyFill="1" applyBorder="1"/>
    <xf numFmtId="176" fontId="8" fillId="0" borderId="0" xfId="2" applyNumberFormat="1" applyFont="1" applyFill="1"/>
    <xf numFmtId="176" fontId="8" fillId="0" borderId="0" xfId="5" applyNumberFormat="1" applyFill="1"/>
    <xf numFmtId="5" fontId="8" fillId="0" borderId="11" xfId="2" applyNumberFormat="1" applyFont="1" applyFill="1" applyBorder="1"/>
    <xf numFmtId="0" fontId="12" fillId="0" borderId="1" xfId="6" applyFont="1" applyBorder="1" applyAlignment="1" applyProtection="1">
      <alignment horizontal="center"/>
      <protection locked="0"/>
    </xf>
    <xf numFmtId="166" fontId="12" fillId="0" borderId="0" xfId="6" applyNumberFormat="1" applyFont="1" applyProtection="1">
      <protection locked="0"/>
    </xf>
    <xf numFmtId="164" fontId="12" fillId="0" borderId="3" xfId="4" applyNumberFormat="1" applyFont="1" applyFill="1" applyBorder="1"/>
    <xf numFmtId="7" fontId="12" fillId="0" borderId="5" xfId="4" applyNumberFormat="1" applyFont="1" applyFill="1" applyBorder="1" applyProtection="1">
      <protection locked="0"/>
    </xf>
    <xf numFmtId="5" fontId="8" fillId="0" borderId="3" xfId="4" applyNumberFormat="1" applyFill="1" applyBorder="1" applyProtection="1"/>
    <xf numFmtId="164" fontId="10" fillId="0" borderId="0" xfId="5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/>
    <xf numFmtId="164" fontId="10" fillId="0" borderId="0" xfId="5" applyFont="1" applyAlignment="1">
      <alignment horizontal="centerContinuous"/>
    </xf>
    <xf numFmtId="10" fontId="9" fillId="0" borderId="0" xfId="4" applyNumberFormat="1" applyFont="1" applyFill="1" applyAlignment="1">
      <alignment horizontal="centerContinuous"/>
    </xf>
    <xf numFmtId="5" fontId="12" fillId="0" borderId="0" xfId="4" applyNumberFormat="1" applyFont="1" applyFill="1" applyAlignment="1">
      <alignment horizontal="centerContinuous"/>
    </xf>
    <xf numFmtId="10" fontId="12" fillId="0" borderId="0" xfId="4" applyNumberFormat="1" applyFont="1" applyFill="1"/>
    <xf numFmtId="5" fontId="12" fillId="0" borderId="0" xfId="4" applyNumberFormat="1" applyFont="1" applyFill="1"/>
    <xf numFmtId="10" fontId="13" fillId="0" borderId="1" xfId="4" applyNumberFormat="1" applyFont="1" applyFill="1" applyBorder="1" applyAlignment="1">
      <alignment horizontal="centerContinuous"/>
    </xf>
    <xf numFmtId="5" fontId="13" fillId="0" borderId="1" xfId="4" applyNumberFormat="1" applyFont="1" applyFill="1" applyBorder="1" applyAlignment="1">
      <alignment horizontal="centerContinuous"/>
    </xf>
    <xf numFmtId="10" fontId="12" fillId="0" borderId="0" xfId="3" applyNumberFormat="1" applyFont="1" applyFill="1" applyBorder="1"/>
    <xf numFmtId="165" fontId="12" fillId="0" borderId="0" xfId="1" applyNumberFormat="1" applyFont="1" applyFill="1" applyBorder="1"/>
    <xf numFmtId="171" fontId="12" fillId="0" borderId="0" xfId="1" applyNumberFormat="1" applyFont="1" applyFill="1" applyBorder="1" applyProtection="1">
      <protection locked="0"/>
    </xf>
    <xf numFmtId="10" fontId="12" fillId="0" borderId="3" xfId="4" applyNumberFormat="1" applyFont="1" applyFill="1" applyBorder="1" applyAlignment="1">
      <alignment horizontal="right"/>
    </xf>
    <xf numFmtId="164" fontId="10" fillId="0" borderId="0" xfId="5" applyFont="1" applyFill="1" applyAlignment="1">
      <alignment horizontal="centerContinuous"/>
    </xf>
    <xf numFmtId="164" fontId="8" fillId="0" borderId="0" xfId="5" applyFill="1" applyAlignment="1">
      <alignment horizontal="centerContinuous"/>
    </xf>
    <xf numFmtId="164" fontId="8" fillId="0" borderId="0" xfId="5"/>
    <xf numFmtId="164" fontId="8" fillId="0" borderId="0" xfId="5" applyAlignment="1">
      <alignment horizontal="centerContinuous"/>
    </xf>
    <xf numFmtId="164" fontId="8" fillId="0" borderId="0" xfId="5" applyFill="1"/>
    <xf numFmtId="164" fontId="10" fillId="0" borderId="0" xfId="5" applyFont="1" applyAlignment="1">
      <alignment horizontal="center"/>
    </xf>
    <xf numFmtId="164" fontId="10" fillId="0" borderId="1" xfId="5" applyFont="1" applyBorder="1" applyAlignment="1">
      <alignment horizontal="center"/>
    </xf>
    <xf numFmtId="164" fontId="10" fillId="0" borderId="0" xfId="5" applyFont="1" applyFill="1"/>
    <xf numFmtId="164" fontId="8" fillId="0" borderId="0" xfId="5" applyFont="1" applyAlignment="1">
      <alignment horizontal="right"/>
    </xf>
    <xf numFmtId="164" fontId="8" fillId="0" borderId="0" xfId="5" applyAlignment="1">
      <alignment horizontal="right"/>
    </xf>
    <xf numFmtId="164" fontId="8" fillId="0" borderId="0" xfId="5" applyFont="1"/>
    <xf numFmtId="164" fontId="8" fillId="0" borderId="0" xfId="5" applyBorder="1" applyAlignment="1">
      <alignment horizontal="right"/>
    </xf>
    <xf numFmtId="175" fontId="8" fillId="0" borderId="0" xfId="2" applyNumberFormat="1" applyFont="1" applyFill="1"/>
    <xf numFmtId="164" fontId="8" fillId="0" borderId="0" xfId="5" quotePrefix="1" applyAlignment="1">
      <alignment horizontal="right"/>
    </xf>
    <xf numFmtId="164" fontId="18" fillId="0" borderId="0" xfId="5" applyFont="1"/>
    <xf numFmtId="164" fontId="8" fillId="0" borderId="0" xfId="5" applyBorder="1"/>
    <xf numFmtId="164" fontId="8" fillId="0" borderId="0" xfId="5" applyFill="1" applyBorder="1"/>
    <xf numFmtId="164" fontId="11" fillId="0" borderId="0" xfId="4" applyFont="1" applyFill="1"/>
    <xf numFmtId="164" fontId="9" fillId="0" borderId="0" xfId="4" applyFont="1" applyFill="1" applyAlignment="1">
      <alignment horizontal="centerContinuous"/>
    </xf>
    <xf numFmtId="164" fontId="12" fillId="0" borderId="0" xfId="4" applyFont="1" applyFill="1" applyBorder="1"/>
    <xf numFmtId="164" fontId="12" fillId="0" borderId="0" xfId="4" applyFont="1" applyFill="1"/>
    <xf numFmtId="164" fontId="13" fillId="0" borderId="0" xfId="4" applyFont="1" applyFill="1" applyAlignment="1">
      <alignment horizontal="center"/>
    </xf>
    <xf numFmtId="164" fontId="13" fillId="0" borderId="2" xfId="4" applyFont="1" applyFill="1" applyBorder="1" applyAlignment="1">
      <alignment horizontal="center"/>
    </xf>
    <xf numFmtId="164" fontId="12" fillId="0" borderId="11" xfId="4" applyFont="1" applyFill="1" applyBorder="1"/>
    <xf numFmtId="164" fontId="12" fillId="0" borderId="12" xfId="4" applyFont="1" applyFill="1" applyBorder="1"/>
    <xf numFmtId="164" fontId="10" fillId="0" borderId="0" xfId="5" applyFont="1" applyFill="1" applyAlignment="1">
      <alignment horizontal="left"/>
    </xf>
    <xf numFmtId="164" fontId="8" fillId="0" borderId="0" xfId="5" applyFill="1" applyBorder="1" applyAlignment="1">
      <alignment horizontal="centerContinuous"/>
    </xf>
    <xf numFmtId="5" fontId="12" fillId="0" borderId="11" xfId="2" applyNumberFormat="1" applyFont="1" applyFill="1" applyBorder="1"/>
    <xf numFmtId="164" fontId="12" fillId="0" borderId="0" xfId="5" applyFont="1"/>
    <xf numFmtId="164" fontId="13" fillId="0" borderId="1" xfId="5" quotePrefix="1" applyFont="1" applyFill="1" applyBorder="1" applyAlignment="1">
      <alignment horizontal="center"/>
    </xf>
    <xf numFmtId="166" fontId="12" fillId="0" borderId="0" xfId="2" applyNumberFormat="1" applyFont="1" applyFill="1"/>
    <xf numFmtId="166" fontId="12" fillId="0" borderId="1" xfId="2" applyNumberFormat="1" applyFont="1" applyFill="1" applyBorder="1"/>
    <xf numFmtId="166" fontId="12" fillId="0" borderId="0" xfId="2" applyNumberFormat="1" applyFont="1" applyFill="1" applyBorder="1"/>
    <xf numFmtId="166" fontId="12" fillId="0" borderId="11" xfId="2" applyNumberFormat="1" applyFont="1" applyFill="1" applyBorder="1"/>
    <xf numFmtId="164" fontId="12" fillId="0" borderId="0" xfId="4" applyFont="1" applyFill="1" applyAlignment="1">
      <alignment horizontal="centerContinuous"/>
    </xf>
    <xf numFmtId="164" fontId="13" fillId="0" borderId="0" xfId="4" applyFont="1" applyFill="1" applyBorder="1" applyAlignment="1">
      <alignment horizontal="center"/>
    </xf>
    <xf numFmtId="164" fontId="12" fillId="0" borderId="0" xfId="4" applyFont="1" applyFill="1" applyAlignment="1">
      <alignment horizontal="left"/>
    </xf>
    <xf numFmtId="164" fontId="16" fillId="0" borderId="0" xfId="5" applyFont="1" applyFill="1" applyBorder="1"/>
    <xf numFmtId="3" fontId="46" fillId="0" borderId="0" xfId="213" applyNumberFormat="1" applyFont="1" applyAlignment="1">
      <alignment horizontal="centerContinuous"/>
    </xf>
    <xf numFmtId="0" fontId="47" fillId="0" borderId="0" xfId="213" applyFont="1" applyAlignment="1">
      <alignment horizontal="centerContinuous"/>
    </xf>
    <xf numFmtId="177" fontId="47" fillId="0" borderId="0" xfId="213" applyNumberFormat="1" applyFont="1" applyAlignment="1">
      <alignment horizontal="centerContinuous"/>
    </xf>
    <xf numFmtId="7" fontId="47" fillId="0" borderId="0" xfId="213" applyNumberFormat="1" applyFont="1" applyAlignment="1">
      <alignment horizontal="centerContinuous"/>
    </xf>
    <xf numFmtId="0" fontId="47" fillId="0" borderId="0" xfId="213" applyFont="1" applyBorder="1"/>
    <xf numFmtId="0" fontId="47" fillId="0" borderId="0" xfId="213" applyFont="1"/>
    <xf numFmtId="3" fontId="47" fillId="0" borderId="0" xfId="213" applyNumberFormat="1" applyFont="1"/>
    <xf numFmtId="177" fontId="47" fillId="0" borderId="0" xfId="213" applyNumberFormat="1" applyFont="1"/>
    <xf numFmtId="7" fontId="47" fillId="0" borderId="0" xfId="213" applyNumberFormat="1" applyFont="1"/>
    <xf numFmtId="3" fontId="50" fillId="0" borderId="0" xfId="213" applyNumberFormat="1" applyFont="1" applyAlignment="1">
      <alignment horizontal="center"/>
    </xf>
    <xf numFmtId="177" fontId="47" fillId="0" borderId="22" xfId="213" applyNumberFormat="1" applyFont="1" applyBorder="1" applyAlignment="1">
      <alignment horizontal="centerContinuous"/>
    </xf>
    <xf numFmtId="177" fontId="47" fillId="0" borderId="22" xfId="213" applyNumberFormat="1" applyFont="1" applyBorder="1" applyAlignment="1">
      <alignment horizontal="centerContinuous" wrapText="1"/>
    </xf>
    <xf numFmtId="0" fontId="47" fillId="0" borderId="0" xfId="213" applyFont="1" applyAlignment="1">
      <alignment horizontal="center"/>
    </xf>
    <xf numFmtId="0" fontId="48" fillId="0" borderId="3" xfId="213" applyFont="1" applyBorder="1"/>
    <xf numFmtId="0" fontId="48" fillId="0" borderId="22" xfId="213" applyFont="1" applyBorder="1" applyAlignment="1">
      <alignment horizontal="center"/>
    </xf>
    <xf numFmtId="0" fontId="48" fillId="0" borderId="4" xfId="213" applyFont="1" applyBorder="1" applyAlignment="1">
      <alignment horizontal="center"/>
    </xf>
    <xf numFmtId="39" fontId="47" fillId="0" borderId="0" xfId="213" applyNumberFormat="1" applyFont="1"/>
    <xf numFmtId="0" fontId="51" fillId="0" borderId="8" xfId="213" applyFont="1" applyBorder="1"/>
    <xf numFmtId="0" fontId="47" fillId="0" borderId="7" xfId="213" applyFont="1" applyBorder="1"/>
    <xf numFmtId="0" fontId="47" fillId="0" borderId="8" xfId="213" applyFont="1" applyBorder="1"/>
    <xf numFmtId="166" fontId="47" fillId="0" borderId="0" xfId="213" applyNumberFormat="1" applyFont="1"/>
    <xf numFmtId="182" fontId="52" fillId="0" borderId="0" xfId="213" applyNumberFormat="1" applyFont="1" applyBorder="1"/>
    <xf numFmtId="0" fontId="47" fillId="0" borderId="9" xfId="213" applyFont="1" applyBorder="1"/>
    <xf numFmtId="10" fontId="52" fillId="0" borderId="0" xfId="213" applyNumberFormat="1" applyFont="1" applyBorder="1"/>
    <xf numFmtId="9" fontId="47" fillId="0" borderId="0" xfId="213" applyNumberFormat="1" applyFont="1"/>
    <xf numFmtId="3" fontId="49" fillId="0" borderId="0" xfId="213" applyNumberFormat="1" applyFont="1"/>
    <xf numFmtId="0" fontId="47" fillId="0" borderId="5" xfId="213" applyFont="1" applyBorder="1" applyAlignment="1">
      <alignment horizontal="centerContinuous"/>
    </xf>
    <xf numFmtId="0" fontId="47" fillId="0" borderId="21" xfId="213" applyFont="1" applyBorder="1" applyAlignment="1">
      <alignment horizontal="centerContinuous"/>
    </xf>
    <xf numFmtId="0" fontId="47" fillId="0" borderId="3" xfId="213" applyFont="1" applyBorder="1" applyAlignment="1">
      <alignment horizontal="centerContinuous"/>
    </xf>
    <xf numFmtId="0" fontId="47" fillId="0" borderId="4" xfId="213" applyFont="1" applyBorder="1" applyAlignment="1">
      <alignment horizontal="centerContinuous"/>
    </xf>
    <xf numFmtId="0" fontId="47" fillId="0" borderId="3" xfId="213" applyFont="1" applyBorder="1" applyAlignment="1">
      <alignment horizontal="center"/>
    </xf>
    <xf numFmtId="0" fontId="47" fillId="0" borderId="9" xfId="213" applyFont="1" applyBorder="1" applyAlignment="1">
      <alignment horizontal="center"/>
    </xf>
    <xf numFmtId="0" fontId="47" fillId="0" borderId="24" xfId="213" applyFont="1" applyBorder="1" applyAlignment="1">
      <alignment horizontal="center"/>
    </xf>
    <xf numFmtId="0" fontId="47" fillId="0" borderId="25" xfId="213" applyFont="1" applyBorder="1"/>
    <xf numFmtId="177" fontId="47" fillId="0" borderId="8" xfId="213" applyNumberFormat="1" applyFont="1" applyBorder="1"/>
    <xf numFmtId="0" fontId="47" fillId="0" borderId="26" xfId="213" applyFont="1" applyBorder="1"/>
    <xf numFmtId="164" fontId="10" fillId="0" borderId="0" xfId="5" applyNumberFormat="1" applyFont="1" applyAlignment="1">
      <alignment horizontal="centerContinuous"/>
    </xf>
    <xf numFmtId="164" fontId="10" fillId="0" borderId="0" xfId="5" applyNumberFormat="1" applyFont="1" applyFill="1" applyAlignment="1">
      <alignment horizontal="centerContinuous"/>
    </xf>
    <xf numFmtId="164" fontId="8" fillId="0" borderId="0" xfId="5" applyNumberFormat="1" applyFill="1" applyAlignment="1">
      <alignment horizontal="centerContinuous"/>
    </xf>
    <xf numFmtId="166" fontId="8" fillId="0" borderId="0" xfId="5" applyNumberFormat="1" applyFill="1" applyAlignment="1">
      <alignment horizontal="centerContinuous"/>
    </xf>
    <xf numFmtId="164" fontId="8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8" fillId="0" borderId="0" xfId="5" applyNumberFormat="1" applyAlignment="1">
      <alignment horizontal="centerContinuous"/>
    </xf>
    <xf numFmtId="164" fontId="10" fillId="0" borderId="0" xfId="5" applyNumberFormat="1" applyFont="1" applyFill="1" applyBorder="1" applyAlignment="1">
      <alignment horizontal="left"/>
    </xf>
    <xf numFmtId="164" fontId="10" fillId="0" borderId="0" xfId="5" applyNumberFormat="1" applyFont="1" applyFill="1" applyAlignment="1">
      <alignment horizontal="center"/>
    </xf>
    <xf numFmtId="164" fontId="8" fillId="0" borderId="0" xfId="5" applyNumberFormat="1" applyFill="1"/>
    <xf numFmtId="166" fontId="8" fillId="0" borderId="0" xfId="5" applyNumberFormat="1" applyFill="1"/>
    <xf numFmtId="164" fontId="10" fillId="0" borderId="0" xfId="5" applyNumberFormat="1" applyFont="1" applyAlignment="1">
      <alignment horizontal="center"/>
    </xf>
    <xf numFmtId="164" fontId="10" fillId="0" borderId="1" xfId="5" applyFont="1" applyFill="1" applyBorder="1" applyAlignment="1">
      <alignment horizontal="centerContinuous"/>
    </xf>
    <xf numFmtId="166" fontId="10" fillId="0" borderId="1" xfId="5" applyNumberFormat="1" applyFont="1" applyFill="1" applyBorder="1" applyAlignment="1">
      <alignment horizontal="centerContinuous"/>
    </xf>
    <xf numFmtId="164" fontId="10" fillId="0" borderId="0" xfId="5" applyNumberFormat="1" applyFont="1"/>
    <xf numFmtId="164" fontId="10" fillId="0" borderId="0" xfId="5" applyNumberFormat="1" applyFont="1" applyFill="1" applyBorder="1" applyAlignment="1">
      <alignment horizontal="center"/>
    </xf>
    <xf numFmtId="164" fontId="10" fillId="0" borderId="1" xfId="5" applyNumberFormat="1" applyFont="1" applyBorder="1" applyAlignment="1">
      <alignment horizontal="center"/>
    </xf>
    <xf numFmtId="164" fontId="10" fillId="0" borderId="1" xfId="5" applyNumberFormat="1" applyFont="1" applyFill="1" applyBorder="1" applyAlignment="1">
      <alignment horizontal="center"/>
    </xf>
    <xf numFmtId="166" fontId="10" fillId="0" borderId="1" xfId="5" applyNumberFormat="1" applyFont="1" applyFill="1" applyBorder="1" applyAlignment="1">
      <alignment horizontal="center"/>
    </xf>
    <xf numFmtId="164" fontId="10" fillId="0" borderId="0" xfId="5" applyNumberFormat="1" applyFont="1" applyFill="1"/>
    <xf numFmtId="164" fontId="8" fillId="0" borderId="0" xfId="5" applyNumberFormat="1" applyFont="1" applyAlignment="1">
      <alignment horizontal="right"/>
    </xf>
    <xf numFmtId="166" fontId="8" fillId="0" borderId="0" xfId="2" applyNumberFormat="1" applyFont="1" applyFill="1"/>
    <xf numFmtId="164" fontId="8" fillId="0" borderId="0" xfId="5" applyNumberFormat="1" applyFont="1"/>
    <xf numFmtId="164" fontId="8" fillId="0" borderId="0" xfId="5" applyNumberFormat="1" applyBorder="1" applyAlignment="1">
      <alignment horizontal="right"/>
    </xf>
    <xf numFmtId="164" fontId="8" fillId="0" borderId="1" xfId="5" applyNumberFormat="1" applyFill="1" applyBorder="1" applyAlignment="1">
      <alignment horizontal="right"/>
    </xf>
    <xf numFmtId="166" fontId="8" fillId="0" borderId="1" xfId="2" applyNumberFormat="1" applyFont="1" applyFill="1" applyBorder="1"/>
    <xf numFmtId="164" fontId="8" fillId="0" borderId="0" xfId="5" quotePrefix="1" applyNumberFormat="1" applyAlignment="1">
      <alignment horizontal="right"/>
    </xf>
    <xf numFmtId="164" fontId="8" fillId="0" borderId="0" xfId="5" applyNumberFormat="1" applyAlignment="1">
      <alignment horizontal="right"/>
    </xf>
    <xf numFmtId="172" fontId="8" fillId="0" borderId="1" xfId="1" applyNumberFormat="1" applyFont="1" applyFill="1" applyBorder="1"/>
    <xf numFmtId="164" fontId="18" fillId="0" borderId="0" xfId="5" applyNumberFormat="1" applyFont="1"/>
    <xf numFmtId="164" fontId="8" fillId="0" borderId="0" xfId="5" quotePrefix="1" applyNumberFormat="1" applyFont="1" applyAlignment="1">
      <alignment horizontal="right"/>
    </xf>
    <xf numFmtId="3" fontId="8" fillId="0" borderId="0" xfId="5" applyNumberFormat="1" applyFill="1"/>
    <xf numFmtId="164" fontId="8" fillId="0" borderId="0" xfId="5" applyNumberFormat="1" applyBorder="1"/>
    <xf numFmtId="164" fontId="8" fillId="0" borderId="0" xfId="5" applyNumberFormat="1" applyFill="1" applyBorder="1"/>
    <xf numFmtId="172" fontId="8" fillId="0" borderId="0" xfId="1" applyNumberFormat="1" applyFont="1" applyFill="1" applyBorder="1"/>
    <xf numFmtId="166" fontId="8" fillId="0" borderId="0" xfId="2" applyNumberFormat="1" applyFont="1" applyFill="1" applyBorder="1"/>
    <xf numFmtId="172" fontId="8" fillId="0" borderId="1" xfId="1" applyNumberFormat="1" applyFont="1" applyFill="1" applyBorder="1" applyAlignment="1">
      <alignment horizontal="right"/>
    </xf>
    <xf numFmtId="172" fontId="8" fillId="0" borderId="11" xfId="1" applyNumberFormat="1" applyFont="1" applyFill="1" applyBorder="1"/>
    <xf numFmtId="166" fontId="8" fillId="0" borderId="11" xfId="2" applyNumberFormat="1" applyFont="1" applyFill="1" applyBorder="1"/>
    <xf numFmtId="164" fontId="8" fillId="0" borderId="1" xfId="5" applyFill="1" applyBorder="1" applyAlignment="1">
      <alignment horizontal="right"/>
    </xf>
    <xf numFmtId="7" fontId="8" fillId="0" borderId="0" xfId="2" applyNumberFormat="1" applyFont="1" applyFill="1"/>
    <xf numFmtId="164" fontId="12" fillId="0" borderId="0" xfId="4" applyFont="1" applyFill="1" applyBorder="1" applyAlignment="1">
      <alignment vertical="center"/>
    </xf>
    <xf numFmtId="5" fontId="12" fillId="0" borderId="0" xfId="2" applyNumberFormat="1" applyFont="1" applyFill="1" applyBorder="1"/>
    <xf numFmtId="164" fontId="13" fillId="0" borderId="2" xfId="4" quotePrefix="1" applyFont="1" applyFill="1" applyBorder="1" applyAlignment="1">
      <alignment horizontal="center"/>
    </xf>
    <xf numFmtId="164" fontId="8" fillId="0" borderId="0" xfId="5" applyFill="1" applyBorder="1" applyAlignment="1">
      <alignment horizontal="center"/>
    </xf>
    <xf numFmtId="9" fontId="8" fillId="0" borderId="0" xfId="5" applyNumberFormat="1" applyFill="1" applyBorder="1" applyAlignment="1">
      <alignment horizontal="center"/>
    </xf>
    <xf numFmtId="0" fontId="47" fillId="0" borderId="24" xfId="213" applyFont="1" applyBorder="1"/>
    <xf numFmtId="177" fontId="47" fillId="0" borderId="9" xfId="213" applyNumberFormat="1" applyFont="1" applyBorder="1"/>
    <xf numFmtId="5" fontId="16" fillId="0" borderId="0" xfId="2" applyNumberFormat="1" applyFont="1" applyFill="1" applyBorder="1"/>
    <xf numFmtId="10" fontId="16" fillId="0" borderId="0" xfId="2" applyNumberFormat="1" applyFont="1" applyFill="1" applyBorder="1"/>
    <xf numFmtId="164" fontId="13" fillId="0" borderId="0" xfId="5" quotePrefix="1" applyFont="1" applyFill="1" applyBorder="1" applyAlignment="1">
      <alignment horizontal="center"/>
    </xf>
    <xf numFmtId="164" fontId="16" fillId="0" borderId="0" xfId="5" applyFont="1" applyFill="1" applyBorder="1" applyAlignment="1">
      <alignment horizontal="center"/>
    </xf>
    <xf numFmtId="165" fontId="16" fillId="0" borderId="0" xfId="5" applyNumberFormat="1" applyFont="1" applyFill="1" applyBorder="1"/>
    <xf numFmtId="166" fontId="16" fillId="0" borderId="0" xfId="5" applyNumberFormat="1" applyFont="1" applyFill="1" applyBorder="1"/>
    <xf numFmtId="164" fontId="47" fillId="0" borderId="0" xfId="5" applyFont="1"/>
    <xf numFmtId="164" fontId="16" fillId="0" borderId="0" xfId="5" applyFont="1" applyFill="1" applyBorder="1" applyAlignment="1">
      <alignment horizontal="right"/>
    </xf>
    <xf numFmtId="164" fontId="16" fillId="0" borderId="0" xfId="5" applyFont="1" applyFill="1" applyBorder="1" applyAlignment="1">
      <alignment horizontal="centerContinuous"/>
    </xf>
    <xf numFmtId="5" fontId="16" fillId="0" borderId="0" xfId="5" applyNumberFormat="1" applyFont="1" applyFill="1" applyBorder="1" applyAlignment="1">
      <alignment horizontal="center"/>
    </xf>
    <xf numFmtId="5" fontId="8" fillId="0" borderId="0" xfId="5" applyNumberFormat="1"/>
    <xf numFmtId="5" fontId="12" fillId="0" borderId="0" xfId="5" applyNumberFormat="1" applyFont="1"/>
    <xf numFmtId="5" fontId="12" fillId="0" borderId="12" xfId="1" applyNumberFormat="1" applyFont="1" applyFill="1" applyBorder="1"/>
    <xf numFmtId="5" fontId="12" fillId="0" borderId="0" xfId="4" applyNumberFormat="1" applyFont="1" applyFill="1" applyBorder="1"/>
    <xf numFmtId="164" fontId="10" fillId="0" borderId="1" xfId="5" applyFont="1" applyBorder="1"/>
    <xf numFmtId="164" fontId="16" fillId="0" borderId="0" xfId="5" applyFont="1" applyBorder="1"/>
    <xf numFmtId="193" fontId="16" fillId="0" borderId="0" xfId="5" applyNumberFormat="1" applyFont="1" applyFill="1" applyBorder="1"/>
    <xf numFmtId="166" fontId="16" fillId="0" borderId="0" xfId="5" applyNumberFormat="1" applyFont="1" applyFill="1" applyBorder="1" applyAlignment="1">
      <alignment horizontal="right"/>
    </xf>
    <xf numFmtId="174" fontId="16" fillId="0" borderId="0" xfId="5" applyNumberFormat="1" applyFont="1" applyFill="1"/>
    <xf numFmtId="7" fontId="52" fillId="0" borderId="0" xfId="213" applyNumberFormat="1" applyFont="1" applyBorder="1"/>
    <xf numFmtId="7" fontId="52" fillId="0" borderId="7" xfId="213" applyNumberFormat="1" applyFont="1" applyBorder="1"/>
    <xf numFmtId="169" fontId="52" fillId="0" borderId="0" xfId="213" applyNumberFormat="1" applyFont="1" applyBorder="1"/>
    <xf numFmtId="169" fontId="52" fillId="0" borderId="7" xfId="213" applyNumberFormat="1" applyFont="1" applyBorder="1"/>
    <xf numFmtId="0" fontId="93" fillId="0" borderId="0" xfId="213" applyFont="1" applyBorder="1"/>
    <xf numFmtId="0" fontId="93" fillId="0" borderId="7" xfId="213" applyFont="1" applyBorder="1"/>
    <xf numFmtId="0" fontId="47" fillId="0" borderId="5" xfId="213" applyFont="1" applyBorder="1"/>
    <xf numFmtId="10" fontId="52" fillId="0" borderId="21" xfId="213" applyNumberFormat="1" applyFont="1" applyBorder="1"/>
    <xf numFmtId="10" fontId="47" fillId="0" borderId="10" xfId="213" applyNumberFormat="1" applyFont="1" applyBorder="1"/>
    <xf numFmtId="6" fontId="16" fillId="0" borderId="0" xfId="2" applyNumberFormat="1" applyFont="1" applyFill="1" applyBorder="1"/>
    <xf numFmtId="3" fontId="94" fillId="0" borderId="0" xfId="0" applyNumberFormat="1" applyFont="1" applyAlignment="1">
      <alignment horizontal="centerContinuous"/>
    </xf>
    <xf numFmtId="37" fontId="12" fillId="0" borderId="0" xfId="1" applyNumberFormat="1" applyFont="1" applyFill="1"/>
    <xf numFmtId="37" fontId="12" fillId="0" borderId="11" xfId="1" applyNumberFormat="1" applyFont="1" applyFill="1" applyBorder="1"/>
    <xf numFmtId="0" fontId="8" fillId="0" borderId="0" xfId="5" applyNumberFormat="1" applyFill="1"/>
    <xf numFmtId="5" fontId="8" fillId="0" borderId="0" xfId="4" applyNumberFormat="1" applyFill="1" applyBorder="1" applyProtection="1"/>
    <xf numFmtId="10" fontId="16" fillId="0" borderId="0" xfId="4" applyNumberFormat="1" applyFont="1" applyFill="1" applyBorder="1"/>
    <xf numFmtId="5" fontId="12" fillId="0" borderId="38" xfId="4" applyNumberFormat="1" applyFont="1" applyFill="1" applyBorder="1"/>
    <xf numFmtId="164" fontId="8" fillId="0" borderId="0" xfId="4" applyNumberFormat="1" applyFill="1" applyBorder="1"/>
    <xf numFmtId="5" fontId="16" fillId="0" borderId="0" xfId="2" applyNumberFormat="1" applyFont="1" applyFill="1"/>
    <xf numFmtId="5" fontId="12" fillId="0" borderId="11" xfId="4" applyNumberFormat="1" applyFont="1" applyFill="1" applyBorder="1"/>
    <xf numFmtId="164" fontId="10" fillId="0" borderId="0" xfId="217" applyFont="1" applyAlignment="1">
      <alignment horizontal="right"/>
    </xf>
    <xf numFmtId="9" fontId="10" fillId="0" borderId="0" xfId="217" applyNumberFormat="1" applyFont="1" applyAlignment="1">
      <alignment horizontal="right"/>
    </xf>
    <xf numFmtId="10" fontId="10" fillId="0" borderId="0" xfId="217" applyNumberFormat="1" applyFont="1" applyAlignment="1">
      <alignment horizontal="right"/>
    </xf>
    <xf numFmtId="164" fontId="10" fillId="0" borderId="0" xfId="217" applyFont="1"/>
    <xf numFmtId="165" fontId="10" fillId="0" borderId="0" xfId="217" applyNumberFormat="1" applyFont="1"/>
    <xf numFmtId="177" fontId="48" fillId="0" borderId="38" xfId="213" applyNumberFormat="1" applyFont="1" applyBorder="1" applyAlignment="1">
      <alignment horizontal="centerContinuous"/>
    </xf>
    <xf numFmtId="0" fontId="14" fillId="0" borderId="38" xfId="213" applyBorder="1" applyAlignment="1">
      <alignment horizontal="centerContinuous"/>
    </xf>
    <xf numFmtId="177" fontId="47" fillId="0" borderId="38" xfId="213" applyNumberFormat="1" applyFont="1" applyBorder="1" applyAlignment="1">
      <alignment horizontal="centerContinuous"/>
    </xf>
    <xf numFmtId="0" fontId="47" fillId="0" borderId="38" xfId="213" applyFont="1" applyBorder="1" applyAlignment="1">
      <alignment horizontal="centerContinuous"/>
    </xf>
    <xf numFmtId="7" fontId="47" fillId="0" borderId="38" xfId="213" applyNumberFormat="1" applyFont="1" applyBorder="1" applyAlignment="1">
      <alignment horizontal="centerContinuous"/>
    </xf>
    <xf numFmtId="7" fontId="47" fillId="0" borderId="38" xfId="213" applyNumberFormat="1" applyFont="1" applyBorder="1" applyAlignment="1">
      <alignment horizontal="center"/>
    </xf>
    <xf numFmtId="0" fontId="47" fillId="0" borderId="38" xfId="213" applyFont="1" applyBorder="1" applyAlignment="1">
      <alignment horizontal="center"/>
    </xf>
    <xf numFmtId="7" fontId="47" fillId="0" borderId="0" xfId="3" applyNumberFormat="1" applyFont="1" applyFill="1"/>
    <xf numFmtId="166" fontId="47" fillId="0" borderId="0" xfId="3" applyNumberFormat="1" applyFont="1" applyFill="1"/>
    <xf numFmtId="1" fontId="47" fillId="0" borderId="0" xfId="213" applyNumberFormat="1" applyFont="1"/>
    <xf numFmtId="166" fontId="47" fillId="0" borderId="25" xfId="3" applyNumberFormat="1" applyFont="1" applyFill="1" applyBorder="1"/>
    <xf numFmtId="166" fontId="47" fillId="0" borderId="26" xfId="3" applyNumberFormat="1" applyFont="1" applyFill="1" applyBorder="1"/>
    <xf numFmtId="3" fontId="47" fillId="0" borderId="38" xfId="213" applyNumberFormat="1" applyFont="1" applyBorder="1"/>
    <xf numFmtId="166" fontId="47" fillId="0" borderId="24" xfId="3" applyNumberFormat="1" applyFont="1" applyFill="1" applyBorder="1"/>
    <xf numFmtId="10" fontId="47" fillId="0" borderId="0" xfId="213" applyNumberFormat="1" applyFont="1"/>
    <xf numFmtId="10" fontId="93" fillId="0" borderId="0" xfId="3" applyNumberFormat="1" applyFont="1" applyFill="1" applyBorder="1"/>
    <xf numFmtId="10" fontId="93" fillId="0" borderId="7" xfId="3" applyNumberFormat="1" applyFont="1" applyFill="1" applyBorder="1"/>
    <xf numFmtId="10" fontId="47" fillId="0" borderId="38" xfId="3" applyNumberFormat="1" applyFont="1" applyFill="1" applyBorder="1"/>
    <xf numFmtId="10" fontId="47" fillId="0" borderId="38" xfId="213" applyNumberFormat="1" applyFont="1" applyBorder="1"/>
    <xf numFmtId="182" fontId="52" fillId="0" borderId="7" xfId="213" applyNumberFormat="1" applyFont="1" applyBorder="1"/>
    <xf numFmtId="10" fontId="47" fillId="0" borderId="10" xfId="3" applyNumberFormat="1" applyFont="1" applyFill="1" applyBorder="1"/>
    <xf numFmtId="10" fontId="52" fillId="0" borderId="6" xfId="213" applyNumberFormat="1" applyFont="1" applyBorder="1"/>
    <xf numFmtId="10" fontId="52" fillId="0" borderId="7" xfId="213" applyNumberFormat="1" applyFont="1" applyBorder="1"/>
    <xf numFmtId="0" fontId="0" fillId="0" borderId="0" xfId="0" applyFill="1" applyAlignment="1">
      <alignment horizontal="centerContinuous"/>
    </xf>
    <xf numFmtId="3" fontId="94" fillId="0" borderId="0" xfId="0" applyNumberFormat="1" applyFont="1" applyFill="1" applyAlignment="1">
      <alignment horizontal="centerContinuous"/>
    </xf>
    <xf numFmtId="37" fontId="9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64" fontId="8" fillId="0" borderId="0" xfId="4" applyFill="1"/>
    <xf numFmtId="37" fontId="12" fillId="0" borderId="0" xfId="4" applyNumberFormat="1" applyFont="1" applyFill="1"/>
    <xf numFmtId="164" fontId="13" fillId="0" borderId="0" xfId="4" applyFont="1" applyFill="1" applyAlignment="1">
      <alignment horizontal="left"/>
    </xf>
    <xf numFmtId="7" fontId="12" fillId="0" borderId="0" xfId="4" applyNumberFormat="1" applyFont="1" applyFill="1" applyProtection="1">
      <protection locked="0"/>
    </xf>
    <xf numFmtId="164" fontId="8" fillId="0" borderId="4" xfId="4" applyNumberFormat="1" applyFont="1" applyFill="1" applyBorder="1"/>
    <xf numFmtId="164" fontId="12" fillId="0" borderId="8" xfId="4" applyNumberFormat="1" applyFont="1" applyFill="1" applyBorder="1"/>
    <xf numFmtId="164" fontId="41" fillId="0" borderId="9" xfId="4" applyNumberFormat="1" applyFont="1" applyFill="1" applyBorder="1"/>
    <xf numFmtId="0" fontId="12" fillId="0" borderId="0" xfId="0" applyFont="1" applyFill="1" applyBorder="1"/>
    <xf numFmtId="170" fontId="12" fillId="0" borderId="0" xfId="4" applyNumberFormat="1" applyFont="1" applyFill="1" applyProtection="1">
      <protection locked="0"/>
    </xf>
    <xf numFmtId="0" fontId="12" fillId="0" borderId="0" xfId="0" applyFont="1" applyFill="1"/>
    <xf numFmtId="167" fontId="12" fillId="0" borderId="0" xfId="4" applyNumberFormat="1" applyFont="1" applyFill="1" applyProtection="1">
      <protection locked="0"/>
    </xf>
    <xf numFmtId="164" fontId="42" fillId="0" borderId="0" xfId="4" applyFont="1" applyFill="1"/>
    <xf numFmtId="168" fontId="12" fillId="0" borderId="0" xfId="4" applyNumberFormat="1" applyFont="1" applyFill="1" applyProtection="1">
      <protection locked="0"/>
    </xf>
    <xf numFmtId="164" fontId="12" fillId="0" borderId="0" xfId="217" applyFont="1" applyFill="1" applyAlignment="1">
      <alignment horizontal="left"/>
    </xf>
    <xf numFmtId="164" fontId="42" fillId="0" borderId="0" xfId="217" applyFont="1" applyFill="1"/>
    <xf numFmtId="168" fontId="12" fillId="0" borderId="0" xfId="217" applyNumberFormat="1" applyFont="1" applyFill="1" applyProtection="1">
      <protection locked="0"/>
    </xf>
    <xf numFmtId="0" fontId="12" fillId="0" borderId="0" xfId="577" applyFont="1" applyFill="1"/>
    <xf numFmtId="7" fontId="12" fillId="0" borderId="0" xfId="4" applyNumberFormat="1" applyFont="1" applyFill="1"/>
    <xf numFmtId="37" fontId="12" fillId="0" borderId="11" xfId="4" applyNumberFormat="1" applyFont="1" applyFill="1" applyBorder="1"/>
    <xf numFmtId="164" fontId="8" fillId="0" borderId="0" xfId="4" applyFill="1" applyBorder="1"/>
    <xf numFmtId="164" fontId="18" fillId="0" borderId="0" xfId="4" applyFont="1" applyFill="1"/>
    <xf numFmtId="164" fontId="13" fillId="0" borderId="0" xfId="217" applyFont="1" applyFill="1" applyAlignment="1">
      <alignment horizontal="left"/>
    </xf>
    <xf numFmtId="164" fontId="12" fillId="0" borderId="0" xfId="217" applyFont="1" applyFill="1"/>
    <xf numFmtId="37" fontId="12" fillId="0" borderId="0" xfId="217" applyNumberFormat="1" applyFont="1" applyFill="1"/>
    <xf numFmtId="5" fontId="12" fillId="0" borderId="0" xfId="217" applyNumberFormat="1" applyFont="1" applyFill="1"/>
    <xf numFmtId="7" fontId="12" fillId="0" borderId="0" xfId="217" applyNumberFormat="1" applyFont="1" applyFill="1" applyProtection="1">
      <protection locked="0"/>
    </xf>
    <xf numFmtId="170" fontId="12" fillId="0" borderId="0" xfId="217" applyNumberFormat="1" applyFont="1" applyFill="1" applyProtection="1">
      <protection locked="0"/>
    </xf>
    <xf numFmtId="37" fontId="12" fillId="0" borderId="11" xfId="217" applyNumberFormat="1" applyFont="1" applyFill="1" applyBorder="1"/>
    <xf numFmtId="164" fontId="41" fillId="0" borderId="0" xfId="4" applyNumberFormat="1" applyFont="1" applyFill="1" applyBorder="1"/>
    <xf numFmtId="10" fontId="8" fillId="0" borderId="0" xfId="3" applyNumberFormat="1" applyFont="1" applyFill="1" applyBorder="1"/>
    <xf numFmtId="164" fontId="8" fillId="0" borderId="6" xfId="4" applyNumberFormat="1" applyFont="1" applyFill="1" applyBorder="1"/>
    <xf numFmtId="164" fontId="12" fillId="0" borderId="5" xfId="4" applyNumberFormat="1" applyFont="1" applyFill="1" applyBorder="1"/>
    <xf numFmtId="168" fontId="12" fillId="0" borderId="0" xfId="4" applyNumberFormat="1" applyFont="1" applyFill="1"/>
    <xf numFmtId="6" fontId="8" fillId="0" borderId="0" xfId="3" applyNumberFormat="1" applyFont="1" applyFill="1" applyAlignment="1">
      <alignment horizontal="right"/>
    </xf>
    <xf numFmtId="37" fontId="12" fillId="0" borderId="12" xfId="4" applyNumberFormat="1" applyFont="1" applyFill="1" applyBorder="1"/>
    <xf numFmtId="5" fontId="12" fillId="0" borderId="12" xfId="4" applyNumberFormat="1" applyFont="1" applyFill="1" applyBorder="1"/>
    <xf numFmtId="170" fontId="12" fillId="0" borderId="0" xfId="4" applyNumberFormat="1" applyFont="1" applyFill="1"/>
    <xf numFmtId="164" fontId="8" fillId="0" borderId="0" xfId="4" applyFont="1" applyFill="1"/>
    <xf numFmtId="5" fontId="12" fillId="0" borderId="38" xfId="4" applyNumberFormat="1" applyFont="1" applyFill="1" applyBorder="1" applyProtection="1"/>
    <xf numFmtId="164" fontId="8" fillId="0" borderId="0" xfId="4" applyNumberFormat="1" applyFont="1" applyFill="1" applyBorder="1"/>
    <xf numFmtId="0" fontId="4" fillId="0" borderId="0" xfId="805" applyFill="1"/>
    <xf numFmtId="165" fontId="12" fillId="0" borderId="0" xfId="0" applyNumberFormat="1" applyFont="1" applyFill="1"/>
    <xf numFmtId="37" fontId="12" fillId="0" borderId="11" xfId="4" applyNumberFormat="1" applyFont="1" applyFill="1" applyBorder="1" applyProtection="1">
      <protection locked="0"/>
    </xf>
    <xf numFmtId="0" fontId="95" fillId="0" borderId="0" xfId="1082" applyFont="1" applyFill="1"/>
    <xf numFmtId="37" fontId="95" fillId="0" borderId="0" xfId="1082" applyNumberFormat="1" applyFont="1" applyFill="1"/>
    <xf numFmtId="5" fontId="95" fillId="0" borderId="0" xfId="1082" applyNumberFormat="1" applyFont="1" applyFill="1"/>
    <xf numFmtId="164" fontId="8" fillId="0" borderId="0" xfId="4" applyNumberFormat="1" applyFont="1" applyFill="1" applyAlignment="1">
      <alignment horizontal="right"/>
    </xf>
    <xf numFmtId="164" fontId="11" fillId="0" borderId="0" xfId="4" applyNumberFormat="1" applyFont="1" applyFill="1"/>
    <xf numFmtId="174" fontId="11" fillId="0" borderId="0" xfId="4" applyNumberFormat="1" applyFont="1" applyFill="1"/>
    <xf numFmtId="37" fontId="12" fillId="0" borderId="2" xfId="4" applyNumberFormat="1" applyFont="1" applyFill="1" applyBorder="1"/>
    <xf numFmtId="0" fontId="11" fillId="0" borderId="0" xfId="0" applyFont="1" applyFill="1"/>
    <xf numFmtId="164" fontId="12" fillId="0" borderId="2" xfId="4" applyFont="1" applyFill="1" applyBorder="1"/>
    <xf numFmtId="5" fontId="12" fillId="0" borderId="2" xfId="4" applyNumberFormat="1" applyFont="1" applyFill="1" applyBorder="1"/>
    <xf numFmtId="164" fontId="8" fillId="0" borderId="0" xfId="4" applyNumberFormat="1" applyFont="1" applyFill="1"/>
    <xf numFmtId="9" fontId="8" fillId="0" borderId="0" xfId="3" applyNumberFormat="1" applyFont="1" applyFill="1"/>
    <xf numFmtId="9" fontId="8" fillId="0" borderId="0" xfId="4" applyNumberFormat="1" applyFill="1" applyBorder="1"/>
    <xf numFmtId="0" fontId="12" fillId="0" borderId="0" xfId="0" applyFont="1" applyFill="1" applyAlignment="1">
      <alignment horizontal="center"/>
    </xf>
    <xf numFmtId="37" fontId="12" fillId="0" borderId="0" xfId="4" applyNumberFormat="1" applyFont="1" applyFill="1" applyProtection="1">
      <protection locked="0"/>
    </xf>
    <xf numFmtId="37" fontId="12" fillId="0" borderId="12" xfId="4" applyNumberFormat="1" applyFont="1" applyFill="1" applyBorder="1" applyProtection="1">
      <protection locked="0"/>
    </xf>
    <xf numFmtId="164" fontId="96" fillId="0" borderId="0" xfId="4" applyFont="1" applyFill="1" applyAlignment="1">
      <alignment horizontal="left"/>
    </xf>
    <xf numFmtId="164" fontId="42" fillId="0" borderId="0" xfId="4" applyFont="1" applyFill="1" applyAlignment="1">
      <alignment horizontal="left"/>
    </xf>
    <xf numFmtId="49" fontId="13" fillId="0" borderId="0" xfId="4" applyNumberFormat="1" applyFont="1" applyFill="1"/>
    <xf numFmtId="182" fontId="12" fillId="0" borderId="0" xfId="4" applyNumberFormat="1" applyFont="1" applyFill="1" applyProtection="1">
      <protection locked="0"/>
    </xf>
    <xf numFmtId="5" fontId="12" fillId="0" borderId="0" xfId="4" applyNumberFormat="1" applyFont="1" applyFill="1" applyProtection="1">
      <protection locked="0"/>
    </xf>
    <xf numFmtId="177" fontId="12" fillId="0" borderId="0" xfId="4" applyNumberFormat="1" applyFont="1" applyFill="1" applyProtection="1">
      <protection locked="0"/>
    </xf>
    <xf numFmtId="175" fontId="12" fillId="0" borderId="0" xfId="4" applyNumberFormat="1" applyFont="1" applyFill="1" applyProtection="1">
      <protection locked="0"/>
    </xf>
    <xf numFmtId="175" fontId="12" fillId="0" borderId="0" xfId="4" applyNumberFormat="1" applyFont="1" applyFill="1"/>
    <xf numFmtId="177" fontId="12" fillId="0" borderId="0" xfId="4" applyNumberFormat="1" applyFont="1" applyFill="1"/>
    <xf numFmtId="164" fontId="97" fillId="0" borderId="0" xfId="4" applyFont="1" applyFill="1" applyAlignment="1">
      <alignment horizontal="left"/>
    </xf>
    <xf numFmtId="37" fontId="12" fillId="0" borderId="2" xfId="4" applyNumberFormat="1" applyFont="1" applyFill="1" applyBorder="1" applyProtection="1">
      <protection locked="0"/>
    </xf>
    <xf numFmtId="37" fontId="12" fillId="0" borderId="38" xfId="4" applyNumberFormat="1" applyFont="1" applyFill="1" applyBorder="1"/>
    <xf numFmtId="170" fontId="12" fillId="0" borderId="38" xfId="4" applyNumberFormat="1" applyFont="1" applyFill="1" applyBorder="1"/>
    <xf numFmtId="37" fontId="12" fillId="0" borderId="0" xfId="4" applyNumberFormat="1" applyFont="1" applyFill="1" applyBorder="1"/>
    <xf numFmtId="170" fontId="12" fillId="0" borderId="0" xfId="4" applyNumberFormat="1" applyFont="1" applyFill="1" applyBorder="1"/>
    <xf numFmtId="0" fontId="9" fillId="0" borderId="39" xfId="0" applyFont="1" applyFill="1" applyBorder="1" applyAlignment="1">
      <alignment horizontal="left"/>
    </xf>
    <xf numFmtId="177" fontId="12" fillId="0" borderId="0" xfId="217" applyNumberFormat="1" applyFont="1" applyFill="1" applyProtection="1">
      <protection locked="0"/>
    </xf>
    <xf numFmtId="194" fontId="12" fillId="0" borderId="0" xfId="217" applyNumberFormat="1" applyFont="1" applyFill="1"/>
    <xf numFmtId="177" fontId="12" fillId="0" borderId="0" xfId="217" applyNumberFormat="1" applyFont="1" applyFill="1"/>
    <xf numFmtId="170" fontId="12" fillId="0" borderId="0" xfId="217" applyNumberFormat="1" applyFont="1" applyFill="1"/>
    <xf numFmtId="0" fontId="12" fillId="0" borderId="0" xfId="184" applyFont="1" applyFill="1"/>
    <xf numFmtId="37" fontId="12" fillId="0" borderId="2" xfId="217" applyNumberFormat="1" applyFont="1" applyFill="1" applyBorder="1" applyProtection="1">
      <protection locked="0"/>
    </xf>
    <xf numFmtId="37" fontId="12" fillId="0" borderId="0" xfId="217" applyNumberFormat="1" applyFont="1" applyFill="1" applyProtection="1">
      <protection locked="0"/>
    </xf>
    <xf numFmtId="5" fontId="12" fillId="0" borderId="2" xfId="217" applyNumberFormat="1" applyFont="1" applyFill="1" applyBorder="1"/>
    <xf numFmtId="164" fontId="97" fillId="0" borderId="0" xfId="217" applyFont="1" applyFill="1" applyAlignment="1">
      <alignment horizontal="left"/>
    </xf>
    <xf numFmtId="7" fontId="12" fillId="0" borderId="0" xfId="217" applyNumberFormat="1" applyFont="1" applyFill="1"/>
    <xf numFmtId="5" fontId="12" fillId="0" borderId="0" xfId="217" quotePrefix="1" applyNumberFormat="1" applyFont="1" applyFill="1"/>
    <xf numFmtId="170" fontId="12" fillId="0" borderId="1" xfId="217" applyNumberFormat="1" applyFont="1" applyFill="1" applyBorder="1"/>
    <xf numFmtId="37" fontId="12" fillId="0" borderId="12" xfId="217" applyNumberFormat="1" applyFont="1" applyFill="1" applyBorder="1"/>
    <xf numFmtId="5" fontId="12" fillId="0" borderId="12" xfId="217" applyNumberFormat="1" applyFont="1" applyFill="1" applyBorder="1"/>
    <xf numFmtId="5" fontId="12" fillId="0" borderId="11" xfId="217" applyNumberFormat="1" applyFont="1" applyFill="1" applyBorder="1"/>
    <xf numFmtId="37" fontId="12" fillId="0" borderId="1" xfId="4" applyNumberFormat="1" applyFont="1" applyFill="1" applyBorder="1"/>
    <xf numFmtId="168" fontId="12" fillId="0" borderId="12" xfId="4" applyNumberFormat="1" applyFont="1" applyFill="1" applyBorder="1"/>
    <xf numFmtId="37" fontId="12" fillId="0" borderId="13" xfId="4" applyNumberFormat="1" applyFont="1" applyFill="1" applyBorder="1"/>
    <xf numFmtId="168" fontId="12" fillId="0" borderId="11" xfId="4" applyNumberFormat="1" applyFont="1" applyFill="1" applyBorder="1"/>
    <xf numFmtId="170" fontId="12" fillId="0" borderId="1" xfId="4" applyNumberFormat="1" applyFont="1" applyFill="1" applyBorder="1"/>
    <xf numFmtId="5" fontId="12" fillId="0" borderId="1" xfId="4" applyNumberFormat="1" applyFont="1" applyFill="1" applyBorder="1"/>
    <xf numFmtId="164" fontId="12" fillId="0" borderId="0" xfId="4" applyFont="1" applyFill="1" applyAlignment="1">
      <alignment horizontal="right"/>
    </xf>
    <xf numFmtId="9" fontId="12" fillId="0" borderId="0" xfId="4" applyNumberFormat="1" applyFont="1" applyFill="1"/>
    <xf numFmtId="164" fontId="8" fillId="0" borderId="1" xfId="5" applyNumberFormat="1" applyFill="1" applyBorder="1" applyAlignment="1">
      <alignment horizontal="centerContinuous"/>
    </xf>
    <xf numFmtId="166" fontId="8" fillId="0" borderId="1" xfId="5" applyNumberFormat="1" applyFill="1" applyBorder="1" applyAlignment="1">
      <alignment horizontal="centerContinuous"/>
    </xf>
    <xf numFmtId="166" fontId="10" fillId="0" borderId="0" xfId="5" applyNumberFormat="1" applyFont="1" applyAlignment="1">
      <alignment horizontal="center"/>
    </xf>
    <xf numFmtId="164" fontId="13" fillId="0" borderId="1" xfId="4" applyFont="1" applyFill="1" applyBorder="1" applyAlignment="1">
      <alignment horizontal="centerContinuous"/>
    </xf>
    <xf numFmtId="164" fontId="12" fillId="0" borderId="1" xfId="4" applyFont="1" applyFill="1" applyBorder="1" applyAlignment="1">
      <alignment horizontal="centerContinuous"/>
    </xf>
    <xf numFmtId="5" fontId="12" fillId="0" borderId="1" xfId="4" applyNumberFormat="1" applyFont="1" applyFill="1" applyBorder="1" applyAlignment="1">
      <alignment horizontal="centerContinuous"/>
    </xf>
    <xf numFmtId="164" fontId="16" fillId="0" borderId="0" xfId="4" applyFont="1" applyFill="1"/>
    <xf numFmtId="164" fontId="16" fillId="0" borderId="0" xfId="4" applyNumberFormat="1" applyFont="1" applyFill="1" applyBorder="1"/>
    <xf numFmtId="164" fontId="47" fillId="0" borderId="0" xfId="5" applyFont="1" applyBorder="1"/>
    <xf numFmtId="170" fontId="12" fillId="0" borderId="0" xfId="217" applyNumberFormat="1" applyFont="1" applyFill="1" applyBorder="1"/>
    <xf numFmtId="164" fontId="8" fillId="0" borderId="0" xfId="4" applyFill="1" applyAlignment="1">
      <alignment horizontal="center"/>
    </xf>
    <xf numFmtId="164" fontId="12" fillId="0" borderId="0" xfId="4" applyFont="1" applyFill="1" applyAlignment="1">
      <alignment horizontal="center"/>
    </xf>
    <xf numFmtId="4" fontId="8" fillId="0" borderId="0" xfId="5" applyNumberFormat="1"/>
    <xf numFmtId="164" fontId="16" fillId="0" borderId="4" xfId="4" applyNumberFormat="1" applyFont="1" applyFill="1" applyBorder="1" applyAlignment="1">
      <alignment horizontal="center"/>
    </xf>
    <xf numFmtId="169" fontId="12" fillId="0" borderId="0" xfId="4" applyNumberFormat="1" applyFont="1" applyFill="1"/>
    <xf numFmtId="10" fontId="12" fillId="0" borderId="0" xfId="3" applyNumberFormat="1" applyFont="1" applyFill="1" applyProtection="1">
      <protection locked="0"/>
    </xf>
    <xf numFmtId="10" fontId="16" fillId="0" borderId="0" xfId="3" applyNumberFormat="1" applyFont="1" applyFill="1" applyProtection="1">
      <protection locked="0"/>
    </xf>
    <xf numFmtId="10" fontId="16" fillId="0" borderId="0" xfId="3" applyNumberFormat="1" applyFont="1" applyFill="1"/>
    <xf numFmtId="10" fontId="12" fillId="0" borderId="0" xfId="3" applyNumberFormat="1" applyFont="1" applyFill="1"/>
    <xf numFmtId="10" fontId="12" fillId="0" borderId="0" xfId="4" applyNumberFormat="1" applyFont="1" applyFill="1" applyProtection="1">
      <protection locked="0"/>
    </xf>
    <xf numFmtId="10" fontId="12" fillId="0" borderId="1" xfId="3" applyNumberFormat="1" applyFont="1" applyFill="1" applyBorder="1"/>
    <xf numFmtId="164" fontId="8" fillId="0" borderId="1" xfId="5" applyNumberFormat="1" applyFill="1" applyBorder="1" applyAlignment="1">
      <alignment horizontal="center"/>
    </xf>
    <xf numFmtId="166" fontId="10" fillId="0" borderId="38" xfId="5" applyNumberFormat="1" applyFont="1" applyFill="1" applyBorder="1" applyAlignment="1">
      <alignment horizontal="center"/>
    </xf>
    <xf numFmtId="164" fontId="8" fillId="0" borderId="0" xfId="5" applyNumberFormat="1" applyAlignment="1">
      <alignment horizontal="center"/>
    </xf>
    <xf numFmtId="166" fontId="8" fillId="0" borderId="0" xfId="5" applyNumberFormat="1" applyFill="1" applyAlignment="1">
      <alignment horizontal="center"/>
    </xf>
    <xf numFmtId="166" fontId="8" fillId="0" borderId="38" xfId="5" applyNumberFormat="1" applyFill="1" applyBorder="1" applyAlignment="1">
      <alignment horizontal="center"/>
    </xf>
    <xf numFmtId="166" fontId="10" fillId="0" borderId="0" xfId="5" applyNumberFormat="1" applyFont="1" applyFill="1" applyBorder="1" applyAlignment="1">
      <alignment horizontal="center"/>
    </xf>
    <xf numFmtId="166" fontId="8" fillId="0" borderId="0" xfId="2" applyNumberFormat="1" applyFont="1" applyFill="1" applyAlignment="1">
      <alignment horizontal="center"/>
    </xf>
    <xf numFmtId="166" fontId="8" fillId="0" borderId="38" xfId="2" applyNumberFormat="1" applyFont="1" applyFill="1" applyBorder="1" applyAlignment="1">
      <alignment horizontal="center"/>
    </xf>
    <xf numFmtId="166" fontId="8" fillId="0" borderId="0" xfId="2" applyNumberFormat="1" applyFont="1" applyFill="1" applyBorder="1" applyAlignment="1">
      <alignment horizontal="center"/>
    </xf>
    <xf numFmtId="166" fontId="8" fillId="0" borderId="11" xfId="2" applyNumberFormat="1" applyFont="1" applyFill="1" applyBorder="1" applyAlignment="1">
      <alignment horizontal="center"/>
    </xf>
    <xf numFmtId="164" fontId="12" fillId="0" borderId="21" xfId="4" applyNumberFormat="1" applyFont="1" applyFill="1" applyBorder="1"/>
    <xf numFmtId="10" fontId="8" fillId="0" borderId="21" xfId="3" applyNumberFormat="1" applyFont="1" applyFill="1" applyBorder="1"/>
    <xf numFmtId="165" fontId="8" fillId="0" borderId="0" xfId="4" applyNumberFormat="1" applyFill="1" applyBorder="1"/>
    <xf numFmtId="168" fontId="15" fillId="0" borderId="0" xfId="4" applyNumberFormat="1" applyFont="1" applyAlignment="1">
      <alignment horizontal="right"/>
    </xf>
    <xf numFmtId="195" fontId="15" fillId="0" borderId="0" xfId="4" applyNumberFormat="1" applyFont="1" applyAlignment="1">
      <alignment horizontal="right"/>
    </xf>
    <xf numFmtId="164" fontId="16" fillId="0" borderId="0" xfId="4" applyFont="1" applyAlignment="1">
      <alignment horizontal="left"/>
    </xf>
    <xf numFmtId="164" fontId="12" fillId="0" borderId="0" xfId="4" applyFont="1" applyBorder="1"/>
    <xf numFmtId="164" fontId="8" fillId="0" borderId="0" xfId="4" applyBorder="1"/>
    <xf numFmtId="5" fontId="8" fillId="0" borderId="0" xfId="4" applyNumberFormat="1" applyBorder="1"/>
    <xf numFmtId="10" fontId="13" fillId="0" borderId="38" xfId="4" applyNumberFormat="1" applyFont="1" applyFill="1" applyBorder="1" applyAlignment="1">
      <alignment horizontal="centerContinuous"/>
    </xf>
    <xf numFmtId="164" fontId="12" fillId="0" borderId="38" xfId="4" applyFont="1" applyFill="1" applyBorder="1" applyAlignment="1">
      <alignment horizontal="centerContinuous"/>
    </xf>
    <xf numFmtId="5" fontId="13" fillId="0" borderId="38" xfId="4" applyNumberFormat="1" applyFont="1" applyFill="1" applyBorder="1" applyAlignment="1">
      <alignment horizontal="centerContinuous"/>
    </xf>
    <xf numFmtId="7" fontId="48" fillId="0" borderId="0" xfId="213" applyNumberFormat="1" applyFont="1" applyAlignment="1">
      <alignment horizontal="center"/>
    </xf>
  </cellXfs>
  <cellStyles count="1090">
    <cellStyle name="20% - Accent1 2" xfId="218"/>
    <cellStyle name="20% - Accent1 3" xfId="219"/>
    <cellStyle name="20% - Accent1 4" xfId="220"/>
    <cellStyle name="20% - Accent1 5" xfId="221"/>
    <cellStyle name="20% - Accent1 6" xfId="222"/>
    <cellStyle name="20% - Accent2 2" xfId="223"/>
    <cellStyle name="20% - Accent2 3" xfId="224"/>
    <cellStyle name="20% - Accent2 4" xfId="225"/>
    <cellStyle name="20% - Accent2 5" xfId="226"/>
    <cellStyle name="20% - Accent2 6" xfId="227"/>
    <cellStyle name="20% - Accent3 2" xfId="228"/>
    <cellStyle name="20% - Accent3 3" xfId="229"/>
    <cellStyle name="20% - Accent3 4" xfId="230"/>
    <cellStyle name="20% - Accent3 5" xfId="231"/>
    <cellStyle name="20% - Accent3 6" xfId="232"/>
    <cellStyle name="20% - Accent4 2" xfId="233"/>
    <cellStyle name="20% - Accent4 3" xfId="234"/>
    <cellStyle name="20% - Accent4 4" xfId="235"/>
    <cellStyle name="20% - Accent4 5" xfId="236"/>
    <cellStyle name="20% - Accent4 6" xfId="237"/>
    <cellStyle name="20% - Accent5 2" xfId="238"/>
    <cellStyle name="20% - Accent5 3" xfId="239"/>
    <cellStyle name="20% - Accent5 4" xfId="240"/>
    <cellStyle name="20% - Accent5 5" xfId="241"/>
    <cellStyle name="20% - Accent5 6" xfId="242"/>
    <cellStyle name="20% - Accent6 2" xfId="243"/>
    <cellStyle name="20% - Accent6 3" xfId="244"/>
    <cellStyle name="20% - Accent6 4" xfId="245"/>
    <cellStyle name="20% - Accent6 5" xfId="246"/>
    <cellStyle name="20% - Accent6 6" xfId="247"/>
    <cellStyle name="40% - Accent1 2" xfId="248"/>
    <cellStyle name="40% - Accent1 3" xfId="249"/>
    <cellStyle name="40% - Accent1 4" xfId="250"/>
    <cellStyle name="40% - Accent1 5" xfId="251"/>
    <cellStyle name="40% - Accent1 6" xfId="252"/>
    <cellStyle name="40% - Accent2 2" xfId="253"/>
    <cellStyle name="40% - Accent2 3" xfId="254"/>
    <cellStyle name="40% - Accent2 4" xfId="255"/>
    <cellStyle name="40% - Accent2 5" xfId="256"/>
    <cellStyle name="40% - Accent2 6" xfId="257"/>
    <cellStyle name="40% - Accent3 2" xfId="258"/>
    <cellStyle name="40% - Accent3 3" xfId="259"/>
    <cellStyle name="40% - Accent3 4" xfId="260"/>
    <cellStyle name="40% - Accent3 5" xfId="261"/>
    <cellStyle name="40% - Accent3 6" xfId="262"/>
    <cellStyle name="40% - Accent4 2" xfId="263"/>
    <cellStyle name="40% - Accent4 3" xfId="264"/>
    <cellStyle name="40% - Accent4 4" xfId="265"/>
    <cellStyle name="40% - Accent4 5" xfId="266"/>
    <cellStyle name="40% - Accent4 6" xfId="267"/>
    <cellStyle name="40% - Accent5 2" xfId="268"/>
    <cellStyle name="40% - Accent5 3" xfId="269"/>
    <cellStyle name="40% - Accent5 4" xfId="270"/>
    <cellStyle name="40% - Accent5 5" xfId="271"/>
    <cellStyle name="40% - Accent5 6" xfId="272"/>
    <cellStyle name="40% - Accent6 2" xfId="273"/>
    <cellStyle name="40% - Accent6 3" xfId="274"/>
    <cellStyle name="40% - Accent6 4" xfId="275"/>
    <cellStyle name="40% - Accent6 5" xfId="276"/>
    <cellStyle name="40% - Accent6 6" xfId="277"/>
    <cellStyle name="60% - Accent1 2" xfId="278"/>
    <cellStyle name="60% - Accent1 3" xfId="279"/>
    <cellStyle name="60% - Accent1 4" xfId="280"/>
    <cellStyle name="60% - Accent1 5" xfId="281"/>
    <cellStyle name="60% - Accent1 6" xfId="282"/>
    <cellStyle name="60% - Accent2 2" xfId="283"/>
    <cellStyle name="60% - Accent2 3" xfId="284"/>
    <cellStyle name="60% - Accent2 4" xfId="285"/>
    <cellStyle name="60% - Accent2 5" xfId="286"/>
    <cellStyle name="60% - Accent2 6" xfId="287"/>
    <cellStyle name="60% - Accent3 2" xfId="288"/>
    <cellStyle name="60% - Accent3 3" xfId="289"/>
    <cellStyle name="60% - Accent3 4" xfId="290"/>
    <cellStyle name="60% - Accent3 5" xfId="291"/>
    <cellStyle name="60% - Accent3 6" xfId="292"/>
    <cellStyle name="60% - Accent4 2" xfId="293"/>
    <cellStyle name="60% - Accent4 3" xfId="294"/>
    <cellStyle name="60% - Accent4 4" xfId="295"/>
    <cellStyle name="60% - Accent4 5" xfId="296"/>
    <cellStyle name="60% - Accent4 6" xfId="297"/>
    <cellStyle name="60% - Accent5 2" xfId="298"/>
    <cellStyle name="60% - Accent5 3" xfId="299"/>
    <cellStyle name="60% - Accent5 4" xfId="300"/>
    <cellStyle name="60% - Accent5 5" xfId="301"/>
    <cellStyle name="60% - Accent5 6" xfId="302"/>
    <cellStyle name="60% - Accent6 2" xfId="303"/>
    <cellStyle name="60% - Accent6 3" xfId="304"/>
    <cellStyle name="60% - Accent6 4" xfId="305"/>
    <cellStyle name="60% - Accent6 5" xfId="306"/>
    <cellStyle name="60% - Accent6 6" xfId="307"/>
    <cellStyle name="Accent1 - 20%" xfId="308"/>
    <cellStyle name="Accent1 - 40%" xfId="309"/>
    <cellStyle name="Accent1 - 60%" xfId="310"/>
    <cellStyle name="Accent1 2" xfId="311"/>
    <cellStyle name="Accent1 3" xfId="312"/>
    <cellStyle name="Accent1 4" xfId="313"/>
    <cellStyle name="Accent1 5" xfId="314"/>
    <cellStyle name="Accent1 6" xfId="315"/>
    <cellStyle name="Accent2 - 20%" xfId="316"/>
    <cellStyle name="Accent2 - 40%" xfId="317"/>
    <cellStyle name="Accent2 - 60%" xfId="318"/>
    <cellStyle name="Accent2 2" xfId="319"/>
    <cellStyle name="Accent2 3" xfId="320"/>
    <cellStyle name="Accent2 4" xfId="321"/>
    <cellStyle name="Accent2 5" xfId="322"/>
    <cellStyle name="Accent2 6" xfId="323"/>
    <cellStyle name="Accent3 - 20%" xfId="324"/>
    <cellStyle name="Accent3 - 40%" xfId="325"/>
    <cellStyle name="Accent3 - 60%" xfId="326"/>
    <cellStyle name="Accent3 2" xfId="327"/>
    <cellStyle name="Accent3 3" xfId="328"/>
    <cellStyle name="Accent3 4" xfId="329"/>
    <cellStyle name="Accent3 5" xfId="330"/>
    <cellStyle name="Accent3 6" xfId="331"/>
    <cellStyle name="Accent4 - 20%" xfId="332"/>
    <cellStyle name="Accent4 - 40%" xfId="333"/>
    <cellStyle name="Accent4 - 60%" xfId="334"/>
    <cellStyle name="Accent4 2" xfId="335"/>
    <cellStyle name="Accent4 3" xfId="336"/>
    <cellStyle name="Accent4 4" xfId="337"/>
    <cellStyle name="Accent4 5" xfId="338"/>
    <cellStyle name="Accent4 6" xfId="339"/>
    <cellStyle name="Accent5 - 20%" xfId="340"/>
    <cellStyle name="Accent5 - 40%" xfId="341"/>
    <cellStyle name="Accent5 - 60%" xfId="342"/>
    <cellStyle name="Accent5 2" xfId="343"/>
    <cellStyle name="Accent5 3" xfId="344"/>
    <cellStyle name="Accent5 4" xfId="345"/>
    <cellStyle name="Accent5 5" xfId="346"/>
    <cellStyle name="Accent5 6" xfId="347"/>
    <cellStyle name="Accent6 - 20%" xfId="348"/>
    <cellStyle name="Accent6 - 40%" xfId="349"/>
    <cellStyle name="Accent6 - 60%" xfId="350"/>
    <cellStyle name="Accent6 2" xfId="351"/>
    <cellStyle name="Accent6 3" xfId="352"/>
    <cellStyle name="Accent6 4" xfId="353"/>
    <cellStyle name="Accent6 5" xfId="354"/>
    <cellStyle name="Accent6 6" xfId="355"/>
    <cellStyle name="ArrayHeading" xfId="356"/>
    <cellStyle name="Bad 2" xfId="357"/>
    <cellStyle name="Bad 3" xfId="358"/>
    <cellStyle name="Bad 4" xfId="359"/>
    <cellStyle name="Bad 5" xfId="360"/>
    <cellStyle name="Bad 6" xfId="361"/>
    <cellStyle name="BetweenMacros" xfId="362"/>
    <cellStyle name="Calc Currency (0)" xfId="363"/>
    <cellStyle name="Calculation 2" xfId="364"/>
    <cellStyle name="Calculation 3" xfId="365"/>
    <cellStyle name="Calculation 4" xfId="366"/>
    <cellStyle name="Calculation 5" xfId="367"/>
    <cellStyle name="Calculation 6" xfId="368"/>
    <cellStyle name="Cancel" xfId="369"/>
    <cellStyle name="Check Cell 2" xfId="370"/>
    <cellStyle name="Check Cell 3" xfId="371"/>
    <cellStyle name="Check Cell 4" xfId="372"/>
    <cellStyle name="Check Cell 5" xfId="373"/>
    <cellStyle name="Check Cell 6" xfId="374"/>
    <cellStyle name="Column total in dollars" xfId="375"/>
    <cellStyle name="Comma" xfId="1" builtinId="3"/>
    <cellStyle name="Comma  - Style1" xfId="189"/>
    <cellStyle name="Comma  - Style1 2" xfId="376"/>
    <cellStyle name="Comma  - Style1 3" xfId="377"/>
    <cellStyle name="Comma  - Style2" xfId="190"/>
    <cellStyle name="Comma  - Style2 2" xfId="378"/>
    <cellStyle name="Comma  - Style2 3" xfId="379"/>
    <cellStyle name="Comma  - Style3" xfId="191"/>
    <cellStyle name="Comma  - Style3 2" xfId="380"/>
    <cellStyle name="Comma  - Style3 3" xfId="381"/>
    <cellStyle name="Comma  - Style4" xfId="192"/>
    <cellStyle name="Comma  - Style4 2" xfId="382"/>
    <cellStyle name="Comma  - Style4 3" xfId="383"/>
    <cellStyle name="Comma  - Style5" xfId="193"/>
    <cellStyle name="Comma  - Style5 2" xfId="384"/>
    <cellStyle name="Comma  - Style5 3" xfId="385"/>
    <cellStyle name="Comma  - Style6" xfId="194"/>
    <cellStyle name="Comma  - Style6 2" xfId="386"/>
    <cellStyle name="Comma  - Style6 3" xfId="387"/>
    <cellStyle name="Comma  - Style7" xfId="195"/>
    <cellStyle name="Comma  - Style7 2" xfId="388"/>
    <cellStyle name="Comma  - Style7 3" xfId="389"/>
    <cellStyle name="Comma  - Style8" xfId="196"/>
    <cellStyle name="Comma  - Style8 2" xfId="390"/>
    <cellStyle name="Comma  - Style8 3" xfId="391"/>
    <cellStyle name="Comma (0)" xfId="392"/>
    <cellStyle name="Comma [0] 2" xfId="393"/>
    <cellStyle name="Comma 10" xfId="394"/>
    <cellStyle name="Comma 10 2" xfId="395"/>
    <cellStyle name="Comma 11" xfId="26"/>
    <cellStyle name="Comma 12" xfId="396"/>
    <cellStyle name="Comma 13" xfId="397"/>
    <cellStyle name="Comma 13 2" xfId="398"/>
    <cellStyle name="Comma 13 2 2" xfId="399"/>
    <cellStyle name="Comma 14" xfId="400"/>
    <cellStyle name="Comma 15" xfId="401"/>
    <cellStyle name="Comma 16" xfId="402"/>
    <cellStyle name="Comma 17" xfId="403"/>
    <cellStyle name="Comma 17 2" xfId="404"/>
    <cellStyle name="Comma 18" xfId="405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6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7"/>
    <cellStyle name="Comma 21" xfId="49"/>
    <cellStyle name="Comma 22" xfId="50"/>
    <cellStyle name="Comma 23" xfId="408"/>
    <cellStyle name="Comma 24" xfId="409"/>
    <cellStyle name="Comma 25" xfId="410"/>
    <cellStyle name="Comma 26" xfId="411"/>
    <cellStyle name="Comma 27" xfId="412"/>
    <cellStyle name="Comma 28" xfId="413"/>
    <cellStyle name="Comma 29" xfId="414"/>
    <cellStyle name="Comma 3" xfId="51"/>
    <cellStyle name="Comma 3 2" xfId="197"/>
    <cellStyle name="Comma 3 3" xfId="415"/>
    <cellStyle name="Comma 3 4" xfId="416"/>
    <cellStyle name="Comma 30" xfId="417"/>
    <cellStyle name="Comma 31" xfId="418"/>
    <cellStyle name="Comma 32" xfId="419"/>
    <cellStyle name="Comma 33" xfId="420"/>
    <cellStyle name="Comma 34" xfId="421"/>
    <cellStyle name="Comma 35" xfId="422"/>
    <cellStyle name="Comma 36" xfId="423"/>
    <cellStyle name="Comma 37" xfId="424"/>
    <cellStyle name="Comma 38" xfId="425"/>
    <cellStyle name="Comma 39" xfId="1084"/>
    <cellStyle name="Comma 4" xfId="52"/>
    <cellStyle name="Comma 4 2" xfId="426"/>
    <cellStyle name="Comma 4 2 2" xfId="427"/>
    <cellStyle name="Comma 4 3" xfId="428"/>
    <cellStyle name="Comma 4 3 2" xfId="429"/>
    <cellStyle name="Comma 4 3 3" xfId="430"/>
    <cellStyle name="Comma 4 3 4" xfId="431"/>
    <cellStyle name="Comma 4 4" xfId="432"/>
    <cellStyle name="Comma 4 5" xfId="433"/>
    <cellStyle name="Comma 40" xfId="1086"/>
    <cellStyle name="Comma 41" xfId="1089"/>
    <cellStyle name="Comma 5" xfId="53"/>
    <cellStyle name="Comma 5 2" xfId="434"/>
    <cellStyle name="Comma 6" xfId="186"/>
    <cellStyle name="Comma 6 2" xfId="435"/>
    <cellStyle name="Comma 6 2 2" xfId="436"/>
    <cellStyle name="Comma 6 3" xfId="437"/>
    <cellStyle name="Comma 7" xfId="438"/>
    <cellStyle name="Comma 7 2" xfId="439"/>
    <cellStyle name="Comma 7 2 2" xfId="440"/>
    <cellStyle name="Comma 7 2 2 2" xfId="441"/>
    <cellStyle name="Comma 7 2 2 2 2" xfId="442"/>
    <cellStyle name="Comma 7 2 2 2 3" xfId="443"/>
    <cellStyle name="Comma 7 2 2 3" xfId="444"/>
    <cellStyle name="Comma 8" xfId="445"/>
    <cellStyle name="Comma 9" xfId="446"/>
    <cellStyle name="Comma0" xfId="54"/>
    <cellStyle name="Comma0 - Style1" xfId="447"/>
    <cellStyle name="Comma0 - Style2" xfId="448"/>
    <cellStyle name="Comma0 - Style3" xfId="449"/>
    <cellStyle name="Comma0 - Style4" xfId="450"/>
    <cellStyle name="Comma0 2" xfId="451"/>
    <cellStyle name="Comma0 2 2" xfId="452"/>
    <cellStyle name="Comma0 3" xfId="453"/>
    <cellStyle name="Comma0 4" xfId="454"/>
    <cellStyle name="Comma0_1st Qtr 2009 Global Insight Factors" xfId="455"/>
    <cellStyle name="Comma1 - Style1" xfId="456"/>
    <cellStyle name="Curren - Style2" xfId="457"/>
    <cellStyle name="Curren - Style3" xfId="458"/>
    <cellStyle name="Currency" xfId="2" builtinId="4"/>
    <cellStyle name="Currency 10" xfId="459"/>
    <cellStyle name="Currency 10 2" xfId="460"/>
    <cellStyle name="Currency 10 3" xfId="461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8"/>
    <cellStyle name="Currency 3 2" xfId="462"/>
    <cellStyle name="Currency 4" xfId="463"/>
    <cellStyle name="Currency 4 2" xfId="464"/>
    <cellStyle name="Currency 5" xfId="465"/>
    <cellStyle name="Currency 6" xfId="466"/>
    <cellStyle name="Currency 7" xfId="467"/>
    <cellStyle name="Currency 7 2" xfId="468"/>
    <cellStyle name="Currency 7 2 2" xfId="469"/>
    <cellStyle name="Currency 8" xfId="470"/>
    <cellStyle name="Currency 9" xfId="471"/>
    <cellStyle name="Currency No Comma" xfId="76"/>
    <cellStyle name="Currency(0)" xfId="472"/>
    <cellStyle name="Currency0" xfId="77"/>
    <cellStyle name="Currency0 2" xfId="473"/>
    <cellStyle name="Currency0 2 2" xfId="474"/>
    <cellStyle name="Currency0 3" xfId="475"/>
    <cellStyle name="Currency0 4" xfId="476"/>
    <cellStyle name="Custom - Style8" xfId="477"/>
    <cellStyle name="Data   - Style2" xfId="478"/>
    <cellStyle name="Date" xfId="78"/>
    <cellStyle name="Date - Style1" xfId="479"/>
    <cellStyle name="Date - Style3" xfId="480"/>
    <cellStyle name="Date 2" xfId="481"/>
    <cellStyle name="Date 2 2" xfId="482"/>
    <cellStyle name="Date 3" xfId="483"/>
    <cellStyle name="Date 4" xfId="484"/>
    <cellStyle name="Date_1st Qtr 2009 Global Insight Factors" xfId="485"/>
    <cellStyle name="Explanatory Text 2" xfId="486"/>
    <cellStyle name="Explanatory Text 3" xfId="487"/>
    <cellStyle name="Explanatory Text 4" xfId="488"/>
    <cellStyle name="Explanatory Text 5" xfId="489"/>
    <cellStyle name="Explanatory Text 6" xfId="490"/>
    <cellStyle name="Fixed" xfId="79"/>
    <cellStyle name="Fixed 2" xfId="491"/>
    <cellStyle name="Fixed 2 2" xfId="492"/>
    <cellStyle name="Fixed 3" xfId="493"/>
    <cellStyle name="Fixed 4" xfId="494"/>
    <cellStyle name="Fixed2 - Style2" xfId="495"/>
    <cellStyle name="General" xfId="10"/>
    <cellStyle name="Good 2" xfId="496"/>
    <cellStyle name="Good 3" xfId="497"/>
    <cellStyle name="Good 4" xfId="498"/>
    <cellStyle name="Good 5" xfId="499"/>
    <cellStyle name="Good 6" xfId="500"/>
    <cellStyle name="Grey" xfId="199"/>
    <cellStyle name="Grey 2" xfId="501"/>
    <cellStyle name="Grey 3" xfId="502"/>
    <cellStyle name="header" xfId="200"/>
    <cellStyle name="Header1" xfId="201"/>
    <cellStyle name="Header2" xfId="202"/>
    <cellStyle name="Heading 1 2" xfId="503"/>
    <cellStyle name="Heading 2 2" xfId="504"/>
    <cellStyle name="Heading 2 2 2" xfId="505"/>
    <cellStyle name="Heading 2 3" xfId="506"/>
    <cellStyle name="Heading 2 4" xfId="507"/>
    <cellStyle name="Heading 2 5" xfId="508"/>
    <cellStyle name="Heading 3 2" xfId="509"/>
    <cellStyle name="Heading 3 3" xfId="510"/>
    <cellStyle name="Heading 3 4" xfId="511"/>
    <cellStyle name="Heading 3 5" xfId="512"/>
    <cellStyle name="Heading 3 6" xfId="513"/>
    <cellStyle name="Heading 4 2" xfId="514"/>
    <cellStyle name="Heading 4 3" xfId="515"/>
    <cellStyle name="Heading 4 4" xfId="516"/>
    <cellStyle name="Heading 4 5" xfId="517"/>
    <cellStyle name="Heading 4 6" xfId="518"/>
    <cellStyle name="Heading1" xfId="519"/>
    <cellStyle name="Heading2" xfId="520"/>
    <cellStyle name="Hyperlink 2" xfId="521"/>
    <cellStyle name="Hyperlink 2 2" xfId="522"/>
    <cellStyle name="Hyperlink 2 3" xfId="523"/>
    <cellStyle name="Hyperlink 3" xfId="524"/>
    <cellStyle name="Hyperlink 4" xfId="525"/>
    <cellStyle name="Input [yellow]" xfId="203"/>
    <cellStyle name="Input [yellow] 2" xfId="526"/>
    <cellStyle name="Input [yellow] 3" xfId="527"/>
    <cellStyle name="Input 2" xfId="528"/>
    <cellStyle name="Input 2 2" xfId="529"/>
    <cellStyle name="Inst. Sections" xfId="530"/>
    <cellStyle name="Inst. Subheading" xfId="531"/>
    <cellStyle name="Labels - Style3" xfId="532"/>
    <cellStyle name="Linked Cell 2" xfId="533"/>
    <cellStyle name="Linked Cell 3" xfId="534"/>
    <cellStyle name="Linked Cell 4" xfId="535"/>
    <cellStyle name="Linked Cell 5" xfId="536"/>
    <cellStyle name="Linked Cell 6" xfId="537"/>
    <cellStyle name="Macro" xfId="538"/>
    <cellStyle name="macro descr" xfId="539"/>
    <cellStyle name="Macro_Comments" xfId="540"/>
    <cellStyle name="MacroText" xfId="541"/>
    <cellStyle name="Marathon" xfId="542"/>
    <cellStyle name="MCP" xfId="80"/>
    <cellStyle name="Neutral 2" xfId="543"/>
    <cellStyle name="Neutral 3" xfId="544"/>
    <cellStyle name="Neutral 4" xfId="545"/>
    <cellStyle name="Neutral 5" xfId="546"/>
    <cellStyle name="Neutral 6" xfId="547"/>
    <cellStyle name="nONE" xfId="11"/>
    <cellStyle name="nONE 2" xfId="548"/>
    <cellStyle name="noninput" xfId="81"/>
    <cellStyle name="noninput 2" xfId="549"/>
    <cellStyle name="noninput 3" xfId="550"/>
    <cellStyle name="noninput 4" xfId="551"/>
    <cellStyle name="Normal" xfId="0" builtinId="0"/>
    <cellStyle name="Normal - Style1" xfId="204"/>
    <cellStyle name="Normal - Style1 2" xfId="552"/>
    <cellStyle name="Normal - Style1 3" xfId="553"/>
    <cellStyle name="Normal - Style2" xfId="554"/>
    <cellStyle name="Normal - Style3" xfId="555"/>
    <cellStyle name="Normal - Style4" xfId="556"/>
    <cellStyle name="Normal - Style5" xfId="557"/>
    <cellStyle name="Normal - Style6" xfId="558"/>
    <cellStyle name="Normal - Style7" xfId="559"/>
    <cellStyle name="Normal - Style8" xfId="560"/>
    <cellStyle name="Normal 10" xfId="82"/>
    <cellStyle name="Normal 10 2" xfId="561"/>
    <cellStyle name="Normal 10 2 2" xfId="562"/>
    <cellStyle name="Normal 10 3" xfId="563"/>
    <cellStyle name="Normal 10 4" xfId="564"/>
    <cellStyle name="Normal 10 5" xfId="565"/>
    <cellStyle name="Normal 10 6" xfId="566"/>
    <cellStyle name="Normal 100" xfId="567"/>
    <cellStyle name="Normal 101" xfId="568"/>
    <cellStyle name="Normal 102" xfId="569"/>
    <cellStyle name="Normal 103" xfId="570"/>
    <cellStyle name="Normal 104" xfId="571"/>
    <cellStyle name="Normal 105" xfId="572"/>
    <cellStyle name="Normal 106" xfId="573"/>
    <cellStyle name="Normal 107" xfId="574"/>
    <cellStyle name="Normal 108" xfId="575"/>
    <cellStyle name="Normal 109" xfId="576"/>
    <cellStyle name="Normal 11" xfId="83"/>
    <cellStyle name="Normal 11 2" xfId="577"/>
    <cellStyle name="Normal 11 2 2" xfId="578"/>
    <cellStyle name="Normal 11 2 2 2" xfId="1087"/>
    <cellStyle name="Normal 110" xfId="579"/>
    <cellStyle name="Normal 111" xfId="580"/>
    <cellStyle name="Normal 112" xfId="581"/>
    <cellStyle name="Normal 113" xfId="582"/>
    <cellStyle name="Normal 114" xfId="583"/>
    <cellStyle name="Normal 115" xfId="584"/>
    <cellStyle name="Normal 116" xfId="585"/>
    <cellStyle name="Normal 117" xfId="586"/>
    <cellStyle name="Normal 118" xfId="587"/>
    <cellStyle name="Normal 119" xfId="588"/>
    <cellStyle name="Normal 12" xfId="84"/>
    <cellStyle name="Normal 12 2" xfId="589"/>
    <cellStyle name="Normal 120" xfId="590"/>
    <cellStyle name="Normal 121" xfId="591"/>
    <cellStyle name="Normal 122" xfId="592"/>
    <cellStyle name="Normal 123" xfId="593"/>
    <cellStyle name="Normal 124" xfId="594"/>
    <cellStyle name="Normal 125" xfId="595"/>
    <cellStyle name="Normal 126" xfId="596"/>
    <cellStyle name="Normal 127" xfId="597"/>
    <cellStyle name="Normal 128" xfId="598"/>
    <cellStyle name="Normal 129" xfId="599"/>
    <cellStyle name="Normal 13" xfId="85"/>
    <cellStyle name="Normal 130" xfId="600"/>
    <cellStyle name="Normal 131" xfId="601"/>
    <cellStyle name="Normal 132" xfId="602"/>
    <cellStyle name="Normal 133" xfId="603"/>
    <cellStyle name="Normal 134" xfId="604"/>
    <cellStyle name="Normal 135" xfId="605"/>
    <cellStyle name="Normal 136" xfId="606"/>
    <cellStyle name="Normal 137" xfId="607"/>
    <cellStyle name="Normal 138" xfId="608"/>
    <cellStyle name="Normal 139" xfId="609"/>
    <cellStyle name="Normal 14" xfId="86"/>
    <cellStyle name="Normal 14 2" xfId="610"/>
    <cellStyle name="Normal 140" xfId="611"/>
    <cellStyle name="Normal 141" xfId="612"/>
    <cellStyle name="Normal 142" xfId="613"/>
    <cellStyle name="Normal 143" xfId="614"/>
    <cellStyle name="Normal 144" xfId="615"/>
    <cellStyle name="Normal 145" xfId="616"/>
    <cellStyle name="Normal 146" xfId="617"/>
    <cellStyle name="Normal 147" xfId="618"/>
    <cellStyle name="Normal 148" xfId="619"/>
    <cellStyle name="Normal 149" xfId="620"/>
    <cellStyle name="Normal 15" xfId="184"/>
    <cellStyle name="Normal 15 2" xfId="621"/>
    <cellStyle name="Normal 15 2 2" xfId="622"/>
    <cellStyle name="Normal 150" xfId="623"/>
    <cellStyle name="Normal 151" xfId="624"/>
    <cellStyle name="Normal 152" xfId="625"/>
    <cellStyle name="Normal 153" xfId="626"/>
    <cellStyle name="Normal 154" xfId="627"/>
    <cellStyle name="Normal 155" xfId="628"/>
    <cellStyle name="Normal 156" xfId="629"/>
    <cellStyle name="Normal 157" xfId="630"/>
    <cellStyle name="Normal 158" xfId="631"/>
    <cellStyle name="Normal 159" xfId="632"/>
    <cellStyle name="Normal 16" xfId="87"/>
    <cellStyle name="Normal 16 2" xfId="633"/>
    <cellStyle name="Normal 160" xfId="634"/>
    <cellStyle name="Normal 161" xfId="635"/>
    <cellStyle name="Normal 162" xfId="636"/>
    <cellStyle name="Normal 163" xfId="637"/>
    <cellStyle name="Normal 164" xfId="638"/>
    <cellStyle name="Normal 165" xfId="639"/>
    <cellStyle name="Normal 166" xfId="640"/>
    <cellStyle name="Normal 167" xfId="641"/>
    <cellStyle name="Normal 168" xfId="642"/>
    <cellStyle name="Normal 169" xfId="643"/>
    <cellStyle name="Normal 17" xfId="88"/>
    <cellStyle name="Normal 170" xfId="644"/>
    <cellStyle name="Normal 171" xfId="645"/>
    <cellStyle name="Normal 172" xfId="646"/>
    <cellStyle name="Normal 173" xfId="647"/>
    <cellStyle name="Normal 174" xfId="648"/>
    <cellStyle name="Normal 175" xfId="649"/>
    <cellStyle name="Normal 176" xfId="650"/>
    <cellStyle name="Normal 177" xfId="651"/>
    <cellStyle name="Normal 178" xfId="652"/>
    <cellStyle name="Normal 179" xfId="653"/>
    <cellStyle name="Normal 18" xfId="89"/>
    <cellStyle name="Normal 18 2" xfId="654"/>
    <cellStyle name="Normal 180" xfId="655"/>
    <cellStyle name="Normal 181" xfId="656"/>
    <cellStyle name="Normal 182" xfId="657"/>
    <cellStyle name="Normal 183" xfId="658"/>
    <cellStyle name="Normal 184" xfId="659"/>
    <cellStyle name="Normal 185" xfId="660"/>
    <cellStyle name="Normal 186" xfId="661"/>
    <cellStyle name="Normal 187" xfId="662"/>
    <cellStyle name="Normal 188" xfId="663"/>
    <cellStyle name="Normal 189" xfId="664"/>
    <cellStyle name="Normal 19" xfId="90"/>
    <cellStyle name="Normal 190" xfId="665"/>
    <cellStyle name="Normal 191" xfId="666"/>
    <cellStyle name="Normal 192" xfId="667"/>
    <cellStyle name="Normal 193" xfId="668"/>
    <cellStyle name="Normal 194" xfId="669"/>
    <cellStyle name="Normal 195" xfId="670"/>
    <cellStyle name="Normal 196" xfId="671"/>
    <cellStyle name="Normal 197" xfId="672"/>
    <cellStyle name="Normal 198" xfId="673"/>
    <cellStyle name="Normal 199" xfId="674"/>
    <cellStyle name="Normal 2" xfId="12"/>
    <cellStyle name="Normal 2 10" xfId="91"/>
    <cellStyle name="Normal 2 10 2" xfId="675"/>
    <cellStyle name="Normal 2 10 2 2 2 3" xfId="108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6"/>
    <cellStyle name="Normal 2 2 2 2" xfId="677"/>
    <cellStyle name="Normal 2 2 3" xfId="678"/>
    <cellStyle name="Normal 2 2 4" xfId="679"/>
    <cellStyle name="Normal 2 2 5" xfId="680"/>
    <cellStyle name="Normal 2 20" xfId="101"/>
    <cellStyle name="Normal 2 21" xfId="102"/>
    <cellStyle name="Normal 2 22" xfId="103"/>
    <cellStyle name="Normal 2 23" xfId="681"/>
    <cellStyle name="Normal 2 3" xfId="104"/>
    <cellStyle name="Normal 2 3 2" xfId="105"/>
    <cellStyle name="Normal 2 3 2 2" xfId="682"/>
    <cellStyle name="Normal 2 3 3" xfId="683"/>
    <cellStyle name="Normal 2 3 4" xfId="684"/>
    <cellStyle name="Normal 2 3 5" xfId="685"/>
    <cellStyle name="Normal 2 3 6" xfId="686"/>
    <cellStyle name="Normal 2 4" xfId="106"/>
    <cellStyle name="Normal 2 4 2" xfId="687"/>
    <cellStyle name="Normal 2 5" xfId="107"/>
    <cellStyle name="Normal 2 5 2" xfId="688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89"/>
    <cellStyle name="Normal 200" xfId="690"/>
    <cellStyle name="Normal 201" xfId="691"/>
    <cellStyle name="Normal 202" xfId="692"/>
    <cellStyle name="Normal 203" xfId="693"/>
    <cellStyle name="Normal 204" xfId="694"/>
    <cellStyle name="Normal 205" xfId="695"/>
    <cellStyle name="Normal 206" xfId="696"/>
    <cellStyle name="Normal 207" xfId="697"/>
    <cellStyle name="Normal 208" xfId="698"/>
    <cellStyle name="Normal 209" xfId="699"/>
    <cellStyle name="Normal 21" xfId="114"/>
    <cellStyle name="Normal 210" xfId="700"/>
    <cellStyle name="Normal 211" xfId="701"/>
    <cellStyle name="Normal 212" xfId="702"/>
    <cellStyle name="Normal 213" xfId="703"/>
    <cellStyle name="Normal 214" xfId="704"/>
    <cellStyle name="Normal 215" xfId="705"/>
    <cellStyle name="Normal 216" xfId="706"/>
    <cellStyle name="Normal 217" xfId="707"/>
    <cellStyle name="Normal 218" xfId="708"/>
    <cellStyle name="Normal 219" xfId="709"/>
    <cellStyle name="Normal 22" xfId="115"/>
    <cellStyle name="Normal 22 2" xfId="710"/>
    <cellStyle name="Normal 22 3" xfId="711"/>
    <cellStyle name="Normal 220" xfId="712"/>
    <cellStyle name="Normal 221" xfId="713"/>
    <cellStyle name="Normal 222" xfId="714"/>
    <cellStyle name="Normal 223" xfId="715"/>
    <cellStyle name="Normal 224" xfId="716"/>
    <cellStyle name="Normal 225" xfId="717"/>
    <cellStyle name="Normal 226" xfId="718"/>
    <cellStyle name="Normal 227" xfId="719"/>
    <cellStyle name="Normal 228" xfId="720"/>
    <cellStyle name="Normal 229" xfId="721"/>
    <cellStyle name="Normal 23" xfId="116"/>
    <cellStyle name="Normal 23 2" xfId="722"/>
    <cellStyle name="Normal 230" xfId="723"/>
    <cellStyle name="Normal 231" xfId="724"/>
    <cellStyle name="Normal 232" xfId="725"/>
    <cellStyle name="Normal 233" xfId="726"/>
    <cellStyle name="Normal 234" xfId="727"/>
    <cellStyle name="Normal 235" xfId="728"/>
    <cellStyle name="Normal 236" xfId="729"/>
    <cellStyle name="Normal 237" xfId="730"/>
    <cellStyle name="Normal 238" xfId="731"/>
    <cellStyle name="Normal 239" xfId="732"/>
    <cellStyle name="Normal 24" xfId="117"/>
    <cellStyle name="Normal 24 2" xfId="733"/>
    <cellStyle name="Normal 24 3" xfId="734"/>
    <cellStyle name="Normal 240" xfId="735"/>
    <cellStyle name="Normal 240 2" xfId="736"/>
    <cellStyle name="Normal 241" xfId="737"/>
    <cellStyle name="Normal 241 2" xfId="738"/>
    <cellStyle name="Normal 241 3" xfId="739"/>
    <cellStyle name="Normal 242" xfId="740"/>
    <cellStyle name="Normal 243" xfId="741"/>
    <cellStyle name="Normal 243 2" xfId="742"/>
    <cellStyle name="Normal 244" xfId="743"/>
    <cellStyle name="Normal 245" xfId="744"/>
    <cellStyle name="Normal 246" xfId="745"/>
    <cellStyle name="Normal 247" xfId="746"/>
    <cellStyle name="Normal 248" xfId="747"/>
    <cellStyle name="Normal 249" xfId="748"/>
    <cellStyle name="Normal 25" xfId="187"/>
    <cellStyle name="Normal 250" xfId="749"/>
    <cellStyle name="Normal 251" xfId="750"/>
    <cellStyle name="Normal 252" xfId="751"/>
    <cellStyle name="Normal 253" xfId="752"/>
    <cellStyle name="Normal 254" xfId="753"/>
    <cellStyle name="Normal 255" xfId="754"/>
    <cellStyle name="Normal 256" xfId="755"/>
    <cellStyle name="Normal 257" xfId="756"/>
    <cellStyle name="Normal 258" xfId="757"/>
    <cellStyle name="Normal 259" xfId="758"/>
    <cellStyle name="Normal 26" xfId="214"/>
    <cellStyle name="Normal 26 2" xfId="759"/>
    <cellStyle name="Normal 260" xfId="760"/>
    <cellStyle name="Normal 261" xfId="761"/>
    <cellStyle name="Normal 262" xfId="762"/>
    <cellStyle name="Normal 263" xfId="763"/>
    <cellStyle name="Normal 264" xfId="764"/>
    <cellStyle name="Normal 265" xfId="765"/>
    <cellStyle name="Normal 266" xfId="766"/>
    <cellStyle name="Normal 267" xfId="767"/>
    <cellStyle name="Normal 268" xfId="768"/>
    <cellStyle name="Normal 269" xfId="769"/>
    <cellStyle name="Normal 27" xfId="215"/>
    <cellStyle name="Normal 270" xfId="770"/>
    <cellStyle name="Normal 270 2" xfId="771"/>
    <cellStyle name="Normal 271" xfId="1080"/>
    <cellStyle name="Normal 272" xfId="1083"/>
    <cellStyle name="Normal 28" xfId="772"/>
    <cellStyle name="Normal 29" xfId="773"/>
    <cellStyle name="Normal 3" xfId="7"/>
    <cellStyle name="Normal 3 2" xfId="13"/>
    <cellStyle name="Normal 3 2 2" xfId="205"/>
    <cellStyle name="Normal 3 2 2 2" xfId="774"/>
    <cellStyle name="Normal 3 2 3" xfId="775"/>
    <cellStyle name="Normal 3 2 4" xfId="776"/>
    <cellStyle name="Normal 3 2 5" xfId="777"/>
    <cellStyle name="Normal 3 2 6" xfId="778"/>
    <cellStyle name="Normal 3 3" xfId="206"/>
    <cellStyle name="Normal 3 3 2" xfId="779"/>
    <cellStyle name="Normal 3 4" xfId="780"/>
    <cellStyle name="Normal 3 5" xfId="781"/>
    <cellStyle name="Normal 3 5 2" xfId="782"/>
    <cellStyle name="Normal 3 6" xfId="783"/>
    <cellStyle name="Normal 3 7" xfId="784"/>
    <cellStyle name="Normal 3 8" xfId="785"/>
    <cellStyle name="Normal 30" xfId="786"/>
    <cellStyle name="Normal 31" xfId="787"/>
    <cellStyle name="Normal 32" xfId="788"/>
    <cellStyle name="Normal 33" xfId="789"/>
    <cellStyle name="Normal 34" xfId="790"/>
    <cellStyle name="Normal 35" xfId="791"/>
    <cellStyle name="Normal 36" xfId="792"/>
    <cellStyle name="Normal 37" xfId="793"/>
    <cellStyle name="Normal 38" xfId="794"/>
    <cellStyle name="Normal 39" xfId="795"/>
    <cellStyle name="Normal 4" xfId="14"/>
    <cellStyle name="Normal 4 2" xfId="207"/>
    <cellStyle name="Normal 4 3" xfId="796"/>
    <cellStyle name="Normal 4 3 2" xfId="797"/>
    <cellStyle name="Normal 4 3 3" xfId="798"/>
    <cellStyle name="Normal 4 3 4" xfId="799"/>
    <cellStyle name="Normal 4 4" xfId="800"/>
    <cellStyle name="Normal 4 5" xfId="801"/>
    <cellStyle name="Normal 4 6" xfId="802"/>
    <cellStyle name="Normal 4 7" xfId="803"/>
    <cellStyle name="Normal 40" xfId="804"/>
    <cellStyle name="Normal 41" xfId="805"/>
    <cellStyle name="Normal 42" xfId="806"/>
    <cellStyle name="Normal 43" xfId="807"/>
    <cellStyle name="Normal 44" xfId="808"/>
    <cellStyle name="Normal 45" xfId="809"/>
    <cellStyle name="Normal 46" xfId="810"/>
    <cellStyle name="Normal 47" xfId="811"/>
    <cellStyle name="Normal 48" xfId="812"/>
    <cellStyle name="Normal 49" xfId="813"/>
    <cellStyle name="Normal 5" xfId="15"/>
    <cellStyle name="Normal 5 2" xfId="814"/>
    <cellStyle name="Normal 5 2 2" xfId="815"/>
    <cellStyle name="Normal 5 2 3" xfId="816"/>
    <cellStyle name="Normal 5 3" xfId="817"/>
    <cellStyle name="Normal 50" xfId="818"/>
    <cellStyle name="Normal 51" xfId="819"/>
    <cellStyle name="Normal 52" xfId="820"/>
    <cellStyle name="Normal 53" xfId="821"/>
    <cellStyle name="Normal 54" xfId="822"/>
    <cellStyle name="Normal 55" xfId="823"/>
    <cellStyle name="Normal 56" xfId="824"/>
    <cellStyle name="Normal 57" xfId="825"/>
    <cellStyle name="Normal 58" xfId="826"/>
    <cellStyle name="Normal 59" xfId="827"/>
    <cellStyle name="Normal 6" xfId="16"/>
    <cellStyle name="Normal 6 2" xfId="208"/>
    <cellStyle name="Normal 6 2 2" xfId="828"/>
    <cellStyle name="Normal 6 3" xfId="829"/>
    <cellStyle name="Normal 6 4" xfId="830"/>
    <cellStyle name="Normal 6 4 2" xfId="831"/>
    <cellStyle name="Normal 6 4 2 2" xfId="832"/>
    <cellStyle name="Normal 6 5" xfId="833"/>
    <cellStyle name="Normal 60" xfId="834"/>
    <cellStyle name="Normal 61" xfId="835"/>
    <cellStyle name="Normal 62" xfId="836"/>
    <cellStyle name="Normal 63" xfId="837"/>
    <cellStyle name="Normal 64" xfId="838"/>
    <cellStyle name="Normal 65" xfId="839"/>
    <cellStyle name="Normal 66" xfId="840"/>
    <cellStyle name="Normal 67" xfId="841"/>
    <cellStyle name="Normal 68" xfId="842"/>
    <cellStyle name="Normal 69" xfId="843"/>
    <cellStyle name="Normal 7" xfId="17"/>
    <cellStyle name="Normal 7 2" xfId="844"/>
    <cellStyle name="Normal 70" xfId="845"/>
    <cellStyle name="Normal 71" xfId="846"/>
    <cellStyle name="Normal 72" xfId="847"/>
    <cellStyle name="Normal 73" xfId="848"/>
    <cellStyle name="Normal 74" xfId="849"/>
    <cellStyle name="Normal 75" xfId="850"/>
    <cellStyle name="Normal 76" xfId="851"/>
    <cellStyle name="Normal 77" xfId="852"/>
    <cellStyle name="Normal 78" xfId="853"/>
    <cellStyle name="Normal 79" xfId="854"/>
    <cellStyle name="Normal 8" xfId="18"/>
    <cellStyle name="Normal 8 2" xfId="855"/>
    <cellStyle name="Normal 8 3" xfId="856"/>
    <cellStyle name="Normal 80" xfId="857"/>
    <cellStyle name="Normal 81" xfId="858"/>
    <cellStyle name="Normal 82" xfId="859"/>
    <cellStyle name="Normal 83" xfId="860"/>
    <cellStyle name="Normal 84" xfId="861"/>
    <cellStyle name="Normal 85" xfId="862"/>
    <cellStyle name="Normal 86" xfId="863"/>
    <cellStyle name="Normal 87" xfId="864"/>
    <cellStyle name="Normal 88" xfId="865"/>
    <cellStyle name="Normal 89" xfId="866"/>
    <cellStyle name="Normal 9" xfId="118"/>
    <cellStyle name="Normal 9 2" xfId="867"/>
    <cellStyle name="Normal 90" xfId="868"/>
    <cellStyle name="Normal 91" xfId="869"/>
    <cellStyle name="Normal 92" xfId="870"/>
    <cellStyle name="Normal 93" xfId="871"/>
    <cellStyle name="Normal 94" xfId="872"/>
    <cellStyle name="Normal 95" xfId="873"/>
    <cellStyle name="Normal 96" xfId="874"/>
    <cellStyle name="Normal 97" xfId="875"/>
    <cellStyle name="Normal 98" xfId="876"/>
    <cellStyle name="Normal 99" xfId="877"/>
    <cellStyle name="Normal(0)" xfId="878"/>
    <cellStyle name="Normal_Bill Comp Settlement with New DSM" xfId="213"/>
    <cellStyle name="Normal_Blocking 03-01" xfId="5"/>
    <cellStyle name="Normal_Blocking 09-00" xfId="4"/>
    <cellStyle name="Normal_Blocking 09-00 2" xfId="217"/>
    <cellStyle name="Normal_Book4" xfId="1082"/>
    <cellStyle name="Note 2" xfId="879"/>
    <cellStyle name="Note 3" xfId="880"/>
    <cellStyle name="Note 4" xfId="881"/>
    <cellStyle name="Note 5" xfId="882"/>
    <cellStyle name="Note 6" xfId="883"/>
    <cellStyle name="Number" xfId="884"/>
    <cellStyle name="Number 10" xfId="885"/>
    <cellStyle name="Number 11" xfId="886"/>
    <cellStyle name="Number 12" xfId="887"/>
    <cellStyle name="Number 13" xfId="888"/>
    <cellStyle name="Number 14" xfId="889"/>
    <cellStyle name="Number 2" xfId="890"/>
    <cellStyle name="Number 3" xfId="891"/>
    <cellStyle name="Number 4" xfId="892"/>
    <cellStyle name="Number 5" xfId="893"/>
    <cellStyle name="Number 6" xfId="894"/>
    <cellStyle name="Number 7" xfId="895"/>
    <cellStyle name="Number 8" xfId="896"/>
    <cellStyle name="Number 9" xfId="897"/>
    <cellStyle name="Output 2" xfId="898"/>
    <cellStyle name="Output 3" xfId="899"/>
    <cellStyle name="Output 4" xfId="900"/>
    <cellStyle name="Output 5" xfId="901"/>
    <cellStyle name="Output 6" xfId="902"/>
    <cellStyle name="Output Amounts" xfId="903"/>
    <cellStyle name="Output Line Items" xfId="904"/>
    <cellStyle name="Password" xfId="119"/>
    <cellStyle name="Percen - Style1" xfId="905"/>
    <cellStyle name="Percen - Style2" xfId="906"/>
    <cellStyle name="Percent" xfId="3" builtinId="5"/>
    <cellStyle name="Percent [2]" xfId="209"/>
    <cellStyle name="Percent [2] 2" xfId="907"/>
    <cellStyle name="Percent [2] 3" xfId="908"/>
    <cellStyle name="Percent 10" xfId="909"/>
    <cellStyle name="Percent 11" xfId="910"/>
    <cellStyle name="Percent 12" xfId="911"/>
    <cellStyle name="Percent 13" xfId="120"/>
    <cellStyle name="Percent 14" xfId="1085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 2 4" xfId="1088"/>
    <cellStyle name="Percent 2 20" xfId="133"/>
    <cellStyle name="Percent 2 21" xfId="134"/>
    <cellStyle name="Percent 2 3" xfId="135"/>
    <cellStyle name="Percent 2 3 2" xfId="912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0"/>
    <cellStyle name="Percent 3 2 2" xfId="913"/>
    <cellStyle name="Percent 3 3" xfId="914"/>
    <cellStyle name="Percent 3 4" xfId="915"/>
    <cellStyle name="Percent 3 5" xfId="916"/>
    <cellStyle name="Percent 3 6" xfId="917"/>
    <cellStyle name="Percent 3 7" xfId="918"/>
    <cellStyle name="Percent 3 8" xfId="919"/>
    <cellStyle name="Percent 3 9" xfId="920"/>
    <cellStyle name="Percent 4" xfId="22"/>
    <cellStyle name="Percent 4 2" xfId="921"/>
    <cellStyle name="Percent 4 2 2" xfId="922"/>
    <cellStyle name="Percent 4 3" xfId="923"/>
    <cellStyle name="Percent 5" xfId="23"/>
    <cellStyle name="Percent 6" xfId="24"/>
    <cellStyle name="Percent 6 2" xfId="924"/>
    <cellStyle name="Percent 6 2 2" xfId="925"/>
    <cellStyle name="Percent 7" xfId="185"/>
    <cellStyle name="Percent 7 2" xfId="926"/>
    <cellStyle name="Percent 8" xfId="188"/>
    <cellStyle name="Percent 9" xfId="216"/>
    <cellStyle name="Percent(0)" xfId="927"/>
    <cellStyle name="Reset  - Style7" xfId="928"/>
    <cellStyle name="SAPBEXaggData" xfId="143"/>
    <cellStyle name="SAPBEXaggDataEmph" xfId="144"/>
    <cellStyle name="SAPBEXaggItem" xfId="145"/>
    <cellStyle name="SAPBEXaggItem 2" xfId="929"/>
    <cellStyle name="SAPBEXaggItem 3" xfId="930"/>
    <cellStyle name="SAPBEXaggItem 4" xfId="931"/>
    <cellStyle name="SAPBEXaggItem 5" xfId="932"/>
    <cellStyle name="SAPBEXaggItem 6" xfId="933"/>
    <cellStyle name="SAPBEXaggItem_Copy of xSAPtemp5457" xfId="934"/>
    <cellStyle name="SAPBEXaggItemX" xfId="146"/>
    <cellStyle name="SAPBEXchaText" xfId="147"/>
    <cellStyle name="SAPBEXchaText 2" xfId="935"/>
    <cellStyle name="SAPBEXchaText 3" xfId="936"/>
    <cellStyle name="SAPBEXchaText 4" xfId="937"/>
    <cellStyle name="SAPBEXchaText 5" xfId="938"/>
    <cellStyle name="SAPBEXchaText 6" xfId="939"/>
    <cellStyle name="SAPBEXchaText_Copy of xSAPtemp5457" xfId="940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1"/>
    <cellStyle name="SAPBEXfilterItem" xfId="158"/>
    <cellStyle name="SAPBEXfilterItem 2" xfId="942"/>
    <cellStyle name="SAPBEXfilterItem 3" xfId="943"/>
    <cellStyle name="SAPBEXfilterItem 4" xfId="944"/>
    <cellStyle name="SAPBEXfilterItem 5" xfId="945"/>
    <cellStyle name="SAPBEXfilterItem 6" xfId="946"/>
    <cellStyle name="SAPBEXfilterItem_Copy of xSAPtemp5457" xfId="947"/>
    <cellStyle name="SAPBEXfilterText" xfId="159"/>
    <cellStyle name="SAPBEXfilterText 2" xfId="948"/>
    <cellStyle name="SAPBEXfilterText 3" xfId="949"/>
    <cellStyle name="SAPBEXfilterText 4" xfId="950"/>
    <cellStyle name="SAPBEXfilterText 5" xfId="951"/>
    <cellStyle name="SAPBEXformats" xfId="160"/>
    <cellStyle name="SAPBEXheaderItem" xfId="161"/>
    <cellStyle name="SAPBEXheaderItem 2" xfId="952"/>
    <cellStyle name="SAPBEXheaderItem 3" xfId="953"/>
    <cellStyle name="SAPBEXheaderItem 4" xfId="954"/>
    <cellStyle name="SAPBEXheaderItem 5" xfId="955"/>
    <cellStyle name="SAPBEXheaderItem 6" xfId="956"/>
    <cellStyle name="SAPBEXheaderItem 7" xfId="957"/>
    <cellStyle name="SAPBEXheaderItem_Copy of xSAPtemp5457" xfId="958"/>
    <cellStyle name="SAPBEXheaderText" xfId="162"/>
    <cellStyle name="SAPBEXheaderText 2" xfId="959"/>
    <cellStyle name="SAPBEXheaderText 3" xfId="960"/>
    <cellStyle name="SAPBEXheaderText 4" xfId="961"/>
    <cellStyle name="SAPBEXheaderText 5" xfId="962"/>
    <cellStyle name="SAPBEXheaderText 6" xfId="963"/>
    <cellStyle name="SAPBEXheaderText 7" xfId="964"/>
    <cellStyle name="SAPBEXheaderText_Copy of xSAPtemp5457" xfId="965"/>
    <cellStyle name="SAPBEXHLevel0" xfId="163"/>
    <cellStyle name="SAPBEXHLevel0 2" xfId="966"/>
    <cellStyle name="SAPBEXHLevel0 3" xfId="967"/>
    <cellStyle name="SAPBEXHLevel0 4" xfId="968"/>
    <cellStyle name="SAPBEXHLevel0 5" xfId="969"/>
    <cellStyle name="SAPBEXHLevel0 6" xfId="970"/>
    <cellStyle name="SAPBEXHLevel0X" xfId="164"/>
    <cellStyle name="SAPBEXHLevel0X 2" xfId="971"/>
    <cellStyle name="SAPBEXHLevel0X 3" xfId="972"/>
    <cellStyle name="SAPBEXHLevel0X 4" xfId="973"/>
    <cellStyle name="SAPBEXHLevel0X 5" xfId="974"/>
    <cellStyle name="SAPBEXHLevel0X 6" xfId="975"/>
    <cellStyle name="SAPBEXHLevel1" xfId="165"/>
    <cellStyle name="SAPBEXHLevel1 2" xfId="976"/>
    <cellStyle name="SAPBEXHLevel1 3" xfId="977"/>
    <cellStyle name="SAPBEXHLevel1 4" xfId="978"/>
    <cellStyle name="SAPBEXHLevel1 5" xfId="979"/>
    <cellStyle name="SAPBEXHLevel1 6" xfId="980"/>
    <cellStyle name="SAPBEXHLevel1X" xfId="166"/>
    <cellStyle name="SAPBEXHLevel1X 2" xfId="981"/>
    <cellStyle name="SAPBEXHLevel1X 3" xfId="982"/>
    <cellStyle name="SAPBEXHLevel1X 4" xfId="983"/>
    <cellStyle name="SAPBEXHLevel1X 5" xfId="984"/>
    <cellStyle name="SAPBEXHLevel1X 6" xfId="985"/>
    <cellStyle name="SAPBEXHLevel2" xfId="167"/>
    <cellStyle name="SAPBEXHLevel2 2" xfId="986"/>
    <cellStyle name="SAPBEXHLevel2 3" xfId="987"/>
    <cellStyle name="SAPBEXHLevel2 4" xfId="988"/>
    <cellStyle name="SAPBEXHLevel2 5" xfId="989"/>
    <cellStyle name="SAPBEXHLevel2 6" xfId="990"/>
    <cellStyle name="SAPBEXHLevel2X" xfId="168"/>
    <cellStyle name="SAPBEXHLevel2X 2" xfId="991"/>
    <cellStyle name="SAPBEXHLevel2X 3" xfId="992"/>
    <cellStyle name="SAPBEXHLevel2X 4" xfId="993"/>
    <cellStyle name="SAPBEXHLevel2X 5" xfId="994"/>
    <cellStyle name="SAPBEXHLevel2X 6" xfId="995"/>
    <cellStyle name="SAPBEXHLevel3" xfId="169"/>
    <cellStyle name="SAPBEXHLevel3 2" xfId="996"/>
    <cellStyle name="SAPBEXHLevel3 3" xfId="997"/>
    <cellStyle name="SAPBEXHLevel3 4" xfId="998"/>
    <cellStyle name="SAPBEXHLevel3 5" xfId="999"/>
    <cellStyle name="SAPBEXHLevel3 6" xfId="1000"/>
    <cellStyle name="SAPBEXHLevel3X" xfId="170"/>
    <cellStyle name="SAPBEXHLevel3X 2" xfId="1001"/>
    <cellStyle name="SAPBEXHLevel3X 3" xfId="1002"/>
    <cellStyle name="SAPBEXHLevel3X 4" xfId="1003"/>
    <cellStyle name="SAPBEXHLevel3X 5" xfId="1004"/>
    <cellStyle name="SAPBEXHLevel3X 6" xfId="1005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6"/>
    <cellStyle name="SAPBEXstdData 3" xfId="1007"/>
    <cellStyle name="SAPBEXstdData 4" xfId="1008"/>
    <cellStyle name="SAPBEXstdData 5" xfId="1009"/>
    <cellStyle name="SAPBEXstdData 6" xfId="1010"/>
    <cellStyle name="SAPBEXstdData_Copy of xSAPtemp5457" xfId="1011"/>
    <cellStyle name="SAPBEXstdDataEmph" xfId="176"/>
    <cellStyle name="SAPBEXstdItem" xfId="177"/>
    <cellStyle name="SAPBEXstdItem 2" xfId="1012"/>
    <cellStyle name="SAPBEXstdItem 3" xfId="1013"/>
    <cellStyle name="SAPBEXstdItem 4" xfId="1014"/>
    <cellStyle name="SAPBEXstdItem 5" xfId="1015"/>
    <cellStyle name="SAPBEXstdItem 6" xfId="1016"/>
    <cellStyle name="SAPBEXstdItem_Copy of xSAPtemp5457" xfId="1017"/>
    <cellStyle name="SAPBEXstdItemX" xfId="178"/>
    <cellStyle name="SAPBEXstdItemX 2" xfId="1018"/>
    <cellStyle name="SAPBEXstdItemX 3" xfId="1019"/>
    <cellStyle name="SAPBEXstdItemX 4" xfId="1020"/>
    <cellStyle name="SAPBEXstdItemX 5" xfId="1021"/>
    <cellStyle name="SAPBEXstdItemX 6" xfId="1022"/>
    <cellStyle name="SAPBEXstdItemX_Copy of xSAPtemp5457" xfId="1023"/>
    <cellStyle name="SAPBEXtitle" xfId="179"/>
    <cellStyle name="SAPBEXtitle 2" xfId="211"/>
    <cellStyle name="SAPBEXtitle 3" xfId="1024"/>
    <cellStyle name="SAPBEXtitle 4" xfId="1025"/>
    <cellStyle name="SAPBEXtitle 5" xfId="1026"/>
    <cellStyle name="SAPBEXtitle 6" xfId="1027"/>
    <cellStyle name="SAPBEXtitle 7" xfId="1028"/>
    <cellStyle name="SAPBEXtitle_Copy of xSAPtemp5457" xfId="1029"/>
    <cellStyle name="SAPBEXundefined" xfId="180"/>
    <cellStyle name="Shade" xfId="1030"/>
    <cellStyle name="Sheet Title" xfId="1031"/>
    <cellStyle name="Special" xfId="1032"/>
    <cellStyle name="Special 2" xfId="1033"/>
    <cellStyle name="Special 3" xfId="1034"/>
    <cellStyle name="STYL1 - Style1" xfId="1035"/>
    <cellStyle name="Style 1" xfId="1036"/>
    <cellStyle name="Style 21" xfId="1037"/>
    <cellStyle name="Style 22" xfId="1038"/>
    <cellStyle name="Style 24" xfId="1039"/>
    <cellStyle name="Style 27" xfId="1040"/>
    <cellStyle name="Style 35" xfId="1041"/>
    <cellStyle name="Style 35 2" xfId="1042"/>
    <cellStyle name="Style 36" xfId="1043"/>
    <cellStyle name="Style 36 2" xfId="1044"/>
    <cellStyle name="Table  - Style6" xfId="1045"/>
    <cellStyle name="Text" xfId="1046"/>
    <cellStyle name="Title  - Style1" xfId="1047"/>
    <cellStyle name="Title 2" xfId="1048"/>
    <cellStyle name="Title 3" xfId="1049"/>
    <cellStyle name="Title 4" xfId="1050"/>
    <cellStyle name="Title 5" xfId="1051"/>
    <cellStyle name="Title 6" xfId="1052"/>
    <cellStyle name="Titles" xfId="212"/>
    <cellStyle name="Titles 2" xfId="1053"/>
    <cellStyle name="Total 2" xfId="1054"/>
    <cellStyle name="Total 2 2" xfId="1055"/>
    <cellStyle name="Total 3" xfId="1056"/>
    <cellStyle name="Total 4" xfId="1057"/>
    <cellStyle name="Total 5" xfId="1058"/>
    <cellStyle name="Total2 - Style2" xfId="1059"/>
    <cellStyle name="TotCol - Style5" xfId="1060"/>
    <cellStyle name="TotRow - Style4" xfId="1061"/>
    <cellStyle name="TRANSMISSION RELIABILITY PORTION OF PROJECT" xfId="25"/>
    <cellStyle name="Tusental (0)_pldt" xfId="1062"/>
    <cellStyle name="Tusental_pldt" xfId="1063"/>
    <cellStyle name="Underl - Style4" xfId="1064"/>
    <cellStyle name="UNLocked" xfId="1065"/>
    <cellStyle name="Unprot" xfId="181"/>
    <cellStyle name="Unprot 2" xfId="1066"/>
    <cellStyle name="Unprot 3" xfId="1067"/>
    <cellStyle name="Unprot 4" xfId="1068"/>
    <cellStyle name="Unprot$" xfId="182"/>
    <cellStyle name="Unprot$ 2" xfId="1069"/>
    <cellStyle name="Unprot$ 3" xfId="1070"/>
    <cellStyle name="Unprot$ 4" xfId="1071"/>
    <cellStyle name="Unprot_Book4 (11) (2)" xfId="1072"/>
    <cellStyle name="Unprotect" xfId="183"/>
    <cellStyle name="Valuta (0)_pldt" xfId="1073"/>
    <cellStyle name="Valuta_pldt" xfId="1074"/>
    <cellStyle name="Warning Text 2" xfId="1075"/>
    <cellStyle name="Warning Text 3" xfId="1076"/>
    <cellStyle name="Warning Text 4" xfId="1077"/>
    <cellStyle name="Warning Text 5" xfId="1078"/>
    <cellStyle name="Warning Text 6" xfId="107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WY%20GRC%20(06_14%20Base,%2012_16%20Forecast)/8%20-%20Rate%20Base/8.17%20Fountain%20Green%20Adjustment/Fountain%20Green%20JAM%20Extrac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21566/Local%20Settings/Temporary%20Internet%20Files/Content.Outlook/DYKGKKSU/Reg%20Assets%20Jun0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PD/SLREG1/ARCHIVE/2006/SEMI%20Mar%202006/Tab%20%234%20-%20O&amp;M/Affiliate%20Management%20Fee%20Commitment/MGMT%20FEE%20ACTUALS%20FY%202001%20thru%20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7\Wind%20EV%202020\Surrebuttal%202018-05-14\Combined%20Projects%20Update%20wo%20Uinta%20ID%206.8.18%20-%20Work%20Paper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PD/SLREG1/ARCHIVE/2006/0306%20SEMI/Tab%20%238%20-%20Rate%20Base/Major%20Plant%20Additions/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>
        <row r="2">
          <cell r="B2" t="str">
            <v>BLN-1</v>
          </cell>
          <cell r="C2">
            <v>575736</v>
          </cell>
          <cell r="D2">
            <v>1474.3</v>
          </cell>
          <cell r="E2">
            <v>24056.467000000001</v>
          </cell>
          <cell r="F2">
            <v>6128.732</v>
          </cell>
          <cell r="G2">
            <v>13397.503000000001</v>
          </cell>
          <cell r="H2">
            <v>530678.99800000002</v>
          </cell>
          <cell r="I2">
            <v>394.56799999999998</v>
          </cell>
          <cell r="J2">
            <v>844.15</v>
          </cell>
          <cell r="K2">
            <v>12783.359</v>
          </cell>
          <cell r="L2">
            <v>4.4077000000000002</v>
          </cell>
          <cell r="M2">
            <v>6.0256999999999996</v>
          </cell>
          <cell r="N2">
            <v>6.0974000000000004</v>
          </cell>
          <cell r="O2">
            <v>10.895099999999999</v>
          </cell>
        </row>
        <row r="3">
          <cell r="B3" t="str">
            <v>BLN-2</v>
          </cell>
          <cell r="C3">
            <v>36240</v>
          </cell>
          <cell r="D3">
            <v>0</v>
          </cell>
          <cell r="E3">
            <v>0</v>
          </cell>
          <cell r="F3">
            <v>2474.3339999999998</v>
          </cell>
          <cell r="G3">
            <v>10249.168</v>
          </cell>
          <cell r="H3">
            <v>23516.498</v>
          </cell>
          <cell r="I3">
            <v>0</v>
          </cell>
          <cell r="J3">
            <v>2</v>
          </cell>
          <cell r="K3">
            <v>1231.6510000000001</v>
          </cell>
          <cell r="L3">
            <v>0</v>
          </cell>
          <cell r="M3">
            <v>38.513100000000001</v>
          </cell>
          <cell r="N3">
            <v>38.513100000000001</v>
          </cell>
          <cell r="O3">
            <v>0</v>
          </cell>
        </row>
        <row r="4">
          <cell r="B4" t="str">
            <v>CHO-4</v>
          </cell>
          <cell r="C4">
            <v>9512160</v>
          </cell>
          <cell r="D4">
            <v>0</v>
          </cell>
          <cell r="E4">
            <v>385364.33399999997</v>
          </cell>
          <cell r="F4">
            <v>0</v>
          </cell>
          <cell r="G4">
            <v>260186</v>
          </cell>
          <cell r="H4">
            <v>8866609.6659999993</v>
          </cell>
          <cell r="I4">
            <v>0</v>
          </cell>
          <cell r="J4">
            <v>2418.884</v>
          </cell>
          <cell r="K4">
            <v>272510.255</v>
          </cell>
          <cell r="L4">
            <v>4.1651999999999996</v>
          </cell>
          <cell r="M4">
            <v>5.8631000000000002</v>
          </cell>
          <cell r="N4">
            <v>5.8631000000000002</v>
          </cell>
          <cell r="O4">
            <v>10.563700000000001</v>
          </cell>
        </row>
        <row r="5">
          <cell r="B5" t="str">
            <v>COL-3</v>
          </cell>
          <cell r="C5">
            <v>18523680</v>
          </cell>
          <cell r="D5">
            <v>0</v>
          </cell>
          <cell r="E5">
            <v>622858</v>
          </cell>
          <cell r="F5">
            <v>28588.667000000001</v>
          </cell>
          <cell r="G5">
            <v>709363.99800000002</v>
          </cell>
          <cell r="H5">
            <v>17162869.335000001</v>
          </cell>
          <cell r="I5">
            <v>16523.582999999999</v>
          </cell>
          <cell r="J5">
            <v>6450.518</v>
          </cell>
          <cell r="K5">
            <v>518840.28600000002</v>
          </cell>
          <cell r="L5">
            <v>3.5949</v>
          </cell>
          <cell r="M5">
            <v>7.0568999999999997</v>
          </cell>
          <cell r="N5">
            <v>7.1492000000000004</v>
          </cell>
          <cell r="O5">
            <v>8.7676999999999996</v>
          </cell>
        </row>
        <row r="6">
          <cell r="B6" t="str">
            <v>COL-4</v>
          </cell>
          <cell r="C6">
            <v>18523680</v>
          </cell>
          <cell r="D6">
            <v>0</v>
          </cell>
          <cell r="E6">
            <v>633785.33299999998</v>
          </cell>
          <cell r="F6">
            <v>95410.665999999997</v>
          </cell>
          <cell r="G6">
            <v>605418.66899999999</v>
          </cell>
          <cell r="H6">
            <v>17189065.331999999</v>
          </cell>
          <cell r="I6">
            <v>0</v>
          </cell>
          <cell r="J6">
            <v>1840.4839999999999</v>
          </cell>
          <cell r="K6">
            <v>478535.43199999997</v>
          </cell>
          <cell r="L6">
            <v>3.556</v>
          </cell>
          <cell r="M6">
            <v>6.6025999999999998</v>
          </cell>
          <cell r="N6">
            <v>6.6025999999999998</v>
          </cell>
          <cell r="O6">
            <v>8.9215</v>
          </cell>
        </row>
        <row r="7">
          <cell r="B7" t="str">
            <v>CRB-1</v>
          </cell>
          <cell r="C7">
            <v>1677144</v>
          </cell>
          <cell r="D7">
            <v>0</v>
          </cell>
          <cell r="E7">
            <v>64415.561000000002</v>
          </cell>
          <cell r="F7">
            <v>134</v>
          </cell>
          <cell r="G7">
            <v>116956.284</v>
          </cell>
          <cell r="H7">
            <v>1495638.155</v>
          </cell>
          <cell r="I7">
            <v>4625.6329999999998</v>
          </cell>
          <cell r="J7">
            <v>1137.002</v>
          </cell>
          <cell r="K7">
            <v>24195.528999999999</v>
          </cell>
          <cell r="L7">
            <v>4.4256000000000002</v>
          </cell>
          <cell r="M7">
            <v>8.8312000000000008</v>
          </cell>
          <cell r="N7">
            <v>9.1180000000000003</v>
          </cell>
          <cell r="O7">
            <v>10.01</v>
          </cell>
        </row>
        <row r="8">
          <cell r="B8" t="str">
            <v>CRB-2</v>
          </cell>
          <cell r="C8">
            <v>2628360</v>
          </cell>
          <cell r="D8">
            <v>3053.7150000000001</v>
          </cell>
          <cell r="E8">
            <v>111933.5</v>
          </cell>
          <cell r="F8">
            <v>15618.75</v>
          </cell>
          <cell r="G8">
            <v>95838.75</v>
          </cell>
          <cell r="H8">
            <v>2401915.2850000001</v>
          </cell>
          <cell r="I8">
            <v>6696.6509999999998</v>
          </cell>
          <cell r="J8">
            <v>1526.4670000000001</v>
          </cell>
          <cell r="K8">
            <v>46881.485999999997</v>
          </cell>
          <cell r="L8">
            <v>4.7191000000000001</v>
          </cell>
          <cell r="M8">
            <v>6.3605999999999998</v>
          </cell>
          <cell r="N8">
            <v>6.6269999999999998</v>
          </cell>
          <cell r="O8">
            <v>11.103199999999999</v>
          </cell>
        </row>
        <row r="9">
          <cell r="B9" t="str">
            <v>CRG-1</v>
          </cell>
          <cell r="C9">
            <v>10713696</v>
          </cell>
          <cell r="D9">
            <v>0</v>
          </cell>
          <cell r="E9">
            <v>118149.4</v>
          </cell>
          <cell r="F9">
            <v>0</v>
          </cell>
          <cell r="G9">
            <v>541234.53300000005</v>
          </cell>
          <cell r="H9">
            <v>10054312.067</v>
          </cell>
          <cell r="I9">
            <v>0</v>
          </cell>
          <cell r="J9">
            <v>30.766999999999999</v>
          </cell>
          <cell r="K9">
            <v>116564.8</v>
          </cell>
          <cell r="L9">
            <v>1.1615</v>
          </cell>
          <cell r="M9">
            <v>6.2085999999999997</v>
          </cell>
          <cell r="N9">
            <v>6.2085999999999997</v>
          </cell>
          <cell r="O9">
            <v>2.8755000000000002</v>
          </cell>
        </row>
        <row r="10">
          <cell r="B10" t="str">
            <v>CRG-2</v>
          </cell>
          <cell r="C10">
            <v>10713696</v>
          </cell>
          <cell r="D10">
            <v>0</v>
          </cell>
          <cell r="E10">
            <v>154080</v>
          </cell>
          <cell r="F10">
            <v>3210</v>
          </cell>
          <cell r="G10">
            <v>309757.86700000003</v>
          </cell>
          <cell r="H10">
            <v>10246648.132999999</v>
          </cell>
          <cell r="I10">
            <v>0</v>
          </cell>
          <cell r="J10">
            <v>231.03299999999999</v>
          </cell>
          <cell r="K10">
            <v>137248.15</v>
          </cell>
          <cell r="L10">
            <v>1.4814000000000001</v>
          </cell>
          <cell r="M10">
            <v>4.2657999999999996</v>
          </cell>
          <cell r="N10">
            <v>4.2657999999999996</v>
          </cell>
          <cell r="O10">
            <v>3.75</v>
          </cell>
        </row>
        <row r="11">
          <cell r="B11" t="str">
            <v>CUR-1</v>
          </cell>
          <cell r="C11">
            <v>2720230.94</v>
          </cell>
          <cell r="D11">
            <v>779479.06099999999</v>
          </cell>
          <cell r="E11">
            <v>15702.331</v>
          </cell>
          <cell r="F11">
            <v>11351.175999999999</v>
          </cell>
          <cell r="G11">
            <v>92605.936000000002</v>
          </cell>
          <cell r="H11">
            <v>1821092.436</v>
          </cell>
          <cell r="I11">
            <v>0</v>
          </cell>
          <cell r="J11">
            <v>0</v>
          </cell>
          <cell r="K11">
            <v>126.84</v>
          </cell>
          <cell r="L11">
            <v>0.85489999999999999</v>
          </cell>
          <cell r="M11">
            <v>5.4067999999999996</v>
          </cell>
          <cell r="N11">
            <v>5.4067999999999996</v>
          </cell>
          <cell r="O11">
            <v>1.1448</v>
          </cell>
        </row>
        <row r="12">
          <cell r="B12" t="str">
            <v>CUR-2</v>
          </cell>
          <cell r="C12">
            <v>2767270.94</v>
          </cell>
          <cell r="D12">
            <v>808478.58499999996</v>
          </cell>
          <cell r="E12">
            <v>15639.539000000001</v>
          </cell>
          <cell r="F12">
            <v>26700.118999999999</v>
          </cell>
          <cell r="G12">
            <v>84130.938999999998</v>
          </cell>
          <cell r="H12">
            <v>1832321.7579999999</v>
          </cell>
          <cell r="I12">
            <v>0</v>
          </cell>
          <cell r="J12">
            <v>0</v>
          </cell>
          <cell r="K12">
            <v>582.54600000000005</v>
          </cell>
          <cell r="L12">
            <v>0.84630000000000005</v>
          </cell>
          <cell r="M12">
            <v>5.7336999999999998</v>
          </cell>
          <cell r="N12">
            <v>5.7336999999999998</v>
          </cell>
          <cell r="O12">
            <v>1.1235999999999999</v>
          </cell>
        </row>
        <row r="13">
          <cell r="B13" t="str">
            <v>CUR-3</v>
          </cell>
          <cell r="C13">
            <v>3521232</v>
          </cell>
          <cell r="D13">
            <v>388940.245</v>
          </cell>
          <cell r="E13">
            <v>7825.7839999999997</v>
          </cell>
          <cell r="F13">
            <v>8128.05</v>
          </cell>
          <cell r="G13">
            <v>155287.12700000001</v>
          </cell>
          <cell r="H13">
            <v>2961050.7940000002</v>
          </cell>
          <cell r="I13">
            <v>19468.417000000001</v>
          </cell>
          <cell r="J13">
            <v>15493.499</v>
          </cell>
          <cell r="K13">
            <v>43677.73</v>
          </cell>
          <cell r="L13">
            <v>0.91930000000000001</v>
          </cell>
          <cell r="M13">
            <v>7.1239999999999997</v>
          </cell>
          <cell r="N13">
            <v>7.7470999999999997</v>
          </cell>
          <cell r="O13">
            <v>0.33</v>
          </cell>
        </row>
        <row r="14">
          <cell r="B14" t="str">
            <v>DJ-1</v>
          </cell>
          <cell r="C14">
            <v>2653392</v>
          </cell>
          <cell r="D14">
            <v>1515.8</v>
          </cell>
          <cell r="E14">
            <v>18456.366999999998</v>
          </cell>
          <cell r="F14">
            <v>0</v>
          </cell>
          <cell r="G14">
            <v>48639.838000000003</v>
          </cell>
          <cell r="H14">
            <v>2584779.9950000001</v>
          </cell>
          <cell r="I14">
            <v>0</v>
          </cell>
          <cell r="J14">
            <v>225.35</v>
          </cell>
          <cell r="K14">
            <v>95194.835000000006</v>
          </cell>
          <cell r="L14">
            <v>0.70899999999999996</v>
          </cell>
          <cell r="M14">
            <v>5.4705000000000004</v>
          </cell>
          <cell r="N14">
            <v>5.4705000000000004</v>
          </cell>
          <cell r="O14">
            <v>1.8137000000000001</v>
          </cell>
        </row>
        <row r="15">
          <cell r="B15" t="str">
            <v>DJ-2</v>
          </cell>
          <cell r="C15">
            <v>2653392</v>
          </cell>
          <cell r="D15">
            <v>16370.004000000001</v>
          </cell>
          <cell r="E15">
            <v>143167.13200000001</v>
          </cell>
          <cell r="F15">
            <v>2756</v>
          </cell>
          <cell r="G15">
            <v>20825.467000000001</v>
          </cell>
          <cell r="H15">
            <v>2470273.3969999999</v>
          </cell>
          <cell r="I15">
            <v>44</v>
          </cell>
          <cell r="J15">
            <v>614.66600000000005</v>
          </cell>
          <cell r="K15">
            <v>107931.13400000001</v>
          </cell>
          <cell r="L15">
            <v>5.4798</v>
          </cell>
          <cell r="M15">
            <v>5.2980999999999998</v>
          </cell>
          <cell r="N15">
            <v>5.2999000000000001</v>
          </cell>
          <cell r="O15">
            <v>14.069100000000001</v>
          </cell>
        </row>
        <row r="16">
          <cell r="B16" t="str">
            <v>DJ-3</v>
          </cell>
          <cell r="C16">
            <v>5507040</v>
          </cell>
          <cell r="D16">
            <v>2335.7399999999998</v>
          </cell>
          <cell r="E16">
            <v>140316</v>
          </cell>
          <cell r="F16">
            <v>0</v>
          </cell>
          <cell r="G16">
            <v>171574.33199999999</v>
          </cell>
          <cell r="H16">
            <v>5192813.9280000003</v>
          </cell>
          <cell r="I16">
            <v>127.2</v>
          </cell>
          <cell r="J16">
            <v>1604</v>
          </cell>
          <cell r="K16">
            <v>186512.535</v>
          </cell>
          <cell r="L16">
            <v>2.6334</v>
          </cell>
          <cell r="M16">
            <v>6.7051999999999996</v>
          </cell>
          <cell r="N16">
            <v>6.7074999999999996</v>
          </cell>
          <cell r="O16">
            <v>6.6437999999999997</v>
          </cell>
        </row>
        <row r="17">
          <cell r="B17" t="str">
            <v>DJ-4</v>
          </cell>
          <cell r="C17">
            <v>8260560</v>
          </cell>
          <cell r="D17">
            <v>10087.11</v>
          </cell>
          <cell r="E17">
            <v>119377.5</v>
          </cell>
          <cell r="F17">
            <v>103554</v>
          </cell>
          <cell r="G17">
            <v>395714</v>
          </cell>
          <cell r="H17">
            <v>7631827.3899999997</v>
          </cell>
          <cell r="I17">
            <v>0</v>
          </cell>
          <cell r="J17">
            <v>1959.2</v>
          </cell>
          <cell r="K17">
            <v>471452.28100000002</v>
          </cell>
          <cell r="L17">
            <v>1.5401</v>
          </cell>
          <cell r="M17">
            <v>11.9625</v>
          </cell>
          <cell r="N17">
            <v>11.9625</v>
          </cell>
          <cell r="O17">
            <v>3.7682000000000002</v>
          </cell>
        </row>
        <row r="18">
          <cell r="B18" t="str">
            <v>GAD-1</v>
          </cell>
          <cell r="C18">
            <v>1492560</v>
          </cell>
          <cell r="D18">
            <v>1344960.9450000001</v>
          </cell>
          <cell r="E18">
            <v>0</v>
          </cell>
          <cell r="F18">
            <v>0</v>
          </cell>
          <cell r="G18">
            <v>2383</v>
          </cell>
          <cell r="H18">
            <v>145216.05499999999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1.6145</v>
          </cell>
          <cell r="N18">
            <v>1.6145</v>
          </cell>
          <cell r="O18">
            <v>0</v>
          </cell>
        </row>
        <row r="19">
          <cell r="B19" t="str">
            <v>GAD-2</v>
          </cell>
          <cell r="C19">
            <v>1858680</v>
          </cell>
          <cell r="D19">
            <v>1593269.094</v>
          </cell>
          <cell r="E19">
            <v>0</v>
          </cell>
          <cell r="F19">
            <v>0</v>
          </cell>
          <cell r="G19">
            <v>19566.45</v>
          </cell>
          <cell r="H19">
            <v>245844.45600000001</v>
          </cell>
          <cell r="I19">
            <v>0</v>
          </cell>
          <cell r="J19">
            <v>0</v>
          </cell>
          <cell r="K19">
            <v>355.33300000000003</v>
          </cell>
          <cell r="L19">
            <v>0</v>
          </cell>
          <cell r="M19">
            <v>7.5060000000000002</v>
          </cell>
          <cell r="N19">
            <v>7.5060000000000002</v>
          </cell>
          <cell r="O19">
            <v>0</v>
          </cell>
        </row>
        <row r="20">
          <cell r="B20" t="str">
            <v>GAD-3</v>
          </cell>
          <cell r="C20">
            <v>2503200</v>
          </cell>
          <cell r="D20">
            <v>2028801.875</v>
          </cell>
          <cell r="E20">
            <v>0</v>
          </cell>
          <cell r="F20">
            <v>7898.3339999999998</v>
          </cell>
          <cell r="G20">
            <v>24004.999</v>
          </cell>
          <cell r="H20">
            <v>442494.79200000002</v>
          </cell>
          <cell r="I20">
            <v>0</v>
          </cell>
          <cell r="J20">
            <v>0</v>
          </cell>
          <cell r="K20">
            <v>807</v>
          </cell>
          <cell r="L20">
            <v>0</v>
          </cell>
          <cell r="M20">
            <v>6.8951000000000002</v>
          </cell>
          <cell r="N20">
            <v>6.8951000000000002</v>
          </cell>
          <cell r="O20">
            <v>0</v>
          </cell>
        </row>
        <row r="21">
          <cell r="B21" t="str">
            <v>GAD-4</v>
          </cell>
          <cell r="C21">
            <v>1001280</v>
          </cell>
          <cell r="D21">
            <v>621687.12</v>
          </cell>
          <cell r="E21">
            <v>0</v>
          </cell>
          <cell r="F21">
            <v>144</v>
          </cell>
          <cell r="G21">
            <v>9503.3279999999995</v>
          </cell>
          <cell r="H21">
            <v>369945.55200000003</v>
          </cell>
          <cell r="I21">
            <v>0</v>
          </cell>
          <cell r="J21">
            <v>0</v>
          </cell>
          <cell r="K21">
            <v>175.5</v>
          </cell>
          <cell r="L21">
            <v>0</v>
          </cell>
          <cell r="M21">
            <v>2.5876999999999999</v>
          </cell>
          <cell r="N21">
            <v>2.5876999999999999</v>
          </cell>
          <cell r="O21">
            <v>0</v>
          </cell>
        </row>
        <row r="22">
          <cell r="B22" t="str">
            <v>GAD-5</v>
          </cell>
          <cell r="C22">
            <v>1001280</v>
          </cell>
          <cell r="D22">
            <v>636728.36</v>
          </cell>
          <cell r="E22">
            <v>0</v>
          </cell>
          <cell r="F22">
            <v>2746.0010000000002</v>
          </cell>
          <cell r="G22">
            <v>11841.331</v>
          </cell>
          <cell r="H22">
            <v>349964.30800000002</v>
          </cell>
          <cell r="I22">
            <v>0</v>
          </cell>
          <cell r="J22">
            <v>0</v>
          </cell>
          <cell r="K22">
            <v>216.5</v>
          </cell>
          <cell r="L22">
            <v>0</v>
          </cell>
          <cell r="M22">
            <v>4.0608000000000004</v>
          </cell>
          <cell r="N22">
            <v>4.0608000000000004</v>
          </cell>
          <cell r="O22">
            <v>0</v>
          </cell>
        </row>
        <row r="23">
          <cell r="B23" t="str">
            <v>GAD-6</v>
          </cell>
          <cell r="C23">
            <v>1001280</v>
          </cell>
          <cell r="D23">
            <v>642727.12</v>
          </cell>
          <cell r="E23">
            <v>12368.666999999999</v>
          </cell>
          <cell r="F23">
            <v>0</v>
          </cell>
          <cell r="G23">
            <v>17509.332999999999</v>
          </cell>
          <cell r="H23">
            <v>328674.88</v>
          </cell>
          <cell r="I23">
            <v>0</v>
          </cell>
          <cell r="J23">
            <v>0</v>
          </cell>
          <cell r="K23">
            <v>175.5</v>
          </cell>
          <cell r="L23">
            <v>3.6267</v>
          </cell>
          <cell r="M23">
            <v>5.1085000000000003</v>
          </cell>
          <cell r="N23">
            <v>5.1085000000000003</v>
          </cell>
          <cell r="O23">
            <v>3.2210000000000001</v>
          </cell>
        </row>
        <row r="24">
          <cell r="B24" t="str">
            <v>HDN-1</v>
          </cell>
          <cell r="C24">
            <v>4605888</v>
          </cell>
          <cell r="D24">
            <v>2922.4720000000002</v>
          </cell>
          <cell r="E24">
            <v>110400</v>
          </cell>
          <cell r="F24">
            <v>26971.332999999999</v>
          </cell>
          <cell r="G24">
            <v>117355.201</v>
          </cell>
          <cell r="H24">
            <v>4348238.9939999999</v>
          </cell>
          <cell r="I24">
            <v>1878.4</v>
          </cell>
          <cell r="J24">
            <v>9543.3340000000007</v>
          </cell>
          <cell r="K24">
            <v>92050.964999999997</v>
          </cell>
          <cell r="L24">
            <v>2.5182000000000002</v>
          </cell>
          <cell r="M24">
            <v>5.4740000000000002</v>
          </cell>
          <cell r="N24">
            <v>5.5157999999999996</v>
          </cell>
          <cell r="O24">
            <v>6.25</v>
          </cell>
        </row>
        <row r="25">
          <cell r="B25" t="str">
            <v>HDN-2</v>
          </cell>
          <cell r="C25">
            <v>6558384</v>
          </cell>
          <cell r="D25">
            <v>0</v>
          </cell>
          <cell r="E25">
            <v>191845.13399999999</v>
          </cell>
          <cell r="F25">
            <v>56513.4</v>
          </cell>
          <cell r="G25">
            <v>137916.80100000001</v>
          </cell>
          <cell r="H25">
            <v>6172108.665</v>
          </cell>
          <cell r="I25">
            <v>3465.0830000000001</v>
          </cell>
          <cell r="J25">
            <v>92.8</v>
          </cell>
          <cell r="K25">
            <v>19258.384999999998</v>
          </cell>
          <cell r="L25">
            <v>3.069</v>
          </cell>
          <cell r="M25">
            <v>3.3578999999999999</v>
          </cell>
          <cell r="N25">
            <v>3.4123000000000001</v>
          </cell>
          <cell r="O25">
            <v>7.6273999999999997</v>
          </cell>
        </row>
        <row r="26">
          <cell r="B26" t="str">
            <v>HRM-1</v>
          </cell>
          <cell r="C26">
            <v>5906774.9759999998</v>
          </cell>
          <cell r="D26">
            <v>150776.84</v>
          </cell>
          <cell r="E26">
            <v>276965.94199999998</v>
          </cell>
          <cell r="F26">
            <v>24516.917000000001</v>
          </cell>
          <cell r="G26">
            <v>33174.008000000002</v>
          </cell>
          <cell r="H26">
            <v>5421357.7170000002</v>
          </cell>
          <cell r="I26">
            <v>0</v>
          </cell>
          <cell r="J26">
            <v>0</v>
          </cell>
          <cell r="K26">
            <v>31.692</v>
          </cell>
          <cell r="L26">
            <v>4.8605</v>
          </cell>
          <cell r="M26">
            <v>1.0535000000000001</v>
          </cell>
          <cell r="N26">
            <v>1.0535000000000001</v>
          </cell>
          <cell r="O26">
            <v>12.301600000000001</v>
          </cell>
        </row>
        <row r="27">
          <cell r="B27" t="str">
            <v>HRM-2</v>
          </cell>
          <cell r="C27">
            <v>5906774.9759999998</v>
          </cell>
          <cell r="D27">
            <v>283204.93900000001</v>
          </cell>
          <cell r="E27">
            <v>262651.89199999999</v>
          </cell>
          <cell r="F27">
            <v>25181.15</v>
          </cell>
          <cell r="G27">
            <v>146639.75700000001</v>
          </cell>
          <cell r="H27">
            <v>5189097.2379999999</v>
          </cell>
          <cell r="I27">
            <v>0</v>
          </cell>
          <cell r="J27">
            <v>0</v>
          </cell>
          <cell r="K27">
            <v>80.55</v>
          </cell>
          <cell r="L27">
            <v>4.8178000000000001</v>
          </cell>
          <cell r="M27">
            <v>3.2065999999999999</v>
          </cell>
          <cell r="N27">
            <v>3.2065999999999999</v>
          </cell>
          <cell r="O27">
            <v>11.8108</v>
          </cell>
        </row>
        <row r="28">
          <cell r="B28" t="str">
            <v>HTG-1</v>
          </cell>
          <cell r="C28">
            <v>11139240</v>
          </cell>
          <cell r="D28">
            <v>0</v>
          </cell>
          <cell r="E28">
            <v>280350</v>
          </cell>
          <cell r="F28">
            <v>90728.082999999999</v>
          </cell>
          <cell r="G28">
            <v>749587.66500000004</v>
          </cell>
          <cell r="H28">
            <v>10018574.252</v>
          </cell>
          <cell r="I28">
            <v>77355.150999999998</v>
          </cell>
          <cell r="J28">
            <v>9799.5490000000009</v>
          </cell>
          <cell r="K28">
            <v>230163.66699999999</v>
          </cell>
          <cell r="L28">
            <v>3.4731999999999998</v>
          </cell>
          <cell r="M28">
            <v>9.9482999999999997</v>
          </cell>
          <cell r="N28">
            <v>10.6607</v>
          </cell>
          <cell r="O28">
            <v>6.5625</v>
          </cell>
        </row>
        <row r="29">
          <cell r="B29" t="str">
            <v>HTG-2</v>
          </cell>
          <cell r="C29">
            <v>11264400</v>
          </cell>
          <cell r="D29">
            <v>750.15</v>
          </cell>
          <cell r="E29">
            <v>486000</v>
          </cell>
          <cell r="F29">
            <v>4545</v>
          </cell>
          <cell r="G29">
            <v>739312.5</v>
          </cell>
          <cell r="H29">
            <v>10033792.35</v>
          </cell>
          <cell r="I29">
            <v>24112.848000000002</v>
          </cell>
          <cell r="J29">
            <v>29565.764999999999</v>
          </cell>
          <cell r="K29">
            <v>241746.114</v>
          </cell>
          <cell r="L29">
            <v>4.8491</v>
          </cell>
          <cell r="M29">
            <v>9.4192</v>
          </cell>
          <cell r="N29">
            <v>9.6428999999999991</v>
          </cell>
          <cell r="O29">
            <v>11.25</v>
          </cell>
        </row>
        <row r="30">
          <cell r="B30" t="str">
            <v>HTR-1</v>
          </cell>
          <cell r="C30">
            <v>10763760</v>
          </cell>
          <cell r="D30">
            <v>0</v>
          </cell>
          <cell r="E30">
            <v>230501.49900000001</v>
          </cell>
          <cell r="F30">
            <v>93195.334000000003</v>
          </cell>
          <cell r="G30">
            <v>522700.83600000001</v>
          </cell>
          <cell r="H30">
            <v>9917362.3310000002</v>
          </cell>
          <cell r="I30">
            <v>33822.148999999998</v>
          </cell>
          <cell r="J30">
            <v>59839.7</v>
          </cell>
          <cell r="K30">
            <v>224950.902</v>
          </cell>
          <cell r="L30">
            <v>2.6046999999999998</v>
          </cell>
          <cell r="M30">
            <v>8.5509000000000004</v>
          </cell>
          <cell r="N30">
            <v>8.8719999999999999</v>
          </cell>
          <cell r="O30">
            <v>5.5838000000000001</v>
          </cell>
        </row>
        <row r="31">
          <cell r="B31" t="str">
            <v>HTR-2</v>
          </cell>
          <cell r="C31">
            <v>10763760</v>
          </cell>
          <cell r="D31">
            <v>0</v>
          </cell>
          <cell r="E31">
            <v>258594.83300000001</v>
          </cell>
          <cell r="F31">
            <v>25764.167000000001</v>
          </cell>
          <cell r="G31">
            <v>508682.83100000001</v>
          </cell>
          <cell r="H31">
            <v>9970718.1689999998</v>
          </cell>
          <cell r="I31">
            <v>14069.316000000001</v>
          </cell>
          <cell r="J31">
            <v>62923.499000000003</v>
          </cell>
          <cell r="K31">
            <v>213634.897</v>
          </cell>
          <cell r="L31">
            <v>2.6655000000000002</v>
          </cell>
          <cell r="M31">
            <v>7.7201000000000004</v>
          </cell>
          <cell r="N31">
            <v>7.8540000000000001</v>
          </cell>
          <cell r="O31">
            <v>6.2644000000000002</v>
          </cell>
        </row>
        <row r="32">
          <cell r="B32" t="str">
            <v>HTR-3</v>
          </cell>
          <cell r="C32">
            <v>11514720</v>
          </cell>
          <cell r="D32">
            <v>0</v>
          </cell>
          <cell r="E32">
            <v>419221</v>
          </cell>
          <cell r="F32">
            <v>116065.667</v>
          </cell>
          <cell r="G32">
            <v>561813.33100000001</v>
          </cell>
          <cell r="H32">
            <v>10417620.002</v>
          </cell>
          <cell r="I32">
            <v>57579.4</v>
          </cell>
          <cell r="J32">
            <v>77786.131999999998</v>
          </cell>
          <cell r="K32">
            <v>454026.897</v>
          </cell>
          <cell r="L32">
            <v>4.3997999999999999</v>
          </cell>
          <cell r="M32">
            <v>10.9025</v>
          </cell>
          <cell r="N32">
            <v>11.4215</v>
          </cell>
          <cell r="O32">
            <v>9.4931999999999999</v>
          </cell>
        </row>
        <row r="33">
          <cell r="B33" t="str">
            <v>JB-1</v>
          </cell>
          <cell r="C33">
            <v>13266960</v>
          </cell>
          <cell r="D33">
            <v>0</v>
          </cell>
          <cell r="E33">
            <v>381794.33299999998</v>
          </cell>
          <cell r="F33">
            <v>193856.33300000001</v>
          </cell>
          <cell r="G33">
            <v>705739.16899999999</v>
          </cell>
          <cell r="H33">
            <v>11985570.164999999</v>
          </cell>
          <cell r="I33">
            <v>2323.3330000000001</v>
          </cell>
          <cell r="J33">
            <v>7286.25</v>
          </cell>
          <cell r="K33">
            <v>681849.27899999998</v>
          </cell>
          <cell r="L33">
            <v>3.1059000000000001</v>
          </cell>
          <cell r="M33">
            <v>12.3299</v>
          </cell>
          <cell r="N33">
            <v>12.348000000000001</v>
          </cell>
          <cell r="O33">
            <v>7.5038</v>
          </cell>
        </row>
        <row r="34">
          <cell r="B34" t="str">
            <v>JB-2</v>
          </cell>
          <cell r="C34">
            <v>13266960</v>
          </cell>
          <cell r="D34">
            <v>14999</v>
          </cell>
          <cell r="E34">
            <v>600490</v>
          </cell>
          <cell r="F34">
            <v>96159.667000000001</v>
          </cell>
          <cell r="G34">
            <v>836834.66899999999</v>
          </cell>
          <cell r="H34">
            <v>11718476.664000001</v>
          </cell>
          <cell r="I34">
            <v>536</v>
          </cell>
          <cell r="J34">
            <v>11195.829</v>
          </cell>
          <cell r="K34">
            <v>639495.65099999995</v>
          </cell>
          <cell r="L34">
            <v>4.8788999999999998</v>
          </cell>
          <cell r="M34">
            <v>12.517799999999999</v>
          </cell>
          <cell r="N34">
            <v>12.522</v>
          </cell>
          <cell r="O34">
            <v>11.802099999999999</v>
          </cell>
        </row>
        <row r="35">
          <cell r="B35" t="str">
            <v>JB-3</v>
          </cell>
          <cell r="C35">
            <v>13266960</v>
          </cell>
          <cell r="D35">
            <v>9487</v>
          </cell>
          <cell r="E35">
            <v>648826</v>
          </cell>
          <cell r="F35">
            <v>127058.667</v>
          </cell>
          <cell r="G35">
            <v>538983.5</v>
          </cell>
          <cell r="H35">
            <v>11942604.833000001</v>
          </cell>
          <cell r="I35">
            <v>3335.0329999999999</v>
          </cell>
          <cell r="J35">
            <v>16016.865</v>
          </cell>
          <cell r="K35">
            <v>692076.89899999998</v>
          </cell>
          <cell r="L35">
            <v>5.1794000000000002</v>
          </cell>
          <cell r="M35">
            <v>10.898400000000001</v>
          </cell>
          <cell r="N35">
            <v>10.924799999999999</v>
          </cell>
          <cell r="O35">
            <v>12.7521</v>
          </cell>
        </row>
        <row r="36">
          <cell r="B36" t="str">
            <v>JB-4</v>
          </cell>
          <cell r="C36">
            <v>13266960</v>
          </cell>
          <cell r="D36">
            <v>0</v>
          </cell>
          <cell r="E36">
            <v>721577.33299999998</v>
          </cell>
          <cell r="F36">
            <v>66294.167000000001</v>
          </cell>
          <cell r="G36">
            <v>656060.49699999997</v>
          </cell>
          <cell r="H36">
            <v>11823028.003</v>
          </cell>
          <cell r="I36">
            <v>1286.816</v>
          </cell>
          <cell r="J36">
            <v>9179.6200000000008</v>
          </cell>
          <cell r="K36">
            <v>911831.68599999999</v>
          </cell>
          <cell r="L36">
            <v>5.7624000000000004</v>
          </cell>
          <cell r="M36">
            <v>13.099399999999999</v>
          </cell>
          <cell r="N36">
            <v>13.1096</v>
          </cell>
          <cell r="O36">
            <v>14.181900000000001</v>
          </cell>
        </row>
        <row r="37">
          <cell r="B37" t="str">
            <v>LMT-1</v>
          </cell>
          <cell r="C37">
            <v>350448</v>
          </cell>
          <cell r="D37">
            <v>32476.01</v>
          </cell>
          <cell r="E37">
            <v>15512</v>
          </cell>
          <cell r="F37">
            <v>154</v>
          </cell>
          <cell r="G37">
            <v>650.29999999999995</v>
          </cell>
          <cell r="H37">
            <v>301655.69</v>
          </cell>
          <cell r="I37">
            <v>0</v>
          </cell>
          <cell r="J37">
            <v>0</v>
          </cell>
          <cell r="K37">
            <v>574.899</v>
          </cell>
          <cell r="L37">
            <v>4.8907999999999996</v>
          </cell>
          <cell r="M37">
            <v>0.45600000000000002</v>
          </cell>
          <cell r="N37">
            <v>0.45600000000000002</v>
          </cell>
          <cell r="O37">
            <v>11.541700000000001</v>
          </cell>
        </row>
        <row r="38">
          <cell r="B38" t="str">
            <v>LS-1</v>
          </cell>
          <cell r="C38">
            <v>859994.34199999995</v>
          </cell>
          <cell r="D38">
            <v>145623.69500000001</v>
          </cell>
          <cell r="E38">
            <v>30952.531999999999</v>
          </cell>
          <cell r="F38">
            <v>0</v>
          </cell>
          <cell r="G38">
            <v>31047.861000000001</v>
          </cell>
          <cell r="H38">
            <v>652370.25399999996</v>
          </cell>
          <cell r="I38">
            <v>91.215000000000003</v>
          </cell>
          <cell r="J38">
            <v>0</v>
          </cell>
          <cell r="K38">
            <v>860.55799999999999</v>
          </cell>
          <cell r="L38">
            <v>4.5430999999999999</v>
          </cell>
          <cell r="M38">
            <v>4.6688999999999998</v>
          </cell>
          <cell r="N38">
            <v>4.6822999999999997</v>
          </cell>
          <cell r="O38">
            <v>1.9089</v>
          </cell>
        </row>
        <row r="39">
          <cell r="B39" t="str">
            <v>LS-2</v>
          </cell>
          <cell r="C39">
            <v>859994.34199999995</v>
          </cell>
          <cell r="D39">
            <v>110201.024</v>
          </cell>
          <cell r="E39">
            <v>30527.842000000001</v>
          </cell>
          <cell r="F39">
            <v>5077.97</v>
          </cell>
          <cell r="G39">
            <v>29125.921999999999</v>
          </cell>
          <cell r="H39">
            <v>685061.58400000003</v>
          </cell>
          <cell r="I39">
            <v>138.048</v>
          </cell>
          <cell r="J39">
            <v>0</v>
          </cell>
          <cell r="K39">
            <v>741.89599999999996</v>
          </cell>
          <cell r="L39">
            <v>4.2854000000000001</v>
          </cell>
          <cell r="M39">
            <v>4.8585000000000003</v>
          </cell>
          <cell r="N39">
            <v>4.8776999999999999</v>
          </cell>
          <cell r="O39">
            <v>1.8817999999999999</v>
          </cell>
        </row>
        <row r="40">
          <cell r="B40" t="str">
            <v>LS-3</v>
          </cell>
          <cell r="C40">
            <v>1139625</v>
          </cell>
          <cell r="D40">
            <v>110200.72500000001</v>
          </cell>
          <cell r="E40">
            <v>40455</v>
          </cell>
          <cell r="F40">
            <v>0</v>
          </cell>
          <cell r="G40">
            <v>47182.5</v>
          </cell>
          <cell r="H40">
            <v>941786.77500000002</v>
          </cell>
          <cell r="I40">
            <v>213.2</v>
          </cell>
          <cell r="J40">
            <v>0</v>
          </cell>
          <cell r="K40">
            <v>1928.2829999999999</v>
          </cell>
          <cell r="L40">
            <v>4.1402999999999999</v>
          </cell>
          <cell r="M40">
            <v>4.9659000000000004</v>
          </cell>
          <cell r="N40">
            <v>4.9874000000000001</v>
          </cell>
          <cell r="O40">
            <v>1.8729</v>
          </cell>
        </row>
        <row r="41">
          <cell r="B41" t="str">
            <v>NTN-1</v>
          </cell>
          <cell r="C41">
            <v>4005120</v>
          </cell>
          <cell r="D41">
            <v>0</v>
          </cell>
          <cell r="E41">
            <v>96000</v>
          </cell>
          <cell r="F41">
            <v>55469.334000000003</v>
          </cell>
          <cell r="G41">
            <v>58258.665999999997</v>
          </cell>
          <cell r="H41">
            <v>3795392</v>
          </cell>
          <cell r="I41">
            <v>8975.5159999999996</v>
          </cell>
          <cell r="J41">
            <v>38258.718000000001</v>
          </cell>
          <cell r="K41">
            <v>161364.04500000001</v>
          </cell>
          <cell r="L41">
            <v>2.6976</v>
          </cell>
          <cell r="M41">
            <v>8.0159000000000002</v>
          </cell>
          <cell r="N41">
            <v>8.2454999999999998</v>
          </cell>
          <cell r="O41">
            <v>6.25</v>
          </cell>
        </row>
        <row r="42">
          <cell r="B42" t="str">
            <v>NTN-2</v>
          </cell>
          <cell r="C42">
            <v>5256720</v>
          </cell>
          <cell r="D42">
            <v>472.5</v>
          </cell>
          <cell r="E42">
            <v>202125</v>
          </cell>
          <cell r="F42">
            <v>54845</v>
          </cell>
          <cell r="G42">
            <v>62993</v>
          </cell>
          <cell r="H42">
            <v>4936284.5</v>
          </cell>
          <cell r="I42">
            <v>9662.7000000000007</v>
          </cell>
          <cell r="J42">
            <v>33351.565999999999</v>
          </cell>
          <cell r="K42">
            <v>176723.23499999999</v>
          </cell>
          <cell r="L42">
            <v>4.1216999999999997</v>
          </cell>
          <cell r="M42">
            <v>6.4880000000000004</v>
          </cell>
          <cell r="N42">
            <v>6.6791999999999998</v>
          </cell>
          <cell r="O42">
            <v>10.026</v>
          </cell>
        </row>
        <row r="43">
          <cell r="B43" t="str">
            <v>NTN-3</v>
          </cell>
          <cell r="C43">
            <v>8260560</v>
          </cell>
          <cell r="D43">
            <v>0</v>
          </cell>
          <cell r="E43">
            <v>144408</v>
          </cell>
          <cell r="F43">
            <v>185372</v>
          </cell>
          <cell r="G43">
            <v>266244</v>
          </cell>
          <cell r="H43">
            <v>7664536</v>
          </cell>
          <cell r="I43">
            <v>17893.332999999999</v>
          </cell>
          <cell r="J43">
            <v>29611.985000000001</v>
          </cell>
          <cell r="K43">
            <v>265220.57</v>
          </cell>
          <cell r="L43">
            <v>2.0783999999999998</v>
          </cell>
          <cell r="M43">
            <v>9.1971000000000007</v>
          </cell>
          <cell r="N43">
            <v>9.4175000000000004</v>
          </cell>
          <cell r="O43">
            <v>4.5583</v>
          </cell>
        </row>
        <row r="44">
          <cell r="B44" t="str">
            <v>WV-1</v>
          </cell>
          <cell r="C44">
            <v>981120</v>
          </cell>
          <cell r="D44">
            <v>546169.12</v>
          </cell>
          <cell r="E44">
            <v>3532.6660000000002</v>
          </cell>
          <cell r="F44">
            <v>0</v>
          </cell>
          <cell r="G44">
            <v>15974.666999999999</v>
          </cell>
          <cell r="H44">
            <v>415443.54700000002</v>
          </cell>
          <cell r="I44">
            <v>0</v>
          </cell>
          <cell r="J44">
            <v>0</v>
          </cell>
          <cell r="K44">
            <v>0</v>
          </cell>
          <cell r="L44">
            <v>0.84319999999999995</v>
          </cell>
          <cell r="M44">
            <v>3.7027999999999999</v>
          </cell>
          <cell r="N44">
            <v>3.7027999999999999</v>
          </cell>
          <cell r="O44">
            <v>0.92</v>
          </cell>
        </row>
        <row r="45">
          <cell r="B45" t="str">
            <v>WV-2</v>
          </cell>
          <cell r="C45">
            <v>981120</v>
          </cell>
          <cell r="D45">
            <v>559390.4</v>
          </cell>
          <cell r="E45">
            <v>1947.999</v>
          </cell>
          <cell r="F45">
            <v>0</v>
          </cell>
          <cell r="G45">
            <v>7587.3339999999998</v>
          </cell>
          <cell r="H45">
            <v>412194.26699999999</v>
          </cell>
          <cell r="I45">
            <v>0</v>
          </cell>
          <cell r="J45">
            <v>0</v>
          </cell>
          <cell r="K45">
            <v>0</v>
          </cell>
          <cell r="L45">
            <v>0.47039999999999998</v>
          </cell>
          <cell r="M45">
            <v>1.8073999999999999</v>
          </cell>
          <cell r="N45">
            <v>1.8073999999999999</v>
          </cell>
          <cell r="O45">
            <v>0.50729999999999997</v>
          </cell>
        </row>
        <row r="46">
          <cell r="B46" t="str">
            <v>WV-3</v>
          </cell>
          <cell r="C46">
            <v>981120</v>
          </cell>
          <cell r="D46">
            <v>555678.76</v>
          </cell>
          <cell r="E46">
            <v>1682.6669999999999</v>
          </cell>
          <cell r="F46">
            <v>20</v>
          </cell>
          <cell r="G46">
            <v>1454.6669999999999</v>
          </cell>
          <cell r="H46">
            <v>422283.90600000002</v>
          </cell>
          <cell r="I46">
            <v>0</v>
          </cell>
          <cell r="J46">
            <v>0</v>
          </cell>
          <cell r="K46">
            <v>0</v>
          </cell>
          <cell r="L46">
            <v>0.39689999999999998</v>
          </cell>
          <cell r="M46">
            <v>0.34799999999999998</v>
          </cell>
          <cell r="N46">
            <v>0.34799999999999998</v>
          </cell>
          <cell r="O46">
            <v>0.43819999999999998</v>
          </cell>
        </row>
        <row r="47">
          <cell r="B47" t="str">
            <v>WV-4</v>
          </cell>
          <cell r="C47">
            <v>981120</v>
          </cell>
          <cell r="D47">
            <v>567475.72</v>
          </cell>
          <cell r="E47">
            <v>7253.3339999999998</v>
          </cell>
          <cell r="F47">
            <v>116.667</v>
          </cell>
          <cell r="G47">
            <v>3751.335</v>
          </cell>
          <cell r="H47">
            <v>402522.94400000002</v>
          </cell>
          <cell r="I47">
            <v>0</v>
          </cell>
          <cell r="J47">
            <v>0</v>
          </cell>
          <cell r="K47">
            <v>366.23399999999998</v>
          </cell>
          <cell r="L47">
            <v>1.7701</v>
          </cell>
          <cell r="M47">
            <v>1.0419</v>
          </cell>
          <cell r="N47">
            <v>1.0419</v>
          </cell>
          <cell r="O47">
            <v>1.8889</v>
          </cell>
        </row>
        <row r="48">
          <cell r="B48" t="str">
            <v>WV-5</v>
          </cell>
          <cell r="C48">
            <v>981120</v>
          </cell>
          <cell r="D48">
            <v>570988.92000000004</v>
          </cell>
          <cell r="E48">
            <v>10921.333000000001</v>
          </cell>
          <cell r="F48">
            <v>52.667000000000002</v>
          </cell>
          <cell r="G48">
            <v>3126</v>
          </cell>
          <cell r="H48">
            <v>396031.08</v>
          </cell>
          <cell r="I48">
            <v>0</v>
          </cell>
          <cell r="J48">
            <v>0</v>
          </cell>
          <cell r="K48">
            <v>0</v>
          </cell>
          <cell r="L48">
            <v>2.6837</v>
          </cell>
          <cell r="M48">
            <v>0.79620000000000002</v>
          </cell>
          <cell r="N48">
            <v>0.79620000000000002</v>
          </cell>
          <cell r="O48">
            <v>2.8441000000000001</v>
          </cell>
        </row>
        <row r="49">
          <cell r="B49" t="str">
            <v>WYO-1</v>
          </cell>
          <cell r="C49">
            <v>8385720</v>
          </cell>
          <cell r="D49">
            <v>0</v>
          </cell>
          <cell r="E49">
            <v>254008.16699999999</v>
          </cell>
          <cell r="F49">
            <v>141442.57999999999</v>
          </cell>
          <cell r="G49">
            <v>185210.33300000001</v>
          </cell>
          <cell r="H49">
            <v>7805058.9199999999</v>
          </cell>
          <cell r="I49">
            <v>2266.433</v>
          </cell>
          <cell r="J49">
            <v>6060.35</v>
          </cell>
          <cell r="K49">
            <v>74314.282999999996</v>
          </cell>
          <cell r="L49">
            <v>3.18</v>
          </cell>
          <cell r="M49">
            <v>5.0053999999999998</v>
          </cell>
          <cell r="N49">
            <v>5.0332999999999997</v>
          </cell>
          <cell r="O49">
            <v>7.8982999999999999</v>
          </cell>
        </row>
        <row r="50">
          <cell r="B50" t="str">
            <v>BLN-1</v>
          </cell>
          <cell r="C50">
            <v>230736</v>
          </cell>
          <cell r="D50">
            <v>1104</v>
          </cell>
          <cell r="E50">
            <v>9039.7669999999998</v>
          </cell>
          <cell r="F50">
            <v>2198.0329999999999</v>
          </cell>
          <cell r="G50">
            <v>3065.902</v>
          </cell>
          <cell r="H50">
            <v>215328.29800000001</v>
          </cell>
          <cell r="I50">
            <v>74.400000000000006</v>
          </cell>
          <cell r="J50">
            <v>230.45</v>
          </cell>
          <cell r="K50">
            <v>5969.0969999999998</v>
          </cell>
          <cell r="L50">
            <v>4.0621</v>
          </cell>
          <cell r="M50">
            <v>5.1966999999999999</v>
          </cell>
          <cell r="N50">
            <v>5.2304000000000004</v>
          </cell>
          <cell r="O50">
            <v>4.0941000000000001</v>
          </cell>
        </row>
        <row r="51">
          <cell r="B51" t="str">
            <v>BLN-2</v>
          </cell>
          <cell r="C51">
            <v>14680</v>
          </cell>
          <cell r="D51">
            <v>0</v>
          </cell>
          <cell r="E51">
            <v>0</v>
          </cell>
          <cell r="F51">
            <v>1159</v>
          </cell>
          <cell r="G51">
            <v>4227.0010000000002</v>
          </cell>
          <cell r="H51">
            <v>9293.9989999999998</v>
          </cell>
          <cell r="I51">
            <v>0</v>
          </cell>
          <cell r="J51">
            <v>0</v>
          </cell>
          <cell r="K51">
            <v>218</v>
          </cell>
          <cell r="L51">
            <v>0</v>
          </cell>
          <cell r="M51">
            <v>38.174399999999999</v>
          </cell>
          <cell r="N51">
            <v>38.174399999999999</v>
          </cell>
          <cell r="O51">
            <v>0</v>
          </cell>
        </row>
        <row r="52">
          <cell r="B52" t="str">
            <v>CHO-4</v>
          </cell>
          <cell r="C52">
            <v>3812160</v>
          </cell>
          <cell r="D52">
            <v>0</v>
          </cell>
          <cell r="E52">
            <v>165508.99900000001</v>
          </cell>
          <cell r="F52">
            <v>0</v>
          </cell>
          <cell r="G52">
            <v>200899.66800000001</v>
          </cell>
          <cell r="H52">
            <v>3445751.3330000001</v>
          </cell>
          <cell r="I52">
            <v>0</v>
          </cell>
          <cell r="J52">
            <v>1568.6489999999999</v>
          </cell>
          <cell r="K52">
            <v>111513.32</v>
          </cell>
          <cell r="L52">
            <v>4.5831</v>
          </cell>
          <cell r="M52">
            <v>8.6100999999999992</v>
          </cell>
          <cell r="N52">
            <v>8.6100999999999992</v>
          </cell>
          <cell r="O52">
            <v>4.5369999999999999</v>
          </cell>
        </row>
        <row r="53">
          <cell r="B53" t="str">
            <v>COL-3</v>
          </cell>
          <cell r="C53">
            <v>7423680</v>
          </cell>
          <cell r="D53">
            <v>0</v>
          </cell>
          <cell r="E53">
            <v>250379</v>
          </cell>
          <cell r="F53">
            <v>97186.664999999994</v>
          </cell>
          <cell r="G53">
            <v>329410.99900000001</v>
          </cell>
          <cell r="H53">
            <v>6746703.3360000001</v>
          </cell>
          <cell r="I53">
            <v>9953.25</v>
          </cell>
          <cell r="J53">
            <v>22906.501</v>
          </cell>
          <cell r="K53">
            <v>207586.878</v>
          </cell>
          <cell r="L53">
            <v>3.7206000000000001</v>
          </cell>
          <cell r="M53">
            <v>9.1601999999999997</v>
          </cell>
          <cell r="N53">
            <v>9.2989999999999995</v>
          </cell>
          <cell r="O53">
            <v>3.5245000000000002</v>
          </cell>
        </row>
        <row r="54">
          <cell r="B54" t="str">
            <v>COL-4</v>
          </cell>
          <cell r="C54">
            <v>7423680</v>
          </cell>
          <cell r="D54">
            <v>0</v>
          </cell>
          <cell r="E54">
            <v>284160</v>
          </cell>
          <cell r="F54">
            <v>213638</v>
          </cell>
          <cell r="G54">
            <v>242670.666</v>
          </cell>
          <cell r="H54">
            <v>6683211.3339999998</v>
          </cell>
          <cell r="I54">
            <v>0</v>
          </cell>
          <cell r="J54">
            <v>12183.299000000001</v>
          </cell>
          <cell r="K54">
            <v>193741.81299999999</v>
          </cell>
          <cell r="L54">
            <v>4.0784000000000002</v>
          </cell>
          <cell r="M54">
            <v>9.2756000000000007</v>
          </cell>
          <cell r="N54">
            <v>9.2756000000000007</v>
          </cell>
          <cell r="O54">
            <v>4</v>
          </cell>
        </row>
        <row r="55">
          <cell r="B55" t="str">
            <v>CRB-1</v>
          </cell>
          <cell r="C55">
            <v>672144</v>
          </cell>
          <cell r="D55">
            <v>0</v>
          </cell>
          <cell r="E55">
            <v>30521.663</v>
          </cell>
          <cell r="F55">
            <v>5288.5330000000004</v>
          </cell>
          <cell r="G55">
            <v>32728.382000000001</v>
          </cell>
          <cell r="H55">
            <v>603605.42200000002</v>
          </cell>
          <cell r="I55">
            <v>1840.7</v>
          </cell>
          <cell r="J55">
            <v>205.167</v>
          </cell>
          <cell r="K55">
            <v>9518.4500000000007</v>
          </cell>
          <cell r="L55">
            <v>5.1035000000000004</v>
          </cell>
          <cell r="M55">
            <v>7.4405999999999999</v>
          </cell>
          <cell r="N55">
            <v>7.7275</v>
          </cell>
          <cell r="O55">
            <v>4.7434000000000003</v>
          </cell>
        </row>
        <row r="56">
          <cell r="B56" t="str">
            <v>CRB-2</v>
          </cell>
          <cell r="C56">
            <v>1053360</v>
          </cell>
          <cell r="D56">
            <v>2271.4650000000001</v>
          </cell>
          <cell r="E56">
            <v>49075.248</v>
          </cell>
          <cell r="F56">
            <v>12475.749</v>
          </cell>
          <cell r="G56">
            <v>47449.500999999997</v>
          </cell>
          <cell r="H56">
            <v>942088.03700000001</v>
          </cell>
          <cell r="I56">
            <v>7945.634</v>
          </cell>
          <cell r="J56">
            <v>1744.5029999999999</v>
          </cell>
          <cell r="K56">
            <v>18124.346000000001</v>
          </cell>
          <cell r="L56">
            <v>5.7529000000000003</v>
          </cell>
          <cell r="M56">
            <v>7.9634</v>
          </cell>
          <cell r="N56">
            <v>8.7562999999999995</v>
          </cell>
          <cell r="O56">
            <v>4.8677999999999999</v>
          </cell>
        </row>
        <row r="57">
          <cell r="B57" t="str">
            <v>CRG-1</v>
          </cell>
          <cell r="C57">
            <v>4293696</v>
          </cell>
          <cell r="D57">
            <v>0</v>
          </cell>
          <cell r="E57">
            <v>61632</v>
          </cell>
          <cell r="F57">
            <v>0</v>
          </cell>
          <cell r="G57">
            <v>290925.86700000003</v>
          </cell>
          <cell r="H57">
            <v>3941138.1329999999</v>
          </cell>
          <cell r="I57">
            <v>0</v>
          </cell>
          <cell r="J57">
            <v>0</v>
          </cell>
          <cell r="K57">
            <v>48958.434000000001</v>
          </cell>
          <cell r="L57">
            <v>1.5397000000000001</v>
          </cell>
          <cell r="M57">
            <v>8.0312000000000001</v>
          </cell>
          <cell r="N57">
            <v>8.0312000000000001</v>
          </cell>
          <cell r="O57">
            <v>1.5</v>
          </cell>
        </row>
        <row r="58">
          <cell r="B58" t="str">
            <v>CRG-2</v>
          </cell>
          <cell r="C58">
            <v>4293696</v>
          </cell>
          <cell r="D58">
            <v>0</v>
          </cell>
          <cell r="E58">
            <v>65698</v>
          </cell>
          <cell r="F58">
            <v>20544</v>
          </cell>
          <cell r="G58">
            <v>112335.732</v>
          </cell>
          <cell r="H58">
            <v>4095118.2680000002</v>
          </cell>
          <cell r="I58">
            <v>0</v>
          </cell>
          <cell r="J58">
            <v>32.866999999999997</v>
          </cell>
          <cell r="K58">
            <v>63628.08</v>
          </cell>
          <cell r="L58">
            <v>1.579</v>
          </cell>
          <cell r="M58">
            <v>4.6486000000000001</v>
          </cell>
          <cell r="N58">
            <v>4.6486000000000001</v>
          </cell>
          <cell r="O58">
            <v>1.599</v>
          </cell>
        </row>
        <row r="59">
          <cell r="B59" t="str">
            <v>CUR-1</v>
          </cell>
          <cell r="C59">
            <v>1090359.6780000001</v>
          </cell>
          <cell r="D59">
            <v>333811.61099999998</v>
          </cell>
          <cell r="E59">
            <v>14912.637000000001</v>
          </cell>
          <cell r="F59">
            <v>15431.141</v>
          </cell>
          <cell r="G59">
            <v>22918.831999999999</v>
          </cell>
          <cell r="H59">
            <v>703285.45700000005</v>
          </cell>
          <cell r="I59">
            <v>0</v>
          </cell>
          <cell r="J59">
            <v>0</v>
          </cell>
          <cell r="K59">
            <v>50.985999999999997</v>
          </cell>
          <cell r="L59">
            <v>2.0764</v>
          </cell>
          <cell r="M59">
            <v>5.1779000000000002</v>
          </cell>
          <cell r="N59">
            <v>5.1779000000000002</v>
          </cell>
          <cell r="O59">
            <v>1.091</v>
          </cell>
        </row>
        <row r="60">
          <cell r="B60" t="str">
            <v>CUR-2</v>
          </cell>
          <cell r="C60">
            <v>1110419.6780000001</v>
          </cell>
          <cell r="D60">
            <v>366916.288</v>
          </cell>
          <cell r="E60">
            <v>17610.902999999998</v>
          </cell>
          <cell r="F60">
            <v>22305.723000000002</v>
          </cell>
          <cell r="G60">
            <v>27418.373</v>
          </cell>
          <cell r="H60">
            <v>676168.39099999995</v>
          </cell>
          <cell r="I60">
            <v>0</v>
          </cell>
          <cell r="J60">
            <v>0</v>
          </cell>
          <cell r="K60">
            <v>208.99600000000001</v>
          </cell>
          <cell r="L60">
            <v>2.5384000000000002</v>
          </cell>
          <cell r="M60">
            <v>6.8788999999999998</v>
          </cell>
          <cell r="N60">
            <v>6.8788999999999998</v>
          </cell>
          <cell r="O60">
            <v>1.2952999999999999</v>
          </cell>
        </row>
        <row r="61">
          <cell r="B61" t="str">
            <v>CUR-3</v>
          </cell>
          <cell r="C61">
            <v>1410617</v>
          </cell>
          <cell r="D61">
            <v>177101.84099999999</v>
          </cell>
          <cell r="E61">
            <v>17771.440999999999</v>
          </cell>
          <cell r="F61">
            <v>13347.892</v>
          </cell>
          <cell r="G61">
            <v>50585.46</v>
          </cell>
          <cell r="H61">
            <v>1151810.3659999999</v>
          </cell>
          <cell r="I61">
            <v>7709.8519999999999</v>
          </cell>
          <cell r="J61">
            <v>15075.518</v>
          </cell>
          <cell r="K61">
            <v>16391.901999999998</v>
          </cell>
          <cell r="L61">
            <v>2.1787000000000001</v>
          </cell>
          <cell r="M61">
            <v>7.8471000000000002</v>
          </cell>
          <cell r="N61">
            <v>8.4812999999999992</v>
          </cell>
          <cell r="O61">
            <v>0.74880000000000002</v>
          </cell>
        </row>
        <row r="62">
          <cell r="B62" t="str">
            <v>DJ-1</v>
          </cell>
          <cell r="C62">
            <v>1063392</v>
          </cell>
          <cell r="D62">
            <v>0</v>
          </cell>
          <cell r="E62">
            <v>10004.633</v>
          </cell>
          <cell r="F62">
            <v>0</v>
          </cell>
          <cell r="G62">
            <v>22553.268</v>
          </cell>
          <cell r="H62">
            <v>1030834.099</v>
          </cell>
          <cell r="I62">
            <v>0</v>
          </cell>
          <cell r="J62">
            <v>0</v>
          </cell>
          <cell r="K62">
            <v>36588.533000000003</v>
          </cell>
          <cell r="L62">
            <v>0.96120000000000005</v>
          </cell>
          <cell r="M62">
            <v>5.6143999999999998</v>
          </cell>
          <cell r="N62">
            <v>5.6143999999999998</v>
          </cell>
          <cell r="O62">
            <v>0.98319999999999996</v>
          </cell>
        </row>
        <row r="63">
          <cell r="B63" t="str">
            <v>DJ-2</v>
          </cell>
          <cell r="C63">
            <v>1063392</v>
          </cell>
          <cell r="D63">
            <v>356.90199999999999</v>
          </cell>
          <cell r="E63">
            <v>66038</v>
          </cell>
          <cell r="F63">
            <v>5038.5330000000004</v>
          </cell>
          <cell r="G63">
            <v>13553.867</v>
          </cell>
          <cell r="H63">
            <v>978404.69799999997</v>
          </cell>
          <cell r="I63">
            <v>0</v>
          </cell>
          <cell r="J63">
            <v>0</v>
          </cell>
          <cell r="K63">
            <v>40571.999000000003</v>
          </cell>
          <cell r="L63">
            <v>6.3228</v>
          </cell>
          <cell r="M63">
            <v>5.9343000000000004</v>
          </cell>
          <cell r="N63">
            <v>5.9343000000000004</v>
          </cell>
          <cell r="O63">
            <v>6.4896000000000003</v>
          </cell>
        </row>
        <row r="64">
          <cell r="B64" t="str">
            <v>DJ-3</v>
          </cell>
          <cell r="C64">
            <v>2207040</v>
          </cell>
          <cell r="D64">
            <v>0</v>
          </cell>
          <cell r="E64">
            <v>62619.332999999999</v>
          </cell>
          <cell r="F64">
            <v>0</v>
          </cell>
          <cell r="G64">
            <v>101211</v>
          </cell>
          <cell r="H64">
            <v>2043209.6669999999</v>
          </cell>
          <cell r="I64">
            <v>0</v>
          </cell>
          <cell r="J64">
            <v>205.13300000000001</v>
          </cell>
          <cell r="K64">
            <v>75982.985000000001</v>
          </cell>
          <cell r="L64">
            <v>2.9735999999999998</v>
          </cell>
          <cell r="M64">
            <v>8.2726000000000006</v>
          </cell>
          <cell r="N64">
            <v>8.2726000000000006</v>
          </cell>
          <cell r="O64">
            <v>2.9649000000000001</v>
          </cell>
        </row>
        <row r="65">
          <cell r="B65" t="str">
            <v>DJ-4</v>
          </cell>
          <cell r="C65">
            <v>3310560</v>
          </cell>
          <cell r="D65">
            <v>0</v>
          </cell>
          <cell r="E65">
            <v>52943</v>
          </cell>
          <cell r="F65">
            <v>47349.5</v>
          </cell>
          <cell r="G65">
            <v>239904.5</v>
          </cell>
          <cell r="H65">
            <v>2970363</v>
          </cell>
          <cell r="I65">
            <v>0</v>
          </cell>
          <cell r="J65">
            <v>1053.817</v>
          </cell>
          <cell r="K65">
            <v>185821.01800000001</v>
          </cell>
          <cell r="L65">
            <v>1.7512000000000001</v>
          </cell>
          <cell r="M65">
            <v>14.554500000000001</v>
          </cell>
          <cell r="N65">
            <v>14.554500000000001</v>
          </cell>
          <cell r="O65">
            <v>1.6712</v>
          </cell>
        </row>
        <row r="66">
          <cell r="B66" t="str">
            <v>GAD-1</v>
          </cell>
          <cell r="C66">
            <v>598179</v>
          </cell>
          <cell r="D66">
            <v>542514.06000000006</v>
          </cell>
          <cell r="E66">
            <v>0</v>
          </cell>
          <cell r="F66">
            <v>0</v>
          </cell>
          <cell r="G66">
            <v>1201.9000000000001</v>
          </cell>
          <cell r="H66">
            <v>54463.040000000001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2.1591999999999998</v>
          </cell>
          <cell r="N66">
            <v>2.1591999999999998</v>
          </cell>
          <cell r="O66">
            <v>0</v>
          </cell>
        </row>
        <row r="67">
          <cell r="B67" t="str">
            <v>GAD-2</v>
          </cell>
          <cell r="C67">
            <v>744918</v>
          </cell>
          <cell r="D67">
            <v>638159.04599999997</v>
          </cell>
          <cell r="E67">
            <v>0</v>
          </cell>
          <cell r="F67">
            <v>0</v>
          </cell>
          <cell r="G67">
            <v>15444.85</v>
          </cell>
          <cell r="H67">
            <v>91314.104000000007</v>
          </cell>
          <cell r="I67">
            <v>0</v>
          </cell>
          <cell r="J67">
            <v>0</v>
          </cell>
          <cell r="K67">
            <v>522.33299999999997</v>
          </cell>
          <cell r="L67">
            <v>0</v>
          </cell>
          <cell r="M67">
            <v>14.956300000000001</v>
          </cell>
          <cell r="N67">
            <v>14.956300000000001</v>
          </cell>
          <cell r="O67">
            <v>0</v>
          </cell>
        </row>
        <row r="68">
          <cell r="B68" t="str">
            <v>GAD-3</v>
          </cell>
          <cell r="C68">
            <v>1003200</v>
          </cell>
          <cell r="D68">
            <v>836530</v>
          </cell>
          <cell r="E68">
            <v>0</v>
          </cell>
          <cell r="F68">
            <v>17321.666000000001</v>
          </cell>
          <cell r="G68">
            <v>8475.0010000000002</v>
          </cell>
          <cell r="H68">
            <v>140873.33300000001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15.4777</v>
          </cell>
          <cell r="N68">
            <v>15.4777</v>
          </cell>
          <cell r="O68">
            <v>0</v>
          </cell>
        </row>
        <row r="69">
          <cell r="B69" t="str">
            <v>GAD-4</v>
          </cell>
          <cell r="C69">
            <v>401280</v>
          </cell>
          <cell r="D69">
            <v>263269.56</v>
          </cell>
          <cell r="E69">
            <v>0</v>
          </cell>
          <cell r="F69">
            <v>0</v>
          </cell>
          <cell r="G69">
            <v>4781.9989999999998</v>
          </cell>
          <cell r="H69">
            <v>133228.44099999999</v>
          </cell>
          <cell r="I69">
            <v>0</v>
          </cell>
          <cell r="J69">
            <v>0</v>
          </cell>
          <cell r="K69">
            <v>46.8</v>
          </cell>
          <cell r="L69">
            <v>0</v>
          </cell>
          <cell r="M69">
            <v>3.4988999999999999</v>
          </cell>
          <cell r="N69">
            <v>3.4988999999999999</v>
          </cell>
          <cell r="O69">
            <v>0</v>
          </cell>
        </row>
        <row r="70">
          <cell r="B70" t="str">
            <v>GAD-5</v>
          </cell>
          <cell r="C70">
            <v>401280</v>
          </cell>
          <cell r="D70">
            <v>270994.59999999998</v>
          </cell>
          <cell r="E70">
            <v>0</v>
          </cell>
          <cell r="F70">
            <v>1621.3330000000001</v>
          </cell>
          <cell r="G70">
            <v>4205.3310000000001</v>
          </cell>
          <cell r="H70">
            <v>124458.736</v>
          </cell>
          <cell r="I70">
            <v>0</v>
          </cell>
          <cell r="J70">
            <v>0</v>
          </cell>
          <cell r="K70">
            <v>46.8</v>
          </cell>
          <cell r="L70">
            <v>0</v>
          </cell>
          <cell r="M70">
            <v>4.5082000000000004</v>
          </cell>
          <cell r="N70">
            <v>4.5082000000000004</v>
          </cell>
          <cell r="O70">
            <v>0</v>
          </cell>
        </row>
        <row r="71">
          <cell r="B71" t="str">
            <v>GAD-6</v>
          </cell>
          <cell r="C71">
            <v>401280</v>
          </cell>
          <cell r="D71">
            <v>272135.44</v>
          </cell>
          <cell r="E71">
            <v>3919.3330000000001</v>
          </cell>
          <cell r="F71">
            <v>0</v>
          </cell>
          <cell r="G71">
            <v>6395.3329999999996</v>
          </cell>
          <cell r="H71">
            <v>118829.894</v>
          </cell>
          <cell r="I71">
            <v>0</v>
          </cell>
          <cell r="J71">
            <v>0</v>
          </cell>
          <cell r="K71">
            <v>46.8</v>
          </cell>
          <cell r="L71">
            <v>3.1930000000000001</v>
          </cell>
          <cell r="M71">
            <v>5.1444000000000001</v>
          </cell>
          <cell r="N71">
            <v>5.1444000000000001</v>
          </cell>
          <cell r="O71">
            <v>1.0206999999999999</v>
          </cell>
        </row>
        <row r="72">
          <cell r="B72" t="str">
            <v>HDN-1</v>
          </cell>
          <cell r="C72">
            <v>1845888</v>
          </cell>
          <cell r="D72">
            <v>0</v>
          </cell>
          <cell r="E72">
            <v>48149.733</v>
          </cell>
          <cell r="F72">
            <v>14922.398999999999</v>
          </cell>
          <cell r="G72">
            <v>31672.532999999999</v>
          </cell>
          <cell r="H72">
            <v>1751143.335</v>
          </cell>
          <cell r="I72">
            <v>0</v>
          </cell>
          <cell r="J72">
            <v>2488.5</v>
          </cell>
          <cell r="K72">
            <v>36721.733</v>
          </cell>
          <cell r="L72">
            <v>2.6760000000000002</v>
          </cell>
          <cell r="M72">
            <v>4.7729999999999997</v>
          </cell>
          <cell r="N72">
            <v>4.7729999999999997</v>
          </cell>
          <cell r="O72">
            <v>2.7259000000000002</v>
          </cell>
        </row>
        <row r="73">
          <cell r="B73" t="str">
            <v>HDN-2</v>
          </cell>
          <cell r="C73">
            <v>2628384</v>
          </cell>
          <cell r="D73">
            <v>0</v>
          </cell>
          <cell r="E73">
            <v>97424.7</v>
          </cell>
          <cell r="F73">
            <v>42601.2</v>
          </cell>
          <cell r="G73">
            <v>43007.298999999999</v>
          </cell>
          <cell r="H73">
            <v>2445350.801</v>
          </cell>
          <cell r="I73">
            <v>37.75</v>
          </cell>
          <cell r="J73">
            <v>0</v>
          </cell>
          <cell r="K73">
            <v>10902.165999999999</v>
          </cell>
          <cell r="L73">
            <v>3.8329</v>
          </cell>
          <cell r="M73">
            <v>3.8132000000000001</v>
          </cell>
          <cell r="N73">
            <v>3.8147000000000002</v>
          </cell>
          <cell r="O73">
            <v>3.8734000000000002</v>
          </cell>
        </row>
        <row r="74">
          <cell r="B74" t="str">
            <v>HRM-1</v>
          </cell>
          <cell r="C74">
            <v>2366975.41</v>
          </cell>
          <cell r="D74">
            <v>80389.322</v>
          </cell>
          <cell r="E74">
            <v>139675.89199999999</v>
          </cell>
          <cell r="F74">
            <v>28173.9</v>
          </cell>
          <cell r="G74">
            <v>59673.667999999998</v>
          </cell>
          <cell r="H74">
            <v>2059046.436</v>
          </cell>
          <cell r="I74">
            <v>0</v>
          </cell>
          <cell r="J74">
            <v>0</v>
          </cell>
          <cell r="K74">
            <v>0</v>
          </cell>
          <cell r="L74">
            <v>6.3525999999999998</v>
          </cell>
          <cell r="M74">
            <v>4.0918000000000001</v>
          </cell>
          <cell r="N74">
            <v>4.0918000000000001</v>
          </cell>
          <cell r="O74">
            <v>6.1845999999999997</v>
          </cell>
        </row>
        <row r="75">
          <cell r="B75" t="str">
            <v>HRM-2</v>
          </cell>
          <cell r="C75">
            <v>2366975.41</v>
          </cell>
          <cell r="D75">
            <v>141814.39499999999</v>
          </cell>
          <cell r="E75">
            <v>122296.067</v>
          </cell>
          <cell r="F75">
            <v>19413.841</v>
          </cell>
          <cell r="G75">
            <v>60437.940999999999</v>
          </cell>
          <cell r="H75">
            <v>2023013.166</v>
          </cell>
          <cell r="I75">
            <v>0</v>
          </cell>
          <cell r="J75">
            <v>0</v>
          </cell>
          <cell r="K75">
            <v>0</v>
          </cell>
          <cell r="L75">
            <v>5.7005999999999997</v>
          </cell>
          <cell r="M75">
            <v>3.7972999999999999</v>
          </cell>
          <cell r="N75">
            <v>3.7972999999999999</v>
          </cell>
          <cell r="O75">
            <v>5.4520999999999997</v>
          </cell>
        </row>
        <row r="76">
          <cell r="B76" t="str">
            <v>HTG-1</v>
          </cell>
          <cell r="C76">
            <v>4464240</v>
          </cell>
          <cell r="D76">
            <v>0</v>
          </cell>
          <cell r="E76">
            <v>127003</v>
          </cell>
          <cell r="F76">
            <v>94703.418000000005</v>
          </cell>
          <cell r="G76">
            <v>308941.24800000002</v>
          </cell>
          <cell r="H76">
            <v>3933592.3339999998</v>
          </cell>
          <cell r="I76">
            <v>66890.482999999993</v>
          </cell>
          <cell r="J76">
            <v>4167.5659999999998</v>
          </cell>
          <cell r="K76">
            <v>98177.865000000005</v>
          </cell>
          <cell r="L76">
            <v>4.7750000000000004</v>
          </cell>
          <cell r="M76">
            <v>11.6662</v>
          </cell>
          <cell r="N76">
            <v>13.208399999999999</v>
          </cell>
          <cell r="O76">
            <v>2.9729000000000001</v>
          </cell>
        </row>
        <row r="77">
          <cell r="B77" t="str">
            <v>HTG-2</v>
          </cell>
          <cell r="C77">
            <v>4514400</v>
          </cell>
          <cell r="D77">
            <v>0</v>
          </cell>
          <cell r="E77">
            <v>205822.5</v>
          </cell>
          <cell r="F77">
            <v>29962.5</v>
          </cell>
          <cell r="G77">
            <v>271650</v>
          </cell>
          <cell r="H77">
            <v>4006965</v>
          </cell>
          <cell r="I77">
            <v>36441.366000000002</v>
          </cell>
          <cell r="J77">
            <v>20002.951000000001</v>
          </cell>
          <cell r="K77">
            <v>90340.913</v>
          </cell>
          <cell r="L77">
            <v>5.7507000000000001</v>
          </cell>
          <cell r="M77">
            <v>9.5612999999999992</v>
          </cell>
          <cell r="N77">
            <v>10.4071</v>
          </cell>
          <cell r="O77">
            <v>4.7644000000000002</v>
          </cell>
        </row>
        <row r="78">
          <cell r="B78" t="str">
            <v>HTR-1</v>
          </cell>
          <cell r="C78">
            <v>4313760</v>
          </cell>
          <cell r="D78">
            <v>0</v>
          </cell>
          <cell r="E78">
            <v>103200</v>
          </cell>
          <cell r="F78">
            <v>61712.165999999997</v>
          </cell>
          <cell r="G78">
            <v>179775.83100000001</v>
          </cell>
          <cell r="H78">
            <v>3969072.003</v>
          </cell>
          <cell r="I78">
            <v>33372.582999999999</v>
          </cell>
          <cell r="J78">
            <v>48914.336000000003</v>
          </cell>
          <cell r="K78">
            <v>91073.202999999994</v>
          </cell>
          <cell r="L78">
            <v>3.3536999999999999</v>
          </cell>
          <cell r="M78">
            <v>9.06</v>
          </cell>
          <cell r="N78">
            <v>9.8526000000000007</v>
          </cell>
          <cell r="O78">
            <v>2.5</v>
          </cell>
        </row>
        <row r="79">
          <cell r="B79" t="str">
            <v>HTR-2</v>
          </cell>
          <cell r="C79">
            <v>4313760</v>
          </cell>
          <cell r="D79">
            <v>0</v>
          </cell>
          <cell r="E79">
            <v>122571.5</v>
          </cell>
          <cell r="F79">
            <v>34729.667999999998</v>
          </cell>
          <cell r="G79">
            <v>212355.49900000001</v>
          </cell>
          <cell r="H79">
            <v>3944103.3330000001</v>
          </cell>
          <cell r="I79">
            <v>19541.016</v>
          </cell>
          <cell r="J79">
            <v>65407.366000000002</v>
          </cell>
          <cell r="K79">
            <v>97618.735000000001</v>
          </cell>
          <cell r="L79">
            <v>3.4946000000000002</v>
          </cell>
          <cell r="M79">
            <v>9.7850999999999999</v>
          </cell>
          <cell r="N79">
            <v>10.251300000000001</v>
          </cell>
          <cell r="O79">
            <v>2.9693000000000001</v>
          </cell>
        </row>
        <row r="80">
          <cell r="B80" t="str">
            <v>HTR-3</v>
          </cell>
          <cell r="C80">
            <v>4614720</v>
          </cell>
          <cell r="D80">
            <v>0</v>
          </cell>
          <cell r="E80">
            <v>198635.66699999999</v>
          </cell>
          <cell r="F80">
            <v>172154.99900000001</v>
          </cell>
          <cell r="G80">
            <v>196948.99900000001</v>
          </cell>
          <cell r="H80">
            <v>4046980.335</v>
          </cell>
          <cell r="I80">
            <v>23668.6</v>
          </cell>
          <cell r="J80">
            <v>59806.498</v>
          </cell>
          <cell r="K80">
            <v>142384.82999999999</v>
          </cell>
          <cell r="L80">
            <v>5.2361000000000004</v>
          </cell>
          <cell r="M80">
            <v>12.9367</v>
          </cell>
          <cell r="N80">
            <v>13.4727</v>
          </cell>
          <cell r="O80">
            <v>4.4981</v>
          </cell>
        </row>
        <row r="81">
          <cell r="B81" t="str">
            <v>JB-1</v>
          </cell>
          <cell r="C81">
            <v>5316960</v>
          </cell>
          <cell r="D81">
            <v>0</v>
          </cell>
          <cell r="E81">
            <v>162930.83300000001</v>
          </cell>
          <cell r="F81">
            <v>82229.501000000004</v>
          </cell>
          <cell r="G81">
            <v>272119.66600000003</v>
          </cell>
          <cell r="H81">
            <v>4799680</v>
          </cell>
          <cell r="I81">
            <v>0</v>
          </cell>
          <cell r="J81">
            <v>2528.6309999999999</v>
          </cell>
          <cell r="K81">
            <v>252148.935</v>
          </cell>
          <cell r="L81">
            <v>3.2831999999999999</v>
          </cell>
          <cell r="M81">
            <v>11.8165</v>
          </cell>
          <cell r="N81">
            <v>11.8165</v>
          </cell>
          <cell r="O81">
            <v>3.2023000000000001</v>
          </cell>
        </row>
        <row r="82">
          <cell r="B82" t="str">
            <v>JB-2</v>
          </cell>
          <cell r="C82">
            <v>5316960</v>
          </cell>
          <cell r="D82">
            <v>14310</v>
          </cell>
          <cell r="E82">
            <v>270556.16700000002</v>
          </cell>
          <cell r="F82">
            <v>85206.334000000003</v>
          </cell>
          <cell r="G82">
            <v>335693.163</v>
          </cell>
          <cell r="H82">
            <v>4611194.3360000001</v>
          </cell>
          <cell r="I82">
            <v>0</v>
          </cell>
          <cell r="J82">
            <v>6454.1130000000003</v>
          </cell>
          <cell r="K82">
            <v>249308.54800000001</v>
          </cell>
          <cell r="L82">
            <v>5.5422000000000002</v>
          </cell>
          <cell r="M82">
            <v>13.446899999999999</v>
          </cell>
          <cell r="N82">
            <v>13.446899999999999</v>
          </cell>
          <cell r="O82">
            <v>5.3174999999999999</v>
          </cell>
        </row>
        <row r="83">
          <cell r="B83" t="str">
            <v>JB-3</v>
          </cell>
          <cell r="C83">
            <v>5316960</v>
          </cell>
          <cell r="D83">
            <v>25440</v>
          </cell>
          <cell r="E83">
            <v>262915.33299999998</v>
          </cell>
          <cell r="F83">
            <v>96751.5</v>
          </cell>
          <cell r="G83">
            <v>261987.829</v>
          </cell>
          <cell r="H83">
            <v>4669865.3380000005</v>
          </cell>
          <cell r="I83">
            <v>627</v>
          </cell>
          <cell r="J83">
            <v>5073.701</v>
          </cell>
          <cell r="K83">
            <v>299393.49300000002</v>
          </cell>
          <cell r="L83">
            <v>5.3426999999999998</v>
          </cell>
          <cell r="M83">
            <v>13.188700000000001</v>
          </cell>
          <cell r="N83">
            <v>13.2011</v>
          </cell>
          <cell r="O83">
            <v>5.1673999999999998</v>
          </cell>
        </row>
        <row r="84">
          <cell r="B84" t="str">
            <v>JB-4</v>
          </cell>
          <cell r="C84">
            <v>5316960</v>
          </cell>
          <cell r="D84">
            <v>0</v>
          </cell>
          <cell r="E84">
            <v>301702.50099999999</v>
          </cell>
          <cell r="F84">
            <v>16191.5</v>
          </cell>
          <cell r="G84">
            <v>359357.66499999998</v>
          </cell>
          <cell r="H84">
            <v>4639708.3339999998</v>
          </cell>
          <cell r="I84">
            <v>867.43299999999999</v>
          </cell>
          <cell r="J84">
            <v>3145.752</v>
          </cell>
          <cell r="K84">
            <v>365207.30699999997</v>
          </cell>
          <cell r="L84">
            <v>6.1231</v>
          </cell>
          <cell r="M84">
            <v>14.832800000000001</v>
          </cell>
          <cell r="N84">
            <v>14.850099999999999</v>
          </cell>
          <cell r="O84">
            <v>5.9297000000000004</v>
          </cell>
        </row>
        <row r="85">
          <cell r="B85" t="str">
            <v>LMT-1</v>
          </cell>
          <cell r="C85">
            <v>140448</v>
          </cell>
          <cell r="D85">
            <v>13776.237999999999</v>
          </cell>
          <cell r="E85">
            <v>5208</v>
          </cell>
          <cell r="F85">
            <v>0</v>
          </cell>
          <cell r="G85">
            <v>199.73400000000001</v>
          </cell>
          <cell r="H85">
            <v>121264.02800000001</v>
          </cell>
          <cell r="I85">
            <v>0</v>
          </cell>
          <cell r="J85">
            <v>0</v>
          </cell>
          <cell r="K85">
            <v>251.1</v>
          </cell>
          <cell r="L85">
            <v>4.1178999999999997</v>
          </cell>
          <cell r="M85">
            <v>0.37119999999999997</v>
          </cell>
          <cell r="N85">
            <v>0.37119999999999997</v>
          </cell>
          <cell r="O85">
            <v>3.875</v>
          </cell>
        </row>
        <row r="86">
          <cell r="B86" t="str">
            <v>LS-1</v>
          </cell>
          <cell r="C86">
            <v>355736.946</v>
          </cell>
          <cell r="D86">
            <v>67605.83</v>
          </cell>
          <cell r="E86">
            <v>11676.200999999999</v>
          </cell>
          <cell r="F86">
            <v>0</v>
          </cell>
          <cell r="G86">
            <v>4932.4979999999996</v>
          </cell>
          <cell r="H86">
            <v>271522.41700000002</v>
          </cell>
          <cell r="I86">
            <v>107.63</v>
          </cell>
          <cell r="J86">
            <v>0</v>
          </cell>
          <cell r="K86">
            <v>0</v>
          </cell>
          <cell r="L86">
            <v>4.1609999999999996</v>
          </cell>
          <cell r="M86">
            <v>1.7842</v>
          </cell>
          <cell r="N86">
            <v>1.8230999999999999</v>
          </cell>
          <cell r="O86">
            <v>0.7036</v>
          </cell>
        </row>
        <row r="87">
          <cell r="B87" t="str">
            <v>LS-2</v>
          </cell>
          <cell r="C87">
            <v>355736.946</v>
          </cell>
          <cell r="D87">
            <v>52947.713000000003</v>
          </cell>
          <cell r="E87">
            <v>11676.200999999999</v>
          </cell>
          <cell r="F87">
            <v>7737.55</v>
          </cell>
          <cell r="G87">
            <v>7073.8090000000002</v>
          </cell>
          <cell r="H87">
            <v>276301.67300000001</v>
          </cell>
          <cell r="I87">
            <v>0</v>
          </cell>
          <cell r="J87">
            <v>107.63</v>
          </cell>
          <cell r="K87">
            <v>0</v>
          </cell>
          <cell r="L87">
            <v>4.0545</v>
          </cell>
          <cell r="M87">
            <v>5.1247999999999996</v>
          </cell>
          <cell r="N87">
            <v>5.1247999999999996</v>
          </cell>
          <cell r="O87">
            <v>0.7036</v>
          </cell>
        </row>
        <row r="88">
          <cell r="B88" t="str">
            <v>LS-3</v>
          </cell>
          <cell r="C88">
            <v>464400</v>
          </cell>
          <cell r="D88">
            <v>60532.2</v>
          </cell>
          <cell r="E88">
            <v>18172.5</v>
          </cell>
          <cell r="F88">
            <v>0</v>
          </cell>
          <cell r="G88">
            <v>8692.5</v>
          </cell>
          <cell r="H88">
            <v>377002.8</v>
          </cell>
          <cell r="I88">
            <v>0</v>
          </cell>
          <cell r="J88">
            <v>159.5</v>
          </cell>
          <cell r="K88">
            <v>396.16699999999997</v>
          </cell>
          <cell r="L88">
            <v>4.5986000000000002</v>
          </cell>
          <cell r="M88">
            <v>2.3978000000000002</v>
          </cell>
          <cell r="N88">
            <v>2.3978000000000002</v>
          </cell>
          <cell r="O88">
            <v>0.84130000000000005</v>
          </cell>
        </row>
        <row r="89">
          <cell r="B89" t="str">
            <v>NTN-1</v>
          </cell>
          <cell r="C89">
            <v>1605120</v>
          </cell>
          <cell r="D89">
            <v>0</v>
          </cell>
          <cell r="E89">
            <v>38357.334000000003</v>
          </cell>
          <cell r="F89">
            <v>61168.000999999997</v>
          </cell>
          <cell r="G89">
            <v>9911.9989999999998</v>
          </cell>
          <cell r="H89">
            <v>1495682.666</v>
          </cell>
          <cell r="I89">
            <v>2204.3330000000001</v>
          </cell>
          <cell r="J89">
            <v>8280.3649999999998</v>
          </cell>
          <cell r="K89">
            <v>63511.517</v>
          </cell>
          <cell r="L89">
            <v>2.6440999999999999</v>
          </cell>
          <cell r="M89">
            <v>9.1189</v>
          </cell>
          <cell r="N89">
            <v>9.2596000000000007</v>
          </cell>
          <cell r="O89">
            <v>2.4971999999999999</v>
          </cell>
        </row>
        <row r="90">
          <cell r="B90" t="str">
            <v>NTN-2</v>
          </cell>
          <cell r="C90">
            <v>2106720</v>
          </cell>
          <cell r="D90">
            <v>0</v>
          </cell>
          <cell r="E90">
            <v>82180</v>
          </cell>
          <cell r="F90">
            <v>42959</v>
          </cell>
          <cell r="G90">
            <v>29459.5</v>
          </cell>
          <cell r="H90">
            <v>1952121.5</v>
          </cell>
          <cell r="I90">
            <v>5558.8180000000002</v>
          </cell>
          <cell r="J90">
            <v>10678.384</v>
          </cell>
          <cell r="K90">
            <v>73238.880000000005</v>
          </cell>
          <cell r="L90">
            <v>4.3129999999999997</v>
          </cell>
          <cell r="M90">
            <v>7.7220000000000004</v>
          </cell>
          <cell r="N90">
            <v>7.9965999999999999</v>
          </cell>
          <cell r="O90">
            <v>4.0763999999999996</v>
          </cell>
        </row>
        <row r="91">
          <cell r="B91" t="str">
            <v>NTN-3</v>
          </cell>
          <cell r="C91">
            <v>3310560</v>
          </cell>
          <cell r="D91">
            <v>0</v>
          </cell>
          <cell r="E91">
            <v>62881.5</v>
          </cell>
          <cell r="F91">
            <v>192005</v>
          </cell>
          <cell r="G91">
            <v>90244</v>
          </cell>
          <cell r="H91">
            <v>2965429.5</v>
          </cell>
          <cell r="I91">
            <v>8208.8009999999995</v>
          </cell>
          <cell r="J91">
            <v>30111.460999999999</v>
          </cell>
          <cell r="K91">
            <v>89864.701000000001</v>
          </cell>
          <cell r="L91">
            <v>2.3475000000000001</v>
          </cell>
          <cell r="M91">
            <v>12.385</v>
          </cell>
          <cell r="N91">
            <v>12.6378</v>
          </cell>
          <cell r="O91">
            <v>1.9849000000000001</v>
          </cell>
        </row>
        <row r="92">
          <cell r="B92" t="str">
            <v>WV-1</v>
          </cell>
          <cell r="C92">
            <v>392640</v>
          </cell>
          <cell r="D92">
            <v>232068.24</v>
          </cell>
          <cell r="E92">
            <v>36</v>
          </cell>
          <cell r="F92">
            <v>0</v>
          </cell>
          <cell r="G92">
            <v>5348.6660000000002</v>
          </cell>
          <cell r="H92">
            <v>155187.09400000001</v>
          </cell>
          <cell r="I92">
            <v>0</v>
          </cell>
          <cell r="J92">
            <v>0</v>
          </cell>
          <cell r="K92">
            <v>0</v>
          </cell>
          <cell r="L92">
            <v>2.3199999999999998E-2</v>
          </cell>
          <cell r="M92">
            <v>3.3317999999999999</v>
          </cell>
          <cell r="N92">
            <v>3.3317999999999999</v>
          </cell>
          <cell r="O92">
            <v>9.4000000000000004E-3</v>
          </cell>
        </row>
        <row r="93">
          <cell r="B93" t="str">
            <v>WV-2</v>
          </cell>
          <cell r="C93">
            <v>392640</v>
          </cell>
          <cell r="D93">
            <v>240236.6</v>
          </cell>
          <cell r="E93">
            <v>586.66700000000003</v>
          </cell>
          <cell r="F93">
            <v>0</v>
          </cell>
          <cell r="G93">
            <v>2287.3339999999998</v>
          </cell>
          <cell r="H93">
            <v>149529.399</v>
          </cell>
          <cell r="I93">
            <v>0</v>
          </cell>
          <cell r="J93">
            <v>0</v>
          </cell>
          <cell r="K93">
            <v>0</v>
          </cell>
          <cell r="L93">
            <v>0.39079999999999998</v>
          </cell>
          <cell r="M93">
            <v>1.5065999999999999</v>
          </cell>
          <cell r="N93">
            <v>1.5065999999999999</v>
          </cell>
          <cell r="O93">
            <v>0.15279999999999999</v>
          </cell>
        </row>
        <row r="94">
          <cell r="B94" t="str">
            <v>WV-3</v>
          </cell>
          <cell r="C94">
            <v>392640</v>
          </cell>
          <cell r="D94">
            <v>234018.96</v>
          </cell>
          <cell r="E94">
            <v>640</v>
          </cell>
          <cell r="F94">
            <v>0</v>
          </cell>
          <cell r="G94">
            <v>2274.6660000000002</v>
          </cell>
          <cell r="H94">
            <v>155706.37400000001</v>
          </cell>
          <cell r="I94">
            <v>0</v>
          </cell>
          <cell r="J94">
            <v>0</v>
          </cell>
          <cell r="K94">
            <v>0</v>
          </cell>
          <cell r="L94">
            <v>0.4093</v>
          </cell>
          <cell r="M94">
            <v>1.4398</v>
          </cell>
          <cell r="N94">
            <v>1.4398</v>
          </cell>
          <cell r="O94">
            <v>0.16669999999999999</v>
          </cell>
        </row>
        <row r="95">
          <cell r="B95" t="str">
            <v>WV-4</v>
          </cell>
          <cell r="C95">
            <v>392640</v>
          </cell>
          <cell r="D95">
            <v>239741.84</v>
          </cell>
          <cell r="E95">
            <v>1353.3330000000001</v>
          </cell>
          <cell r="F95">
            <v>0</v>
          </cell>
          <cell r="G95">
            <v>1370.6659999999999</v>
          </cell>
          <cell r="H95">
            <v>150174.16099999999</v>
          </cell>
          <cell r="I95">
            <v>0</v>
          </cell>
          <cell r="J95">
            <v>0</v>
          </cell>
          <cell r="K95">
            <v>198.434</v>
          </cell>
          <cell r="L95">
            <v>0.8931</v>
          </cell>
          <cell r="M95">
            <v>1.0354000000000001</v>
          </cell>
          <cell r="N95">
            <v>1.0354000000000001</v>
          </cell>
          <cell r="O95">
            <v>0.35239999999999999</v>
          </cell>
        </row>
        <row r="96">
          <cell r="B96" t="str">
            <v>WV-5</v>
          </cell>
          <cell r="C96">
            <v>392640</v>
          </cell>
          <cell r="D96">
            <v>238433</v>
          </cell>
          <cell r="E96">
            <v>7716.6660000000002</v>
          </cell>
          <cell r="F96">
            <v>0</v>
          </cell>
          <cell r="G96">
            <v>2577.3359999999998</v>
          </cell>
          <cell r="H96">
            <v>143912.99799999999</v>
          </cell>
          <cell r="I96">
            <v>0</v>
          </cell>
          <cell r="J96">
            <v>0</v>
          </cell>
          <cell r="K96">
            <v>0</v>
          </cell>
          <cell r="L96">
            <v>5.0891999999999999</v>
          </cell>
          <cell r="M96">
            <v>1.7594000000000001</v>
          </cell>
          <cell r="N96">
            <v>1.7594000000000001</v>
          </cell>
          <cell r="O96">
            <v>2.0095000000000001</v>
          </cell>
        </row>
        <row r="97">
          <cell r="B97" t="str">
            <v>WYO-1</v>
          </cell>
          <cell r="C97">
            <v>3360720</v>
          </cell>
          <cell r="D97">
            <v>0</v>
          </cell>
          <cell r="E97">
            <v>131839.25</v>
          </cell>
          <cell r="F97">
            <v>122029.336</v>
          </cell>
          <cell r="G97">
            <v>54549.165000000001</v>
          </cell>
          <cell r="H97">
            <v>3052302.2489999998</v>
          </cell>
          <cell r="I97">
            <v>2458.0169999999998</v>
          </cell>
          <cell r="J97">
            <v>2995.6669999999999</v>
          </cell>
          <cell r="K97">
            <v>32376.564999999999</v>
          </cell>
          <cell r="L97">
            <v>4.2176999999999998</v>
          </cell>
          <cell r="M97">
            <v>6.5641999999999996</v>
          </cell>
          <cell r="N97">
            <v>6.6402999999999999</v>
          </cell>
          <cell r="O97">
            <v>4.0994999999999999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>
        <row r="1">
          <cell r="A1" t="str">
            <v>PacifiCorp</v>
          </cell>
        </row>
        <row r="3">
          <cell r="F3">
            <v>42736</v>
          </cell>
          <cell r="G3">
            <v>42767</v>
          </cell>
          <cell r="H3">
            <v>42795</v>
          </cell>
          <cell r="I3">
            <v>42826</v>
          </cell>
          <cell r="J3">
            <v>42856</v>
          </cell>
          <cell r="K3">
            <v>42887</v>
          </cell>
          <cell r="L3">
            <v>42917</v>
          </cell>
          <cell r="M3">
            <v>42948</v>
          </cell>
          <cell r="N3">
            <v>42979</v>
          </cell>
          <cell r="O3">
            <v>43009</v>
          </cell>
          <cell r="P3">
            <v>43040</v>
          </cell>
          <cell r="Q3">
            <v>43070</v>
          </cell>
        </row>
        <row r="590">
          <cell r="C590" t="str">
            <v>Carbon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Cholla</v>
          </cell>
          <cell r="E591">
            <v>10.624553289461497</v>
          </cell>
          <cell r="F591">
            <v>10.541965126368643</v>
          </cell>
          <cell r="G591">
            <v>10.542324478824876</v>
          </cell>
          <cell r="H591">
            <v>10.625150270772139</v>
          </cell>
          <cell r="I591">
            <v>11.218245086242083</v>
          </cell>
          <cell r="J591">
            <v>10.936059116688828</v>
          </cell>
          <cell r="K591">
            <v>10.840651215718147</v>
          </cell>
          <cell r="L591">
            <v>10.560063601540335</v>
          </cell>
          <cell r="M591">
            <v>10.541206276950119</v>
          </cell>
          <cell r="N591">
            <v>10.553720803322049</v>
          </cell>
          <cell r="O591">
            <v>10.537216121885972</v>
          </cell>
          <cell r="P591">
            <v>10.534725389573271</v>
          </cell>
          <cell r="Q591">
            <v>10.529624299593481</v>
          </cell>
        </row>
        <row r="592">
          <cell r="C592" t="str">
            <v>Colstrip</v>
          </cell>
          <cell r="E592">
            <v>10.450987591978359</v>
          </cell>
          <cell r="F592">
            <v>10.448164896915468</v>
          </cell>
          <cell r="G592">
            <v>10.437991199027012</v>
          </cell>
          <cell r="H592">
            <v>10.442980212734652</v>
          </cell>
          <cell r="I592">
            <v>10.464597497248116</v>
          </cell>
          <cell r="J592">
            <v>10.524344221693829</v>
          </cell>
          <cell r="K592">
            <v>10.439575236313297</v>
          </cell>
          <cell r="L592">
            <v>10.411541599104108</v>
          </cell>
          <cell r="M592">
            <v>10.446027258187895</v>
          </cell>
          <cell r="N592">
            <v>10.445321687004549</v>
          </cell>
          <cell r="O592">
            <v>10.443159179986813</v>
          </cell>
          <cell r="P592">
            <v>10.449107957347298</v>
          </cell>
          <cell r="Q592">
            <v>10.446444109095847</v>
          </cell>
        </row>
        <row r="593">
          <cell r="C593" t="str">
            <v>Craig</v>
          </cell>
          <cell r="E593">
            <v>10.060875768232002</v>
          </cell>
          <cell r="F593">
            <v>10.056465931454577</v>
          </cell>
          <cell r="G593">
            <v>10.052179725438574</v>
          </cell>
          <cell r="H593">
            <v>10.056650075808225</v>
          </cell>
          <cell r="I593">
            <v>10.04743781827661</v>
          </cell>
          <cell r="J593">
            <v>10.075383577312088</v>
          </cell>
          <cell r="K593">
            <v>10.072682459977912</v>
          </cell>
          <cell r="L593">
            <v>10.076973465581213</v>
          </cell>
          <cell r="M593">
            <v>10.058637002200809</v>
          </cell>
          <cell r="N593">
            <v>10.057696863574364</v>
          </cell>
          <cell r="O593">
            <v>10.056310575191034</v>
          </cell>
          <cell r="P593">
            <v>10.062772450704051</v>
          </cell>
          <cell r="Q593">
            <v>10.057832610204853</v>
          </cell>
        </row>
        <row r="594">
          <cell r="C594" t="str">
            <v>Dave Johnston</v>
          </cell>
          <cell r="E594">
            <v>11.270149717576871</v>
          </cell>
          <cell r="F594">
            <v>11.256444683530436</v>
          </cell>
          <cell r="G594">
            <v>11.280587255464459</v>
          </cell>
          <cell r="H594">
            <v>11.299536612396881</v>
          </cell>
          <cell r="I594">
            <v>11.290496148799027</v>
          </cell>
          <cell r="J594">
            <v>11.255018773403425</v>
          </cell>
          <cell r="K594">
            <v>11.250429679642085</v>
          </cell>
          <cell r="L594">
            <v>11.244872202090038</v>
          </cell>
          <cell r="M594">
            <v>11.275662653804376</v>
          </cell>
          <cell r="N594">
            <v>11.26652018633048</v>
          </cell>
          <cell r="O594">
            <v>11.259285000510744</v>
          </cell>
          <cell r="P594">
            <v>11.28390776300777</v>
          </cell>
          <cell r="Q594">
            <v>11.292295328957824</v>
          </cell>
        </row>
        <row r="595">
          <cell r="C595" t="str">
            <v>Hayden</v>
          </cell>
          <cell r="E595">
            <v>11.118993875147263</v>
          </cell>
          <cell r="F595">
            <v>11.145013879542509</v>
          </cell>
          <cell r="G595">
            <v>11.107713364558709</v>
          </cell>
          <cell r="H595">
            <v>11.122949200024816</v>
          </cell>
          <cell r="I595">
            <v>11.440600128341615</v>
          </cell>
          <cell r="J595">
            <v>11.426102826671793</v>
          </cell>
          <cell r="K595">
            <v>11.296396278626474</v>
          </cell>
          <cell r="L595">
            <v>10.997458641455623</v>
          </cell>
          <cell r="M595">
            <v>10.933920095745288</v>
          </cell>
          <cell r="N595">
            <v>10.983514461810215</v>
          </cell>
          <cell r="O595">
            <v>10.785941898247591</v>
          </cell>
          <cell r="P595">
            <v>11.143064647119276</v>
          </cell>
          <cell r="Q595">
            <v>11.089387331461884</v>
          </cell>
        </row>
        <row r="596">
          <cell r="C596" t="str">
            <v>Hunter</v>
          </cell>
          <cell r="E596">
            <v>10.296436392987708</v>
          </cell>
          <cell r="F596">
            <v>10.265880612143564</v>
          </cell>
          <cell r="G596">
            <v>10.266602970637647</v>
          </cell>
          <cell r="H596">
            <v>10.2680611025161</v>
          </cell>
          <cell r="I596">
            <v>10.412359109663717</v>
          </cell>
          <cell r="J596">
            <v>10.368183005896254</v>
          </cell>
          <cell r="K596">
            <v>10.36336164253029</v>
          </cell>
          <cell r="L596">
            <v>10.298531802470789</v>
          </cell>
          <cell r="M596">
            <v>10.276658084046606</v>
          </cell>
          <cell r="N596">
            <v>10.281669387019571</v>
          </cell>
          <cell r="O596">
            <v>10.277473971296056</v>
          </cell>
          <cell r="P596">
            <v>10.26991983827395</v>
          </cell>
          <cell r="Q596">
            <v>10.264882070321622</v>
          </cell>
        </row>
        <row r="597">
          <cell r="C597" t="str">
            <v>Huntington</v>
          </cell>
          <cell r="E597">
            <v>10.1004360996036</v>
          </cell>
          <cell r="F597">
            <v>9.9984700397597592</v>
          </cell>
          <cell r="G597">
            <v>10.029929728824525</v>
          </cell>
          <cell r="H597">
            <v>10.060985401733033</v>
          </cell>
          <cell r="I597">
            <v>10.472236292735262</v>
          </cell>
          <cell r="J597">
            <v>10.349622347068445</v>
          </cell>
          <cell r="K597">
            <v>10.288573130225458</v>
          </cell>
          <cell r="L597">
            <v>10.098668366647141</v>
          </cell>
          <cell r="M597">
            <v>10.027700041992649</v>
          </cell>
          <cell r="N597">
            <v>10.096309326028056</v>
          </cell>
          <cell r="O597">
            <v>10.101600425938354</v>
          </cell>
          <cell r="P597">
            <v>9.9792959176040839</v>
          </cell>
          <cell r="Q597">
            <v>9.9695185237773423</v>
          </cell>
        </row>
        <row r="598">
          <cell r="C598" t="str">
            <v>Jim Bridger</v>
          </cell>
          <cell r="E598">
            <v>10.298988906043778</v>
          </cell>
          <cell r="F598">
            <v>10.202628787462467</v>
          </cell>
          <cell r="G598">
            <v>10.220439923913421</v>
          </cell>
          <cell r="H598">
            <v>10.26609312726224</v>
          </cell>
          <cell r="I598">
            <v>10.702027033066331</v>
          </cell>
          <cell r="J598">
            <v>10.561070068213503</v>
          </cell>
          <cell r="K598">
            <v>10.445119437396247</v>
          </cell>
          <cell r="L598">
            <v>10.321673938507372</v>
          </cell>
          <cell r="M598">
            <v>10.267300075591937</v>
          </cell>
          <cell r="N598">
            <v>10.293402761729626</v>
          </cell>
          <cell r="O598">
            <v>10.313005359720687</v>
          </cell>
          <cell r="P598">
            <v>10.183761612124746</v>
          </cell>
          <cell r="Q598">
            <v>10.180922160231725</v>
          </cell>
        </row>
        <row r="599">
          <cell r="C599" t="str">
            <v>Naughton</v>
          </cell>
          <cell r="E599">
            <v>10.620941503919923</v>
          </cell>
          <cell r="F599">
            <v>10.619494688084789</v>
          </cell>
          <cell r="G599">
            <v>10.62448004201597</v>
          </cell>
          <cell r="H599">
            <v>10.622653050592755</v>
          </cell>
          <cell r="I599">
            <v>10.603678405770557</v>
          </cell>
          <cell r="J599">
            <v>10.677043394135119</v>
          </cell>
          <cell r="K599">
            <v>10.616513514985892</v>
          </cell>
          <cell r="L599">
            <v>10.614452126257758</v>
          </cell>
          <cell r="M599">
            <v>10.624560385909652</v>
          </cell>
          <cell r="N599">
            <v>10.62377072315561</v>
          </cell>
          <cell r="O599">
            <v>10.612640140978536</v>
          </cell>
          <cell r="P599">
            <v>10.613087509954205</v>
          </cell>
          <cell r="Q599">
            <v>10.607024974850829</v>
          </cell>
        </row>
        <row r="600">
          <cell r="C600" t="str">
            <v>Wyodak</v>
          </cell>
          <cell r="E600">
            <v>11.908157910665974</v>
          </cell>
          <cell r="F600">
            <v>11.982425850558599</v>
          </cell>
          <cell r="G600">
            <v>11.921262689061285</v>
          </cell>
          <cell r="H600">
            <v>11.904280821545798</v>
          </cell>
          <cell r="I600">
            <v>11.911138481941483</v>
          </cell>
          <cell r="J600">
            <v>11.894664026282079</v>
          </cell>
          <cell r="K600">
            <v>11.901343886678484</v>
          </cell>
          <cell r="L600">
            <v>11.87454679958133</v>
          </cell>
          <cell r="M600">
            <v>11.873990784909155</v>
          </cell>
          <cell r="N600">
            <v>11.883996614239903</v>
          </cell>
          <cell r="O600">
            <v>11.904102142479021</v>
          </cell>
          <cell r="P600">
            <v>11.941944110616577</v>
          </cell>
          <cell r="Q600">
            <v>11.928610926959985</v>
          </cell>
        </row>
        <row r="602">
          <cell r="C602" t="str">
            <v>Hermiston Purchase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5">
          <cell r="C605" t="str">
            <v>Chehalis</v>
          </cell>
          <cell r="E605">
            <v>7.3731831048657899</v>
          </cell>
          <cell r="F605">
            <v>7.3312742199283054</v>
          </cell>
          <cell r="G605">
            <v>7.3288871509084421</v>
          </cell>
          <cell r="H605">
            <v>7.4491033347195934</v>
          </cell>
          <cell r="I605">
            <v>7.2867993992427236</v>
          </cell>
          <cell r="J605">
            <v>7.4628414002519818</v>
          </cell>
          <cell r="K605">
            <v>7.4325347601631568</v>
          </cell>
          <cell r="L605">
            <v>7.3005754144008073</v>
          </cell>
          <cell r="M605">
            <v>7.4269085204405032</v>
          </cell>
          <cell r="N605">
            <v>7.2980826178332174</v>
          </cell>
          <cell r="O605">
            <v>7.2560695298293849</v>
          </cell>
          <cell r="P605">
            <v>7.85085485768772</v>
          </cell>
          <cell r="Q605">
            <v>7.896398482404142</v>
          </cell>
        </row>
        <row r="606">
          <cell r="C606" t="str">
            <v>Currant Creek</v>
          </cell>
          <cell r="E606">
            <v>7.4088551929507824</v>
          </cell>
          <cell r="F606">
            <v>7.4611402355831604</v>
          </cell>
          <cell r="G606">
            <v>7.3504760075170736</v>
          </cell>
          <cell r="H606">
            <v>7.4571770524572853</v>
          </cell>
          <cell r="I606">
            <v>7.4930412658585128</v>
          </cell>
          <cell r="J606">
            <v>7.4777395124663251</v>
          </cell>
          <cell r="K606">
            <v>7.5393661320826135</v>
          </cell>
          <cell r="L606">
            <v>7.3227859166278915</v>
          </cell>
          <cell r="M606">
            <v>7.3371080215452444</v>
          </cell>
          <cell r="N606">
            <v>7.3667422315811635</v>
          </cell>
          <cell r="O606">
            <v>7.4166148820306912</v>
          </cell>
          <cell r="P606">
            <v>7.5216683305076897</v>
          </cell>
          <cell r="Q606">
            <v>7.4969197861881067</v>
          </cell>
        </row>
        <row r="607">
          <cell r="C607" t="str">
            <v>Gadsby</v>
          </cell>
          <cell r="E607">
            <v>17.452894492071401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13.941413911617531</v>
          </cell>
          <cell r="M607">
            <v>14.035268596110484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Gadsby CT</v>
          </cell>
          <cell r="E608">
            <v>18.3416276966182</v>
          </cell>
          <cell r="F608">
            <v>24.955983801780587</v>
          </cell>
          <cell r="G608">
            <v>32.947507596820678</v>
          </cell>
          <cell r="H608">
            <v>0</v>
          </cell>
          <cell r="I608">
            <v>0</v>
          </cell>
          <cell r="J608">
            <v>0</v>
          </cell>
          <cell r="K608">
            <v>24.697296018123293</v>
          </cell>
          <cell r="L608">
            <v>16.603475325639852</v>
          </cell>
          <cell r="M608">
            <v>16.549277921321512</v>
          </cell>
          <cell r="N608">
            <v>18.676279931052214</v>
          </cell>
          <cell r="O608">
            <v>18.155515381737697</v>
          </cell>
          <cell r="P608">
            <v>470.18164706490472</v>
          </cell>
          <cell r="Q608">
            <v>17.404840059051381</v>
          </cell>
        </row>
        <row r="609">
          <cell r="C609" t="str">
            <v>Hermiston</v>
          </cell>
          <cell r="E609">
            <v>7.0829186307900898</v>
          </cell>
          <cell r="F609">
            <v>7.0456382687213637</v>
          </cell>
          <cell r="G609">
            <v>7.0734589777810912</v>
          </cell>
          <cell r="H609">
            <v>7.1860186072079948</v>
          </cell>
          <cell r="I609">
            <v>7.1653861191588391</v>
          </cell>
          <cell r="J609">
            <v>8.0658448780487806</v>
          </cell>
          <cell r="K609">
            <v>7.0991792705609598</v>
          </cell>
          <cell r="L609">
            <v>7.0665702309354019</v>
          </cell>
          <cell r="M609">
            <v>7.0601950313316335</v>
          </cell>
          <cell r="N609">
            <v>7.0434348702145311</v>
          </cell>
          <cell r="O609">
            <v>7.0572136880966081</v>
          </cell>
          <cell r="P609">
            <v>7.1189100997499573</v>
          </cell>
          <cell r="Q609">
            <v>7.0491117380824768</v>
          </cell>
        </row>
        <row r="610">
          <cell r="C610" t="str">
            <v>Lake Side 1</v>
          </cell>
          <cell r="E610">
            <v>7.0000636909561624</v>
          </cell>
          <cell r="F610">
            <v>6.9450120864335458</v>
          </cell>
          <cell r="G610">
            <v>6.9502733740518803</v>
          </cell>
          <cell r="H610">
            <v>6.9083811569703801</v>
          </cell>
          <cell r="I610">
            <v>7.0485152189956217</v>
          </cell>
          <cell r="J610">
            <v>6.9744123322102825</v>
          </cell>
          <cell r="K610">
            <v>7.0978450981128081</v>
          </cell>
          <cell r="L610">
            <v>7.1125854802911848</v>
          </cell>
          <cell r="M610">
            <v>6.9844115517057341</v>
          </cell>
          <cell r="N610">
            <v>6.9840610435986159</v>
          </cell>
          <cell r="O610">
            <v>7.0352968452251252</v>
          </cell>
          <cell r="P610">
            <v>6.9886244452690951</v>
          </cell>
          <cell r="Q610">
            <v>7.0069635325154795</v>
          </cell>
        </row>
        <row r="611">
          <cell r="C611" t="str">
            <v>Lake Side 2</v>
          </cell>
          <cell r="E611">
            <v>6.832211748361404</v>
          </cell>
          <cell r="F611">
            <v>6.8861470023698264</v>
          </cell>
          <cell r="G611">
            <v>6.8653538521618955</v>
          </cell>
          <cell r="H611">
            <v>6.8670540030386089</v>
          </cell>
          <cell r="I611">
            <v>6.7866501513849222</v>
          </cell>
          <cell r="J611">
            <v>6.9023201859217753</v>
          </cell>
          <cell r="K611">
            <v>6.8303718414943964</v>
          </cell>
          <cell r="L611">
            <v>6.7725709580972548</v>
          </cell>
          <cell r="M611">
            <v>6.7648984280243178</v>
          </cell>
          <cell r="N611">
            <v>6.7555228185621949</v>
          </cell>
          <cell r="O611">
            <v>6.7855626027556362</v>
          </cell>
          <cell r="P611">
            <v>6.9213574497984558</v>
          </cell>
          <cell r="Q611">
            <v>6.9334356598358342</v>
          </cell>
        </row>
        <row r="613">
          <cell r="C613" t="str">
            <v>Naughton - Gas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Not Used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</sheetData>
      <sheetData sheetId="2">
        <row r="53">
          <cell r="B53" t="str">
            <v>Pipeline Lake Side Lateral</v>
          </cell>
        </row>
      </sheetData>
      <sheetData sheetId="3">
        <row r="43">
          <cell r="P43">
            <v>11455983.222523693</v>
          </cell>
        </row>
      </sheetData>
      <sheetData sheetId="4">
        <row r="2">
          <cell r="C2" t="str">
            <v>COB</v>
          </cell>
        </row>
      </sheetData>
      <sheetData sheetId="5"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A15" t="str">
            <v xml:space="preserve">NERC </v>
          </cell>
        </row>
      </sheetData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0.15205384523778789</v>
          </cell>
          <cell r="C19">
            <v>0.49730739472451102</v>
          </cell>
          <cell r="D19">
            <v>0.20528550977798851</v>
          </cell>
          <cell r="E19">
            <v>3.0310011619451897E-2</v>
          </cell>
          <cell r="F19">
            <v>0.11504323864026063</v>
          </cell>
        </row>
        <row r="20">
          <cell r="A20" t="str">
            <v>PLNT2</v>
          </cell>
          <cell r="B20">
            <v>0.23415910263848816</v>
          </cell>
          <cell r="C20">
            <v>0.76584089736151184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0.10277036285416717</v>
          </cell>
          <cell r="C21">
            <v>0.81973682532285674</v>
          </cell>
          <cell r="D21">
            <v>6.0567554166946411E-3</v>
          </cell>
          <cell r="E21">
            <v>7.1436056406281465E-2</v>
          </cell>
          <cell r="F21">
            <v>0</v>
          </cell>
        </row>
        <row r="22">
          <cell r="A22" t="str">
            <v>INTN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3">
          <cell r="A23" t="str">
            <v>GENL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</row>
      </sheetData>
      <sheetData sheetId="31">
        <row r="3">
          <cell r="E3" t="str">
            <v>Option-1</v>
          </cell>
          <cell r="F3" t="str">
            <v>Option-2</v>
          </cell>
          <cell r="G3" t="str">
            <v>Option-3</v>
          </cell>
        </row>
        <row r="4">
          <cell r="D4" t="str">
            <v>MSP</v>
          </cell>
          <cell r="E4" t="str">
            <v>(Undefined)</v>
          </cell>
          <cell r="F4" t="str">
            <v>(Undefined)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7">
          <cell r="D27" t="str">
            <v>F10</v>
          </cell>
          <cell r="E27" t="str">
            <v>F85</v>
          </cell>
          <cell r="F27" t="str">
            <v>F10</v>
          </cell>
          <cell r="G27" t="str">
            <v>F10</v>
          </cell>
        </row>
        <row r="28">
          <cell r="D28" t="str">
            <v>F30</v>
          </cell>
          <cell r="E28" t="str">
            <v>F86</v>
          </cell>
          <cell r="F28" t="str">
            <v>F30</v>
          </cell>
          <cell r="G28" t="str">
            <v>F30</v>
          </cell>
        </row>
        <row r="31">
          <cell r="D31" t="str">
            <v>F11</v>
          </cell>
          <cell r="E31" t="str">
            <v>F11</v>
          </cell>
          <cell r="F31" t="str">
            <v>F11</v>
          </cell>
          <cell r="G31" t="str">
            <v>F11</v>
          </cell>
        </row>
        <row r="32">
          <cell r="D32" t="str">
            <v>F10</v>
          </cell>
          <cell r="E32" t="str">
            <v>F10</v>
          </cell>
          <cell r="F32" t="str">
            <v>F10</v>
          </cell>
          <cell r="G32" t="str">
            <v>F10</v>
          </cell>
        </row>
        <row r="34">
          <cell r="D34" t="str">
            <v>F140x</v>
          </cell>
          <cell r="E34" t="str">
            <v>F140x</v>
          </cell>
          <cell r="F34" t="str">
            <v>F140x</v>
          </cell>
          <cell r="G34" t="str">
            <v>F140x</v>
          </cell>
        </row>
        <row r="36">
          <cell r="D36" t="str">
            <v>A</v>
          </cell>
          <cell r="E36" t="str">
            <v>A</v>
          </cell>
          <cell r="F36" t="str">
            <v>A</v>
          </cell>
          <cell r="G36" t="str">
            <v>A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1">
          <cell r="D41" t="str">
            <v>A</v>
          </cell>
          <cell r="E41" t="str">
            <v>A</v>
          </cell>
          <cell r="F41" t="str">
            <v>A</v>
          </cell>
          <cell r="G41" t="str">
            <v>A</v>
          </cell>
        </row>
        <row r="42">
          <cell r="D42" t="str">
            <v>F40</v>
          </cell>
          <cell r="E42" t="str">
            <v>F40</v>
          </cell>
          <cell r="F42" t="str">
            <v>F40</v>
          </cell>
          <cell r="G42" t="str">
            <v>F40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F10</v>
          </cell>
          <cell r="E46" t="str">
            <v>F10</v>
          </cell>
          <cell r="F46" t="str">
            <v>F10</v>
          </cell>
          <cell r="G46" t="str">
            <v>F10</v>
          </cell>
        </row>
        <row r="47">
          <cell r="D47" t="str">
            <v>F40</v>
          </cell>
          <cell r="E47" t="str">
            <v>F40</v>
          </cell>
          <cell r="F47" t="str">
            <v>F40</v>
          </cell>
          <cell r="G47" t="str">
            <v>F40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2">
          <cell r="D52" t="str">
            <v>A</v>
          </cell>
          <cell r="E52" t="str">
            <v>A</v>
          </cell>
          <cell r="F52" t="str">
            <v>A</v>
          </cell>
          <cell r="G52" t="str">
            <v>A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F40</v>
          </cell>
          <cell r="E54" t="str">
            <v>F40</v>
          </cell>
          <cell r="F54" t="str">
            <v>F40</v>
          </cell>
          <cell r="G54" t="str">
            <v>F40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F40</v>
          </cell>
          <cell r="E60" t="str">
            <v>F40</v>
          </cell>
          <cell r="F60" t="str">
            <v>F40</v>
          </cell>
          <cell r="G60" t="str">
            <v>F40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102">
          <cell r="D102" t="str">
            <v>F30</v>
          </cell>
          <cell r="E102" t="str">
            <v>F30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8">
          <cell r="D108" t="str">
            <v>F30</v>
          </cell>
          <cell r="E108" t="str">
            <v>F94</v>
          </cell>
          <cell r="F108" t="str">
            <v>F30</v>
          </cell>
          <cell r="G108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F30</v>
          </cell>
          <cell r="E117" t="str">
            <v>F30</v>
          </cell>
          <cell r="F117" t="str">
            <v>F30</v>
          </cell>
          <cell r="G117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5">
          <cell r="D125" t="str">
            <v>F10</v>
          </cell>
          <cell r="E125" t="str">
            <v>F10</v>
          </cell>
          <cell r="F125" t="str">
            <v>F10</v>
          </cell>
          <cell r="G125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53">
          <cell r="D153" t="str">
            <v>F30</v>
          </cell>
          <cell r="E153" t="str">
            <v>F30</v>
          </cell>
          <cell r="F153" t="str">
            <v>F30</v>
          </cell>
          <cell r="G153" t="str">
            <v>F30</v>
          </cell>
        </row>
        <row r="155">
          <cell r="D155" t="str">
            <v>F10</v>
          </cell>
          <cell r="E155" t="str">
            <v>F10</v>
          </cell>
          <cell r="F155" t="str">
            <v>F10</v>
          </cell>
          <cell r="G155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F10</v>
          </cell>
          <cell r="E159" t="str">
            <v>F10</v>
          </cell>
          <cell r="F159" t="str">
            <v>F10</v>
          </cell>
          <cell r="G159" t="str">
            <v>F10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9">
          <cell r="D179" t="str">
            <v>C</v>
          </cell>
          <cell r="E179" t="str">
            <v>C</v>
          </cell>
          <cell r="F179" t="str">
            <v>C</v>
          </cell>
          <cell r="G179" t="str">
            <v>C</v>
          </cell>
        </row>
        <row r="180">
          <cell r="D180" t="str">
            <v>COS
Factor</v>
          </cell>
          <cell r="E180" t="str">
            <v>COS
Factor</v>
          </cell>
          <cell r="F180" t="str">
            <v>COS
Factor</v>
          </cell>
          <cell r="G180" t="str">
            <v>COS
Factor</v>
          </cell>
        </row>
        <row r="181">
          <cell r="D181" t="str">
            <v>F10</v>
          </cell>
          <cell r="E181" t="str">
            <v>F10</v>
          </cell>
          <cell r="F181" t="str">
            <v>F10</v>
          </cell>
          <cell r="G181" t="str">
            <v>F10</v>
          </cell>
        </row>
        <row r="183">
          <cell r="D183" t="str">
            <v>F10</v>
          </cell>
          <cell r="E183" t="str">
            <v>F10</v>
          </cell>
          <cell r="F183" t="str">
            <v>F10</v>
          </cell>
          <cell r="G183" t="str">
            <v>F10</v>
          </cell>
        </row>
        <row r="185">
          <cell r="D185" t="str">
            <v>F10</v>
          </cell>
          <cell r="E185" t="str">
            <v>F10</v>
          </cell>
          <cell r="F185" t="str">
            <v>F10</v>
          </cell>
          <cell r="G185" t="str">
            <v>F10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9">
          <cell r="D209" t="str">
            <v>F10</v>
          </cell>
          <cell r="E209" t="str">
            <v>F10</v>
          </cell>
          <cell r="F209" t="str">
            <v>F10</v>
          </cell>
          <cell r="G209" t="str">
            <v>F10</v>
          </cell>
        </row>
        <row r="211">
          <cell r="D211" t="str">
            <v>F30</v>
          </cell>
          <cell r="E211" t="str">
            <v>F92</v>
          </cell>
          <cell r="F211" t="str">
            <v>F30</v>
          </cell>
          <cell r="G211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9">
          <cell r="D219" t="str">
            <v>F10</v>
          </cell>
          <cell r="E219" t="str">
            <v>F10</v>
          </cell>
          <cell r="F219" t="str">
            <v>F10</v>
          </cell>
          <cell r="G219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3">
          <cell r="D223" t="str">
            <v>F10</v>
          </cell>
          <cell r="E223" t="str">
            <v>F10</v>
          </cell>
          <cell r="F223" t="str">
            <v>F10</v>
          </cell>
          <cell r="G223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0">
          <cell r="D260" t="str">
            <v>F30</v>
          </cell>
          <cell r="E260" t="str">
            <v>F30</v>
          </cell>
          <cell r="F260" t="str">
            <v>F30</v>
          </cell>
          <cell r="G260" t="str">
            <v>F30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9">
          <cell r="D279" t="str">
            <v>C</v>
          </cell>
          <cell r="E279" t="str">
            <v>C</v>
          </cell>
          <cell r="F279" t="str">
            <v>C</v>
          </cell>
          <cell r="G279" t="str">
            <v>C</v>
          </cell>
        </row>
        <row r="280">
          <cell r="D280" t="str">
            <v>COS
Factor</v>
          </cell>
          <cell r="E280" t="str">
            <v>COS
Factor</v>
          </cell>
          <cell r="F280" t="str">
            <v>COS
Factor</v>
          </cell>
          <cell r="G280" t="str">
            <v>COS
Factor</v>
          </cell>
        </row>
        <row r="281">
          <cell r="D281" t="str">
            <v>F106</v>
          </cell>
          <cell r="E281" t="str">
            <v>F106</v>
          </cell>
          <cell r="F281" t="str">
            <v>F106</v>
          </cell>
          <cell r="G281" t="str">
            <v>F106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</v>
          </cell>
          <cell r="E291" t="str">
            <v>F95</v>
          </cell>
          <cell r="F291" t="str">
            <v>F10</v>
          </cell>
          <cell r="G291" t="str">
            <v>F10</v>
          </cell>
        </row>
        <row r="292">
          <cell r="D292" t="str">
            <v>F30</v>
          </cell>
          <cell r="E292" t="str">
            <v>F96</v>
          </cell>
          <cell r="F292" t="str">
            <v>F30</v>
          </cell>
          <cell r="G292" t="str">
            <v>F30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27">
          <cell r="D327" t="str">
            <v>C</v>
          </cell>
          <cell r="E327" t="str">
            <v>C</v>
          </cell>
          <cell r="F327" t="str">
            <v>C</v>
          </cell>
          <cell r="G327" t="str">
            <v>C</v>
          </cell>
        </row>
        <row r="328">
          <cell r="D328" t="str">
            <v>COS
Factor</v>
          </cell>
          <cell r="E328" t="str">
            <v>COS
Factor</v>
          </cell>
          <cell r="F328" t="str">
            <v>COS
Factor</v>
          </cell>
          <cell r="G328" t="str">
            <v>COS
Factor</v>
          </cell>
        </row>
        <row r="329">
          <cell r="D329" t="str">
            <v>F131</v>
          </cell>
          <cell r="E329" t="str">
            <v>F131</v>
          </cell>
          <cell r="F329" t="str">
            <v>F131</v>
          </cell>
          <cell r="G329" t="str">
            <v>F131</v>
          </cell>
        </row>
        <row r="331">
          <cell r="D331" t="str">
            <v>F20</v>
          </cell>
          <cell r="E331" t="str">
            <v>F20</v>
          </cell>
          <cell r="F331" t="str">
            <v>F20</v>
          </cell>
          <cell r="G331" t="str">
            <v>F20</v>
          </cell>
        </row>
        <row r="333">
          <cell r="D333" t="str">
            <v>F120</v>
          </cell>
          <cell r="E333" t="str">
            <v>F120</v>
          </cell>
          <cell r="F333" t="str">
            <v>F120</v>
          </cell>
          <cell r="G333" t="str">
            <v>F120</v>
          </cell>
        </row>
        <row r="335">
          <cell r="D335" t="str">
            <v>F132</v>
          </cell>
          <cell r="E335" t="str">
            <v>F132</v>
          </cell>
          <cell r="F335" t="str">
            <v>F132</v>
          </cell>
          <cell r="G335" t="str">
            <v>F132</v>
          </cell>
        </row>
        <row r="337">
          <cell r="D337" t="str">
            <v>F133</v>
          </cell>
          <cell r="E337" t="str">
            <v>F133</v>
          </cell>
          <cell r="F337" t="str">
            <v>F133</v>
          </cell>
          <cell r="G337" t="str">
            <v>F133</v>
          </cell>
        </row>
        <row r="339">
          <cell r="D339" t="str">
            <v>F130</v>
          </cell>
          <cell r="E339" t="str">
            <v>F130</v>
          </cell>
          <cell r="F339" t="str">
            <v>F130</v>
          </cell>
          <cell r="G339" t="str">
            <v>F130</v>
          </cell>
        </row>
        <row r="341">
          <cell r="D341" t="str">
            <v>F127</v>
          </cell>
          <cell r="E341" t="str">
            <v>F127</v>
          </cell>
          <cell r="F341" t="str">
            <v>F127</v>
          </cell>
          <cell r="G341" t="str">
            <v>F127</v>
          </cell>
        </row>
        <row r="343">
          <cell r="D343" t="str">
            <v>F20</v>
          </cell>
          <cell r="E343" t="str">
            <v>F20</v>
          </cell>
          <cell r="F343" t="str">
            <v>F20</v>
          </cell>
          <cell r="G343" t="str">
            <v>F20</v>
          </cell>
        </row>
        <row r="345">
          <cell r="D345" t="str">
            <v>F131</v>
          </cell>
          <cell r="E345" t="str">
            <v>F131</v>
          </cell>
          <cell r="F345" t="str">
            <v>F131</v>
          </cell>
          <cell r="G345" t="str">
            <v>F131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F119</v>
          </cell>
          <cell r="E351" t="str">
            <v>F119</v>
          </cell>
          <cell r="F351" t="str">
            <v>F119</v>
          </cell>
          <cell r="G351" t="str">
            <v>F119</v>
          </cell>
        </row>
        <row r="353">
          <cell r="D353" t="str">
            <v>F120</v>
          </cell>
          <cell r="E353" t="str">
            <v>F120</v>
          </cell>
          <cell r="F353" t="str">
            <v>F120</v>
          </cell>
          <cell r="G353" t="str">
            <v>F120</v>
          </cell>
        </row>
        <row r="355">
          <cell r="D355" t="str">
            <v>F134</v>
          </cell>
          <cell r="E355" t="str">
            <v>F134</v>
          </cell>
          <cell r="F355" t="str">
            <v>F134</v>
          </cell>
          <cell r="G355" t="str">
            <v>F134</v>
          </cell>
        </row>
        <row r="357">
          <cell r="D357" t="str">
            <v>F135</v>
          </cell>
          <cell r="E357" t="str">
            <v>F135</v>
          </cell>
          <cell r="F357" t="str">
            <v>F135</v>
          </cell>
          <cell r="G357" t="str">
            <v>F135</v>
          </cell>
        </row>
        <row r="359">
          <cell r="D359" t="str">
            <v>F125</v>
          </cell>
          <cell r="E359" t="str">
            <v>F125</v>
          </cell>
          <cell r="F359" t="str">
            <v>F125</v>
          </cell>
          <cell r="G359" t="str">
            <v>F125</v>
          </cell>
        </row>
        <row r="361">
          <cell r="D361" t="str">
            <v>F130</v>
          </cell>
          <cell r="E361" t="str">
            <v>F130</v>
          </cell>
          <cell r="F361" t="str">
            <v>F130</v>
          </cell>
          <cell r="G361" t="str">
            <v>F130</v>
          </cell>
        </row>
        <row r="363">
          <cell r="D363" t="str">
            <v>F127</v>
          </cell>
          <cell r="E363" t="str">
            <v>F127</v>
          </cell>
          <cell r="F363" t="str">
            <v>F127</v>
          </cell>
          <cell r="G363" t="str">
            <v>F127</v>
          </cell>
        </row>
        <row r="365">
          <cell r="D365" t="str">
            <v>F131</v>
          </cell>
          <cell r="E365" t="str">
            <v>F131</v>
          </cell>
          <cell r="F365" t="str">
            <v>F131</v>
          </cell>
          <cell r="G365" t="str">
            <v>F131</v>
          </cell>
        </row>
        <row r="373">
          <cell r="D373" t="str">
            <v>F136</v>
          </cell>
          <cell r="E373" t="str">
            <v>F136</v>
          </cell>
          <cell r="F373" t="str">
            <v>F136</v>
          </cell>
          <cell r="G373" t="str">
            <v>F136</v>
          </cell>
        </row>
        <row r="375">
          <cell r="D375" t="str">
            <v>F47</v>
          </cell>
          <cell r="E375" t="str">
            <v>F47</v>
          </cell>
          <cell r="F375" t="str">
            <v>F47</v>
          </cell>
          <cell r="G375" t="str">
            <v>F47</v>
          </cell>
        </row>
        <row r="377">
          <cell r="D377" t="str">
            <v>F48</v>
          </cell>
          <cell r="E377" t="str">
            <v>F48</v>
          </cell>
          <cell r="F377" t="str">
            <v>F48</v>
          </cell>
          <cell r="G377" t="str">
            <v>F48</v>
          </cell>
        </row>
        <row r="379">
          <cell r="D379" t="str">
            <v>F80</v>
          </cell>
          <cell r="E379" t="str">
            <v>F80</v>
          </cell>
          <cell r="F379" t="str">
            <v>F80</v>
          </cell>
          <cell r="G379" t="str">
            <v>F80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7">
          <cell r="D387" t="str">
            <v>C</v>
          </cell>
          <cell r="E387" t="str">
            <v>C</v>
          </cell>
          <cell r="F387" t="str">
            <v>C</v>
          </cell>
          <cell r="G387" t="str">
            <v>C</v>
          </cell>
        </row>
        <row r="388">
          <cell r="D388" t="str">
            <v>COS
Factor</v>
          </cell>
          <cell r="E388" t="str">
            <v>COS
Factor</v>
          </cell>
          <cell r="F388" t="str">
            <v>COS
Factor</v>
          </cell>
          <cell r="G388" t="str">
            <v>COS
Factor</v>
          </cell>
        </row>
        <row r="389">
          <cell r="D389" t="str">
            <v>F40</v>
          </cell>
          <cell r="E389" t="str">
            <v>F40</v>
          </cell>
          <cell r="F389" t="str">
            <v>F40</v>
          </cell>
          <cell r="G389" t="str">
            <v>F40</v>
          </cell>
        </row>
        <row r="391">
          <cell r="D391" t="str">
            <v>F90</v>
          </cell>
          <cell r="E391" t="str">
            <v>F90</v>
          </cell>
          <cell r="F391" t="str">
            <v>F90</v>
          </cell>
          <cell r="G391" t="str">
            <v>F90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7">
          <cell r="D417" t="str">
            <v>F102x</v>
          </cell>
          <cell r="E417" t="str">
            <v>F102x</v>
          </cell>
          <cell r="F417" t="str">
            <v>F102x</v>
          </cell>
          <cell r="G417" t="str">
            <v>F102x</v>
          </cell>
        </row>
        <row r="418">
          <cell r="D418" t="str">
            <v>F42</v>
          </cell>
          <cell r="E418" t="str">
            <v>F42</v>
          </cell>
          <cell r="F418" t="str">
            <v>F42</v>
          </cell>
          <cell r="G418" t="str">
            <v>F42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2">
          <cell r="D422" t="str">
            <v>F102x</v>
          </cell>
          <cell r="E422" t="str">
            <v>F102x</v>
          </cell>
          <cell r="F422" t="str">
            <v>F102x</v>
          </cell>
          <cell r="G422" t="str">
            <v>F102x</v>
          </cell>
        </row>
        <row r="423">
          <cell r="D423" t="str">
            <v>F42</v>
          </cell>
          <cell r="E423" t="str">
            <v>F42</v>
          </cell>
          <cell r="F423" t="str">
            <v>F42</v>
          </cell>
          <cell r="G423" t="str">
            <v>F42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F141</v>
          </cell>
          <cell r="E446" t="str">
            <v>F141</v>
          </cell>
          <cell r="F446" t="str">
            <v>F141</v>
          </cell>
          <cell r="G446" t="str">
            <v>F141</v>
          </cell>
        </row>
        <row r="447">
          <cell r="D447" t="str">
            <v>F141</v>
          </cell>
          <cell r="E447" t="str">
            <v>F141</v>
          </cell>
          <cell r="F447" t="str">
            <v>F141</v>
          </cell>
          <cell r="G447" t="str">
            <v>F141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F102x</v>
          </cell>
          <cell r="E537" t="str">
            <v>F102x</v>
          </cell>
          <cell r="F537" t="str">
            <v>F102x</v>
          </cell>
          <cell r="G537" t="str">
            <v>F102x</v>
          </cell>
        </row>
        <row r="538">
          <cell r="D538" t="str">
            <v>F42</v>
          </cell>
          <cell r="E538" t="str">
            <v>F42</v>
          </cell>
          <cell r="F538" t="str">
            <v>F42</v>
          </cell>
          <cell r="G538" t="str">
            <v>F42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8">
          <cell r="D548" t="str">
            <v>C</v>
          </cell>
          <cell r="E548" t="str">
            <v>C</v>
          </cell>
          <cell r="F548" t="str">
            <v>C</v>
          </cell>
          <cell r="G548" t="str">
            <v>C</v>
          </cell>
        </row>
        <row r="549">
          <cell r="D549" t="str">
            <v>COS
Factor</v>
          </cell>
          <cell r="E549" t="str">
            <v>COS
Factor</v>
          </cell>
          <cell r="F549" t="str">
            <v>COS
Factor</v>
          </cell>
          <cell r="G549" t="str">
            <v>COS
Factor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F110</v>
          </cell>
          <cell r="E552" t="str">
            <v>F110</v>
          </cell>
          <cell r="F552" t="str">
            <v>F110</v>
          </cell>
          <cell r="G552" t="str">
            <v>F110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F10</v>
          </cell>
          <cell r="E556" t="str">
            <v>F10</v>
          </cell>
          <cell r="F556" t="str">
            <v>F10</v>
          </cell>
          <cell r="G556" t="str">
            <v>F10</v>
          </cell>
        </row>
        <row r="558">
          <cell r="D558" t="str">
            <v>F110</v>
          </cell>
          <cell r="E558" t="str">
            <v>F110</v>
          </cell>
          <cell r="F558" t="str">
            <v>F110</v>
          </cell>
          <cell r="G558" t="str">
            <v>F110</v>
          </cell>
        </row>
        <row r="567">
          <cell r="D567" t="str">
            <v>F101x</v>
          </cell>
          <cell r="E567" t="str">
            <v>F101x</v>
          </cell>
          <cell r="F567" t="str">
            <v>F101x</v>
          </cell>
          <cell r="G567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2">
          <cell r="D592" t="str">
            <v>F101x</v>
          </cell>
          <cell r="E592" t="str">
            <v>F101x</v>
          </cell>
          <cell r="F592" t="str">
            <v>F101x</v>
          </cell>
          <cell r="G592" t="str">
            <v>F101x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602">
          <cell r="D602" t="str">
            <v>C</v>
          </cell>
          <cell r="E602" t="str">
            <v>C</v>
          </cell>
          <cell r="F602" t="str">
            <v>C</v>
          </cell>
          <cell r="G602" t="str">
            <v>C</v>
          </cell>
        </row>
        <row r="603">
          <cell r="D603" t="str">
            <v>COS
Factor</v>
          </cell>
          <cell r="E603" t="str">
            <v>COS
Factor</v>
          </cell>
          <cell r="F603" t="str">
            <v>COS
Factor</v>
          </cell>
          <cell r="G603" t="str">
            <v>COS
Factor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7">
          <cell r="D607" t="str">
            <v>F10</v>
          </cell>
          <cell r="E607" t="str">
            <v>F10</v>
          </cell>
          <cell r="F607" t="str">
            <v>F10</v>
          </cell>
          <cell r="G607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6">
          <cell r="D616" t="str">
            <v>F10</v>
          </cell>
          <cell r="E616" t="str">
            <v>F10</v>
          </cell>
          <cell r="F616" t="str">
            <v>F10</v>
          </cell>
          <cell r="G616" t="str">
            <v>F10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6">
          <cell r="D636" t="str">
            <v>F10</v>
          </cell>
          <cell r="E636" t="str">
            <v>F10</v>
          </cell>
          <cell r="F636" t="str">
            <v>F10</v>
          </cell>
          <cell r="G636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0">
          <cell r="D640" t="str">
            <v>F10</v>
          </cell>
          <cell r="E640" t="str">
            <v>F10</v>
          </cell>
          <cell r="F640" t="str">
            <v>F10</v>
          </cell>
          <cell r="G640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4">
          <cell r="D654" t="str">
            <v>F10</v>
          </cell>
          <cell r="E654" t="str">
            <v>F10</v>
          </cell>
          <cell r="F654" t="str">
            <v>F10</v>
          </cell>
          <cell r="G654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6">
          <cell r="D666" t="str">
            <v>F10</v>
          </cell>
          <cell r="E666" t="str">
            <v>F10</v>
          </cell>
          <cell r="F666" t="str">
            <v>F10</v>
          </cell>
          <cell r="G666" t="str">
            <v>F10</v>
          </cell>
        </row>
        <row r="671">
          <cell r="D671" t="str">
            <v>C</v>
          </cell>
          <cell r="E671" t="str">
            <v>C</v>
          </cell>
          <cell r="F671" t="str">
            <v>C</v>
          </cell>
          <cell r="G671" t="str">
            <v>C</v>
          </cell>
        </row>
        <row r="672">
          <cell r="D672" t="str">
            <v>COS
Factor</v>
          </cell>
          <cell r="E672" t="str">
            <v>COS
Factor</v>
          </cell>
          <cell r="F672" t="str">
            <v>COS
Factor</v>
          </cell>
          <cell r="G672" t="str">
            <v>COS
Factor</v>
          </cell>
        </row>
        <row r="673">
          <cell r="D673" t="str">
            <v>F10</v>
          </cell>
          <cell r="E673" t="str">
            <v>F10</v>
          </cell>
          <cell r="F673" t="str">
            <v>F10</v>
          </cell>
          <cell r="G673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>F10</v>
          </cell>
          <cell r="E675" t="str">
            <v>F10</v>
          </cell>
          <cell r="F675" t="str">
            <v>F10</v>
          </cell>
          <cell r="G675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8">
          <cell r="D688" t="str">
            <v>F10</v>
          </cell>
          <cell r="E688" t="str">
            <v>F10</v>
          </cell>
          <cell r="F688" t="str">
            <v>F10</v>
          </cell>
          <cell r="G688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0">
          <cell r="D690" t="str">
            <v>F10</v>
          </cell>
          <cell r="E690" t="str">
            <v>F10</v>
          </cell>
          <cell r="F690" t="str">
            <v>F10</v>
          </cell>
          <cell r="G690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</v>
          </cell>
          <cell r="E695" t="str">
            <v>F10</v>
          </cell>
          <cell r="F695" t="str">
            <v>F10</v>
          </cell>
          <cell r="G695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 t="str">
            <v>F10</v>
          </cell>
          <cell r="E701" t="str">
            <v>F10</v>
          </cell>
          <cell r="F701" t="str">
            <v>F10</v>
          </cell>
          <cell r="G701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F10</v>
          </cell>
          <cell r="E713" t="str">
            <v>F10</v>
          </cell>
          <cell r="F713" t="str">
            <v>F10</v>
          </cell>
          <cell r="G713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0">
          <cell r="D720" t="str">
            <v>A</v>
          </cell>
          <cell r="E720" t="str">
            <v>A</v>
          </cell>
          <cell r="F720" t="str">
            <v>A</v>
          </cell>
          <cell r="G720" t="str">
            <v>A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4">
          <cell r="D724" t="str">
            <v>A</v>
          </cell>
          <cell r="E724" t="str">
            <v>A</v>
          </cell>
          <cell r="F724" t="str">
            <v>A</v>
          </cell>
          <cell r="G724" t="str">
            <v>A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 t="str">
            <v>A</v>
          </cell>
          <cell r="E728" t="str">
            <v>A</v>
          </cell>
          <cell r="F728" t="str">
            <v>A</v>
          </cell>
          <cell r="G728" t="str">
            <v>A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0">
          <cell r="D760" t="str">
            <v>C</v>
          </cell>
          <cell r="E760" t="str">
            <v>C</v>
          </cell>
          <cell r="F760" t="str">
            <v>C</v>
          </cell>
          <cell r="G760" t="str">
            <v>C</v>
          </cell>
        </row>
        <row r="761">
          <cell r="D761" t="str">
            <v>COS
Factor</v>
          </cell>
          <cell r="E761" t="str">
            <v>COS
Factor</v>
          </cell>
          <cell r="F761" t="str">
            <v>COS
Factor</v>
          </cell>
          <cell r="G761" t="str">
            <v>COS
Factor</v>
          </cell>
        </row>
        <row r="764">
          <cell r="D764" t="str">
            <v>F26</v>
          </cell>
          <cell r="E764" t="str">
            <v>F20</v>
          </cell>
          <cell r="F764" t="str">
            <v>F20</v>
          </cell>
          <cell r="G764" t="str">
            <v>F20</v>
          </cell>
        </row>
        <row r="765">
          <cell r="D765" t="str">
            <v>A</v>
          </cell>
          <cell r="E765" t="str">
            <v>A</v>
          </cell>
          <cell r="F765" t="str">
            <v>A</v>
          </cell>
          <cell r="G765" t="str">
            <v>A</v>
          </cell>
        </row>
        <row r="768">
          <cell r="D768" t="str">
            <v>F26</v>
          </cell>
          <cell r="E768" t="str">
            <v>F20</v>
          </cell>
          <cell r="F768" t="str">
            <v>F20</v>
          </cell>
          <cell r="G768" t="str">
            <v>F20</v>
          </cell>
        </row>
        <row r="769">
          <cell r="D769" t="str">
            <v>A</v>
          </cell>
          <cell r="E769" t="str">
            <v>A</v>
          </cell>
          <cell r="F769" t="str">
            <v>A</v>
          </cell>
          <cell r="G769" t="str">
            <v>A</v>
          </cell>
        </row>
        <row r="772">
          <cell r="D772" t="str">
            <v>F26</v>
          </cell>
          <cell r="E772" t="str">
            <v>F20</v>
          </cell>
          <cell r="F772" t="str">
            <v>F20</v>
          </cell>
          <cell r="G772" t="str">
            <v>F20</v>
          </cell>
        </row>
        <row r="773">
          <cell r="D773" t="str">
            <v>A</v>
          </cell>
          <cell r="E773" t="str">
            <v>A</v>
          </cell>
          <cell r="F773" t="str">
            <v>A</v>
          </cell>
          <cell r="G773" t="str">
            <v>A</v>
          </cell>
        </row>
        <row r="776">
          <cell r="D776" t="str">
            <v>F26</v>
          </cell>
          <cell r="E776" t="str">
            <v>F20</v>
          </cell>
          <cell r="F776" t="str">
            <v>F20</v>
          </cell>
          <cell r="G776" t="str">
            <v>F20</v>
          </cell>
        </row>
        <row r="777">
          <cell r="D777" t="str">
            <v>F22</v>
          </cell>
          <cell r="E777" t="str">
            <v>F22</v>
          </cell>
          <cell r="F777" t="str">
            <v>F22</v>
          </cell>
          <cell r="G777" t="str">
            <v>F22</v>
          </cell>
        </row>
        <row r="778">
          <cell r="D778" t="str">
            <v>A</v>
          </cell>
          <cell r="E778" t="str">
            <v>A</v>
          </cell>
          <cell r="F778" t="str">
            <v>A</v>
          </cell>
          <cell r="G778" t="str">
            <v>A</v>
          </cell>
        </row>
        <row r="781">
          <cell r="D781" t="str">
            <v>F26</v>
          </cell>
          <cell r="E781" t="str">
            <v>F20</v>
          </cell>
          <cell r="F781" t="str">
            <v>F20</v>
          </cell>
          <cell r="G781" t="str">
            <v>F20</v>
          </cell>
        </row>
        <row r="782">
          <cell r="D782" t="str">
            <v>F22</v>
          </cell>
          <cell r="E782" t="str">
            <v>F22</v>
          </cell>
          <cell r="F782" t="str">
            <v>F22</v>
          </cell>
          <cell r="G782" t="str">
            <v>F22</v>
          </cell>
        </row>
        <row r="783">
          <cell r="D783" t="str">
            <v>A</v>
          </cell>
          <cell r="E783" t="str">
            <v>A</v>
          </cell>
          <cell r="F783" t="str">
            <v>A</v>
          </cell>
          <cell r="G783" t="str">
            <v>A</v>
          </cell>
        </row>
        <row r="786">
          <cell r="D786" t="str">
            <v>F26</v>
          </cell>
          <cell r="E786" t="str">
            <v>F20</v>
          </cell>
          <cell r="F786" t="str">
            <v>F20</v>
          </cell>
          <cell r="G786" t="str">
            <v>F20</v>
          </cell>
        </row>
        <row r="787">
          <cell r="D787" t="str">
            <v>F22</v>
          </cell>
          <cell r="E787" t="str">
            <v>F22</v>
          </cell>
          <cell r="F787" t="str">
            <v>F22</v>
          </cell>
          <cell r="G787" t="str">
            <v>F22</v>
          </cell>
        </row>
        <row r="788">
          <cell r="D788" t="str">
            <v>A</v>
          </cell>
          <cell r="E788" t="str">
            <v>A</v>
          </cell>
          <cell r="F788" t="str">
            <v>A</v>
          </cell>
          <cell r="G788" t="str">
            <v>A</v>
          </cell>
        </row>
        <row r="791">
          <cell r="D791" t="str">
            <v>F26</v>
          </cell>
          <cell r="E791" t="str">
            <v>F20</v>
          </cell>
          <cell r="F791" t="str">
            <v>F20</v>
          </cell>
          <cell r="G791" t="str">
            <v>F20</v>
          </cell>
        </row>
        <row r="792">
          <cell r="D792" t="str">
            <v>F22</v>
          </cell>
          <cell r="E792" t="str">
            <v>F22</v>
          </cell>
          <cell r="F792" t="str">
            <v>F22</v>
          </cell>
          <cell r="G792" t="str">
            <v>F22</v>
          </cell>
        </row>
        <row r="793">
          <cell r="D793" t="str">
            <v>A</v>
          </cell>
          <cell r="E793" t="str">
            <v>A</v>
          </cell>
          <cell r="F793" t="str">
            <v>A</v>
          </cell>
          <cell r="G793" t="str">
            <v>A</v>
          </cell>
        </row>
        <row r="796">
          <cell r="D796" t="str">
            <v>F21</v>
          </cell>
          <cell r="E796" t="str">
            <v>F21</v>
          </cell>
          <cell r="F796" t="str">
            <v>F21</v>
          </cell>
          <cell r="G796" t="str">
            <v>F21</v>
          </cell>
        </row>
        <row r="797">
          <cell r="D797" t="str">
            <v>A</v>
          </cell>
          <cell r="E797" t="str">
            <v>A</v>
          </cell>
          <cell r="F797" t="str">
            <v>A</v>
          </cell>
          <cell r="G797" t="str">
            <v>A</v>
          </cell>
        </row>
        <row r="800">
          <cell r="D800" t="str">
            <v>F70</v>
          </cell>
          <cell r="E800" t="str">
            <v>F70</v>
          </cell>
          <cell r="F800" t="str">
            <v>F70</v>
          </cell>
          <cell r="G800" t="str">
            <v>F70</v>
          </cell>
        </row>
        <row r="801">
          <cell r="D801" t="str">
            <v>A</v>
          </cell>
          <cell r="E801" t="str">
            <v>A</v>
          </cell>
          <cell r="F801" t="str">
            <v>A</v>
          </cell>
          <cell r="G801" t="str">
            <v>A</v>
          </cell>
        </row>
        <row r="804">
          <cell r="D804" t="str">
            <v>F60</v>
          </cell>
          <cell r="E804" t="str">
            <v>F60</v>
          </cell>
          <cell r="F804" t="str">
            <v>F60</v>
          </cell>
          <cell r="G804" t="str">
            <v>F60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</v>
          </cell>
          <cell r="E808" t="str">
            <v>F20</v>
          </cell>
          <cell r="F808" t="str">
            <v>F20</v>
          </cell>
          <cell r="G808" t="str">
            <v>F20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</v>
          </cell>
          <cell r="E813" t="str">
            <v>F20</v>
          </cell>
          <cell r="F813" t="str">
            <v>F20</v>
          </cell>
          <cell r="G813" t="str">
            <v>F20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A</v>
          </cell>
          <cell r="E818" t="str">
            <v>A</v>
          </cell>
          <cell r="F818" t="str">
            <v>A</v>
          </cell>
          <cell r="G818" t="str">
            <v>A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F20</v>
          </cell>
          <cell r="E822" t="str">
            <v>F20</v>
          </cell>
          <cell r="F822" t="str">
            <v>F20</v>
          </cell>
          <cell r="G822" t="str">
            <v>F20</v>
          </cell>
        </row>
        <row r="827">
          <cell r="D827" t="str">
            <v>C</v>
          </cell>
          <cell r="E827" t="str">
            <v>C</v>
          </cell>
          <cell r="F827" t="str">
            <v>C</v>
          </cell>
          <cell r="G827" t="str">
            <v>C</v>
          </cell>
        </row>
        <row r="828">
          <cell r="D828" t="str">
            <v>COS
Factor</v>
          </cell>
          <cell r="E828" t="str">
            <v>COS
Factor</v>
          </cell>
          <cell r="F828" t="str">
            <v>COS
Factor</v>
          </cell>
          <cell r="G828" t="str">
            <v>COS
Factor</v>
          </cell>
        </row>
        <row r="830">
          <cell r="D830" t="str">
            <v>F107x</v>
          </cell>
          <cell r="E830" t="str">
            <v>F107x</v>
          </cell>
          <cell r="F830" t="str">
            <v>F107x</v>
          </cell>
          <cell r="G830" t="str">
            <v>F107x</v>
          </cell>
        </row>
        <row r="831">
          <cell r="D831" t="str">
            <v>F42</v>
          </cell>
          <cell r="E831" t="str">
            <v>F42</v>
          </cell>
          <cell r="F831" t="str">
            <v>F42</v>
          </cell>
          <cell r="G831" t="str">
            <v>F42</v>
          </cell>
        </row>
        <row r="832">
          <cell r="D832" t="str">
            <v>F105x</v>
          </cell>
          <cell r="E832" t="str">
            <v>F105x</v>
          </cell>
          <cell r="F832" t="str">
            <v>F105x</v>
          </cell>
          <cell r="G832" t="str">
            <v>F105x</v>
          </cell>
        </row>
        <row r="833">
          <cell r="D833" t="str">
            <v>F105x</v>
          </cell>
          <cell r="E833" t="str">
            <v>F105x</v>
          </cell>
          <cell r="F833" t="str">
            <v>F105x</v>
          </cell>
          <cell r="G833" t="str">
            <v>F105x</v>
          </cell>
        </row>
        <row r="834">
          <cell r="D834" t="str">
            <v>F102x</v>
          </cell>
          <cell r="E834" t="str">
            <v>F102x</v>
          </cell>
          <cell r="F834" t="str">
            <v>F102x</v>
          </cell>
          <cell r="G834" t="str">
            <v>F102x</v>
          </cell>
        </row>
        <row r="838">
          <cell r="D838" t="str">
            <v>F107x</v>
          </cell>
          <cell r="E838" t="str">
            <v>F107x</v>
          </cell>
          <cell r="F838" t="str">
            <v>F107x</v>
          </cell>
          <cell r="G838" t="str">
            <v>F107x</v>
          </cell>
        </row>
        <row r="839">
          <cell r="D839" t="str">
            <v>F105x</v>
          </cell>
          <cell r="E839" t="str">
            <v>F105x</v>
          </cell>
          <cell r="F839" t="str">
            <v>F105x</v>
          </cell>
          <cell r="G839" t="str">
            <v>F105x</v>
          </cell>
        </row>
        <row r="840">
          <cell r="D840" t="str">
            <v>F105x</v>
          </cell>
          <cell r="E840" t="str">
            <v>F105x</v>
          </cell>
          <cell r="F840" t="str">
            <v>F105x</v>
          </cell>
          <cell r="G840" t="str">
            <v>F105x</v>
          </cell>
        </row>
        <row r="841">
          <cell r="D841" t="str">
            <v>F102x</v>
          </cell>
          <cell r="E841" t="str">
            <v>F102x</v>
          </cell>
          <cell r="F841" t="str">
            <v>F102x</v>
          </cell>
          <cell r="G841" t="str">
            <v>F102x</v>
          </cell>
        </row>
        <row r="842">
          <cell r="D842" t="str">
            <v>F42</v>
          </cell>
          <cell r="E842" t="str">
            <v>F42</v>
          </cell>
          <cell r="F842" t="str">
            <v>F42</v>
          </cell>
          <cell r="G842" t="str">
            <v>F42</v>
          </cell>
        </row>
        <row r="843">
          <cell r="D843" t="str">
            <v>F102x</v>
          </cell>
          <cell r="E843" t="str">
            <v>F102x</v>
          </cell>
          <cell r="F843" t="str">
            <v>F102x</v>
          </cell>
          <cell r="G843" t="str">
            <v>F102x</v>
          </cell>
        </row>
        <row r="844">
          <cell r="D844" t="str">
            <v>F102x</v>
          </cell>
          <cell r="E844" t="str">
            <v>F102x</v>
          </cell>
          <cell r="F844" t="str">
            <v>F102x</v>
          </cell>
          <cell r="G844" t="str">
            <v>F102x</v>
          </cell>
        </row>
        <row r="849">
          <cell r="D849" t="str">
            <v>F107x</v>
          </cell>
          <cell r="E849" t="str">
            <v>F107x</v>
          </cell>
          <cell r="F849" t="str">
            <v>F107x</v>
          </cell>
          <cell r="G849" t="str">
            <v>F107x</v>
          </cell>
        </row>
        <row r="850">
          <cell r="D850" t="str">
            <v>F105x</v>
          </cell>
          <cell r="E850" t="str">
            <v>F105x</v>
          </cell>
          <cell r="F850" t="str">
            <v>F105x</v>
          </cell>
          <cell r="G850" t="str">
            <v>F105x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F42</v>
          </cell>
          <cell r="E852" t="str">
            <v>F42</v>
          </cell>
          <cell r="F852" t="str">
            <v>F42</v>
          </cell>
          <cell r="G852" t="str">
            <v>F42</v>
          </cell>
        </row>
        <row r="853">
          <cell r="D853" t="str">
            <v>F105x</v>
          </cell>
          <cell r="E853" t="str">
            <v>F105x</v>
          </cell>
          <cell r="F853" t="str">
            <v>F105x</v>
          </cell>
          <cell r="G853" t="str">
            <v>F105x</v>
          </cell>
        </row>
        <row r="854">
          <cell r="D854" t="str">
            <v>F30</v>
          </cell>
          <cell r="E854" t="str">
            <v>F30</v>
          </cell>
          <cell r="F854" t="str">
            <v>F30</v>
          </cell>
          <cell r="G854" t="str">
            <v>F30</v>
          </cell>
        </row>
        <row r="855">
          <cell r="D855" t="str">
            <v>F102x</v>
          </cell>
          <cell r="E855" t="str">
            <v>F102x</v>
          </cell>
          <cell r="F855" t="str">
            <v>F102x</v>
          </cell>
          <cell r="G855" t="str">
            <v>F102x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57">
          <cell r="D857" t="str">
            <v>F10</v>
          </cell>
          <cell r="E857" t="str">
            <v>F10</v>
          </cell>
          <cell r="F857" t="str">
            <v>F105x</v>
          </cell>
          <cell r="G857" t="str">
            <v>F10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F102x</v>
          </cell>
          <cell r="E862" t="str">
            <v>F102x</v>
          </cell>
          <cell r="F862" t="str">
            <v>F102x</v>
          </cell>
          <cell r="G862" t="str">
            <v>F102x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F30</v>
          </cell>
          <cell r="E866" t="str">
            <v>F30</v>
          </cell>
          <cell r="F866" t="str">
            <v>F30</v>
          </cell>
          <cell r="G866" t="str">
            <v>F30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F105x</v>
          </cell>
          <cell r="E868" t="str">
            <v>F105x</v>
          </cell>
          <cell r="F868" t="str">
            <v>F105x</v>
          </cell>
          <cell r="G868" t="str">
            <v>F105x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F105x</v>
          </cell>
          <cell r="E874" t="str">
            <v>F105x</v>
          </cell>
          <cell r="F874" t="str">
            <v>F105x</v>
          </cell>
          <cell r="G874" t="str">
            <v>F105x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F102x</v>
          </cell>
          <cell r="E876" t="str">
            <v>F102x</v>
          </cell>
          <cell r="F876" t="str">
            <v>F102x</v>
          </cell>
          <cell r="G876" t="str">
            <v>F102x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82">
          <cell r="D882" t="str">
            <v>F107x</v>
          </cell>
          <cell r="E882" t="str">
            <v>F107x</v>
          </cell>
          <cell r="F882" t="str">
            <v>F107x</v>
          </cell>
          <cell r="G882" t="str">
            <v>F107x</v>
          </cell>
        </row>
        <row r="883">
          <cell r="D883" t="str">
            <v>F105x</v>
          </cell>
          <cell r="E883" t="str">
            <v>F105x</v>
          </cell>
          <cell r="F883" t="str">
            <v>F105x</v>
          </cell>
          <cell r="G883" t="str">
            <v>F105x</v>
          </cell>
        </row>
        <row r="884">
          <cell r="D884" t="str">
            <v>F105x</v>
          </cell>
          <cell r="E884" t="str">
            <v>F105x</v>
          </cell>
          <cell r="F884" t="str">
            <v>F105x</v>
          </cell>
          <cell r="G884" t="str">
            <v>F105x</v>
          </cell>
        </row>
        <row r="885">
          <cell r="D885" t="str">
            <v>F102x</v>
          </cell>
          <cell r="E885" t="str">
            <v>F102x</v>
          </cell>
          <cell r="F885" t="str">
            <v>F102x</v>
          </cell>
          <cell r="G885" t="str">
            <v>F102x</v>
          </cell>
        </row>
        <row r="886">
          <cell r="D886" t="str">
            <v>F30</v>
          </cell>
          <cell r="E886" t="str">
            <v>F30</v>
          </cell>
          <cell r="F886" t="str">
            <v>F30</v>
          </cell>
          <cell r="G886" t="str">
            <v>F30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F105x</v>
          </cell>
          <cell r="E888" t="str">
            <v>F105x</v>
          </cell>
          <cell r="F888" t="str">
            <v>F105x</v>
          </cell>
          <cell r="G888" t="str">
            <v>F105x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3">
          <cell r="D893" t="str">
            <v>F107x</v>
          </cell>
          <cell r="E893" t="str">
            <v>F107x</v>
          </cell>
          <cell r="F893" t="str">
            <v>F107x</v>
          </cell>
          <cell r="G893" t="str">
            <v>F107x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F102x</v>
          </cell>
          <cell r="E896" t="str">
            <v>F102x</v>
          </cell>
          <cell r="F896" t="str">
            <v>F102x</v>
          </cell>
          <cell r="G896" t="str">
            <v>F102x</v>
          </cell>
        </row>
        <row r="897">
          <cell r="D897" t="str">
            <v>F30</v>
          </cell>
          <cell r="E897" t="str">
            <v>F30</v>
          </cell>
          <cell r="F897" t="str">
            <v>F30</v>
          </cell>
          <cell r="G897" t="str">
            <v>F30</v>
          </cell>
        </row>
        <row r="898">
          <cell r="D898" t="str">
            <v>F105x</v>
          </cell>
          <cell r="E898" t="str">
            <v>F105x</v>
          </cell>
          <cell r="F898" t="str">
            <v>F105x</v>
          </cell>
          <cell r="G898" t="str">
            <v>F105x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F105x</v>
          </cell>
          <cell r="E900" t="str">
            <v>F105x</v>
          </cell>
          <cell r="F900" t="str">
            <v>F105x</v>
          </cell>
          <cell r="G900" t="str">
            <v>F105x</v>
          </cell>
        </row>
        <row r="904">
          <cell r="D904" t="str">
            <v>F107x</v>
          </cell>
          <cell r="E904" t="str">
            <v>F107x</v>
          </cell>
          <cell r="F904" t="str">
            <v>F107x</v>
          </cell>
          <cell r="G904" t="str">
            <v>F107x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F102x</v>
          </cell>
          <cell r="E907" t="str">
            <v>F102x</v>
          </cell>
          <cell r="F907" t="str">
            <v>F102x</v>
          </cell>
          <cell r="G907" t="str">
            <v>F102x</v>
          </cell>
        </row>
        <row r="908">
          <cell r="D908" t="str">
            <v>F105x</v>
          </cell>
          <cell r="E908" t="str">
            <v>F105x</v>
          </cell>
          <cell r="F908" t="str">
            <v>F105x</v>
          </cell>
          <cell r="G908" t="str">
            <v>F105x</v>
          </cell>
        </row>
        <row r="909">
          <cell r="D909" t="str">
            <v>F30</v>
          </cell>
          <cell r="E909" t="str">
            <v>F30</v>
          </cell>
          <cell r="F909" t="str">
            <v>F30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5">
          <cell r="D915" t="str">
            <v>F107x</v>
          </cell>
          <cell r="E915" t="str">
            <v>F107x</v>
          </cell>
          <cell r="F915" t="str">
            <v>F107x</v>
          </cell>
          <cell r="G915" t="str">
            <v>F107x</v>
          </cell>
        </row>
        <row r="916">
          <cell r="D916" t="str">
            <v>F105x</v>
          </cell>
          <cell r="E916" t="str">
            <v>F105x</v>
          </cell>
          <cell r="F916" t="str">
            <v>F105x</v>
          </cell>
          <cell r="G916" t="str">
            <v>F105x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F102x</v>
          </cell>
          <cell r="E918" t="str">
            <v>F102x</v>
          </cell>
          <cell r="F918" t="str">
            <v>F102x</v>
          </cell>
          <cell r="G918" t="str">
            <v>F102x</v>
          </cell>
        </row>
        <row r="919">
          <cell r="D919" t="str">
            <v>F42</v>
          </cell>
          <cell r="E919" t="str">
            <v>F42</v>
          </cell>
          <cell r="F919" t="str">
            <v>F42</v>
          </cell>
          <cell r="G919" t="str">
            <v>F42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F30</v>
          </cell>
          <cell r="E921" t="str">
            <v>F30</v>
          </cell>
          <cell r="F921" t="str">
            <v>F30</v>
          </cell>
          <cell r="G921" t="str">
            <v>F30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F105x</v>
          </cell>
          <cell r="E923" t="str">
            <v>F105x</v>
          </cell>
          <cell r="F923" t="str">
            <v>F105x</v>
          </cell>
          <cell r="G923" t="str">
            <v>F105x</v>
          </cell>
        </row>
        <row r="928">
          <cell r="D928" t="str">
            <v>C</v>
          </cell>
          <cell r="E928" t="str">
            <v>C</v>
          </cell>
          <cell r="F928" t="str">
            <v>C</v>
          </cell>
          <cell r="G928" t="str">
            <v>C</v>
          </cell>
        </row>
        <row r="929">
          <cell r="D929" t="str">
            <v>COS
Factor</v>
          </cell>
          <cell r="E929" t="str">
            <v>COS
Factor</v>
          </cell>
          <cell r="F929" t="str">
            <v>COS
Factor</v>
          </cell>
          <cell r="G929" t="str">
            <v>COS
Factor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F42</v>
          </cell>
          <cell r="E934" t="str">
            <v>F42</v>
          </cell>
          <cell r="F934" t="str">
            <v>F42</v>
          </cell>
          <cell r="G934" t="str">
            <v>F42</v>
          </cell>
        </row>
        <row r="935">
          <cell r="D935" t="str">
            <v>F102x</v>
          </cell>
          <cell r="E935" t="str">
            <v>F102x</v>
          </cell>
          <cell r="F935" t="str">
            <v>F102x</v>
          </cell>
          <cell r="G935" t="str">
            <v>F102x</v>
          </cell>
        </row>
        <row r="936">
          <cell r="D936" t="str">
            <v>F30</v>
          </cell>
          <cell r="E936" t="str">
            <v>F30</v>
          </cell>
          <cell r="F936" t="str">
            <v>F30</v>
          </cell>
          <cell r="G936" t="str">
            <v>F30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40">
          <cell r="D940" t="str">
            <v>F30</v>
          </cell>
          <cell r="E940" t="str">
            <v>F30</v>
          </cell>
          <cell r="F940" t="str">
            <v>F30</v>
          </cell>
          <cell r="G940" t="str">
            <v>F30</v>
          </cell>
        </row>
        <row r="941">
          <cell r="D941" t="str">
            <v>F30</v>
          </cell>
          <cell r="E941" t="str">
            <v>F30</v>
          </cell>
          <cell r="F941" t="str">
            <v>F30</v>
          </cell>
          <cell r="G941" t="str">
            <v>F30</v>
          </cell>
        </row>
        <row r="942">
          <cell r="D942" t="str">
            <v>F30</v>
          </cell>
          <cell r="E942" t="str">
            <v>F30</v>
          </cell>
          <cell r="F942" t="str">
            <v>F30</v>
          </cell>
          <cell r="G942" t="str">
            <v>F30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51">
          <cell r="D951" t="str">
            <v>F30</v>
          </cell>
          <cell r="E951" t="str">
            <v>F30</v>
          </cell>
          <cell r="F951" t="str">
            <v>F30</v>
          </cell>
          <cell r="G951" t="str">
            <v>F30</v>
          </cell>
        </row>
        <row r="952">
          <cell r="D952" t="str">
            <v>F30</v>
          </cell>
          <cell r="E952" t="str">
            <v>F30</v>
          </cell>
          <cell r="F952" t="str">
            <v>F30</v>
          </cell>
          <cell r="G952" t="str">
            <v>F30</v>
          </cell>
        </row>
        <row r="954">
          <cell r="D954" t="str">
            <v>F102x</v>
          </cell>
          <cell r="E954" t="str">
            <v>F102x</v>
          </cell>
          <cell r="F954" t="str">
            <v>F102x</v>
          </cell>
          <cell r="G954" t="str">
            <v>F102x</v>
          </cell>
        </row>
        <row r="955">
          <cell r="D955" t="str">
            <v>F102x</v>
          </cell>
          <cell r="E955" t="str">
            <v>F102x</v>
          </cell>
          <cell r="F955" t="str">
            <v>F102x</v>
          </cell>
          <cell r="G955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F102x</v>
          </cell>
          <cell r="E965" t="str">
            <v>F102x</v>
          </cell>
          <cell r="F965" t="str">
            <v>F102x</v>
          </cell>
          <cell r="G965" t="str">
            <v>F102x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70">
          <cell r="D970" t="str">
            <v>F105x</v>
          </cell>
          <cell r="E970" t="str">
            <v>F105x</v>
          </cell>
          <cell r="F970" t="str">
            <v>F105x</v>
          </cell>
          <cell r="G970" t="str">
            <v>F105x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F105x</v>
          </cell>
          <cell r="E973" t="str">
            <v>F105x</v>
          </cell>
          <cell r="F973" t="str">
            <v>F105x</v>
          </cell>
          <cell r="G973" t="str">
            <v>F105x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F42</v>
          </cell>
          <cell r="E981" t="str">
            <v>F42</v>
          </cell>
          <cell r="F981" t="str">
            <v>F42</v>
          </cell>
          <cell r="G981" t="str">
            <v>F42</v>
          </cell>
        </row>
        <row r="982">
          <cell r="D982" t="str">
            <v>F10</v>
          </cell>
          <cell r="E982" t="str">
            <v>F105x</v>
          </cell>
          <cell r="F982" t="str">
            <v>F10</v>
          </cell>
          <cell r="G982" t="str">
            <v>F10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6">
          <cell r="D986" t="str">
            <v>F102x</v>
          </cell>
          <cell r="E986" t="str">
            <v>F102x</v>
          </cell>
          <cell r="F986" t="str">
            <v>F102x</v>
          </cell>
          <cell r="G986" t="str">
            <v>F102x</v>
          </cell>
        </row>
        <row r="996">
          <cell r="D996" t="str">
            <v>C</v>
          </cell>
          <cell r="E996" t="str">
            <v>C</v>
          </cell>
          <cell r="F996" t="str">
            <v>C</v>
          </cell>
          <cell r="G996" t="str">
            <v>C</v>
          </cell>
        </row>
        <row r="997">
          <cell r="D997" t="str">
            <v>COS
Factor</v>
          </cell>
          <cell r="E997" t="str">
            <v>COS
Factor</v>
          </cell>
          <cell r="F997" t="str">
            <v>COS
Factor</v>
          </cell>
          <cell r="G997" t="str">
            <v>COS
Factor</v>
          </cell>
        </row>
        <row r="999">
          <cell r="D999" t="str">
            <v>F20</v>
          </cell>
          <cell r="E999" t="str">
            <v>F20</v>
          </cell>
          <cell r="F999" t="str">
            <v>F20</v>
          </cell>
          <cell r="G999" t="str">
            <v>F20</v>
          </cell>
        </row>
        <row r="1000">
          <cell r="D1000" t="str">
            <v>F10</v>
          </cell>
          <cell r="E1000" t="str">
            <v>F10</v>
          </cell>
          <cell r="F1000" t="str">
            <v>F10</v>
          </cell>
          <cell r="G1000" t="str">
            <v>F10</v>
          </cell>
        </row>
        <row r="1001">
          <cell r="D1001" t="str">
            <v>F10</v>
          </cell>
          <cell r="E1001" t="str">
            <v>F10</v>
          </cell>
          <cell r="F1001" t="str">
            <v>F10</v>
          </cell>
          <cell r="G1001" t="str">
            <v>F10</v>
          </cell>
        </row>
        <row r="1002">
          <cell r="D1002" t="str">
            <v>F10</v>
          </cell>
          <cell r="E1002" t="str">
            <v>F10</v>
          </cell>
          <cell r="F1002" t="str">
            <v>F10</v>
          </cell>
          <cell r="G1002" t="str">
            <v>F10</v>
          </cell>
        </row>
        <row r="1003">
          <cell r="D1003" t="str">
            <v>F30</v>
          </cell>
          <cell r="E1003" t="str">
            <v>F30</v>
          </cell>
          <cell r="F1003" t="str">
            <v>F30</v>
          </cell>
          <cell r="G1003" t="str">
            <v>F30</v>
          </cell>
        </row>
        <row r="1004">
          <cell r="D1004" t="str">
            <v>F102</v>
          </cell>
          <cell r="E1004" t="str">
            <v>F102</v>
          </cell>
          <cell r="F1004" t="str">
            <v>F102</v>
          </cell>
          <cell r="G1004" t="str">
            <v>F102</v>
          </cell>
        </row>
        <row r="1007">
          <cell r="D1007" t="str">
            <v>F10</v>
          </cell>
          <cell r="E1007" t="str">
            <v>F10</v>
          </cell>
          <cell r="F1007" t="str">
            <v>F10</v>
          </cell>
          <cell r="G1007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</v>
          </cell>
          <cell r="G1009" t="str">
            <v>F10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3">
          <cell r="D1013" t="str">
            <v>F11</v>
          </cell>
          <cell r="E1013" t="str">
            <v>F11</v>
          </cell>
          <cell r="F1013" t="str">
            <v>F11</v>
          </cell>
          <cell r="G1013" t="str">
            <v>F11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F30</v>
          </cell>
          <cell r="E1016" t="str">
            <v>F30</v>
          </cell>
          <cell r="F1016" t="str">
            <v>F30</v>
          </cell>
          <cell r="G1016" t="str">
            <v>F30</v>
          </cell>
        </row>
        <row r="1019">
          <cell r="D1019" t="str">
            <v>F30</v>
          </cell>
          <cell r="E1019" t="str">
            <v>F30</v>
          </cell>
          <cell r="F1019" t="str">
            <v>F30</v>
          </cell>
          <cell r="G1019" t="str">
            <v>F30</v>
          </cell>
        </row>
        <row r="1021">
          <cell r="D1021" t="str">
            <v>F30</v>
          </cell>
          <cell r="E1021" t="str">
            <v>F30</v>
          </cell>
          <cell r="F1021" t="str">
            <v>F30</v>
          </cell>
          <cell r="G1021" t="str">
            <v>F30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F10</v>
          </cell>
          <cell r="E1028" t="str">
            <v>F10</v>
          </cell>
          <cell r="F1028" t="str">
            <v>F10</v>
          </cell>
          <cell r="G1028" t="str">
            <v>F10</v>
          </cell>
        </row>
        <row r="1029">
          <cell r="D1029" t="str">
            <v>F102x</v>
          </cell>
          <cell r="E1029" t="str">
            <v>F102x</v>
          </cell>
          <cell r="F1029" t="str">
            <v>F102x</v>
          </cell>
          <cell r="G1029" t="str">
            <v>F102x</v>
          </cell>
        </row>
        <row r="1030">
          <cell r="D1030" t="str">
            <v>F102x</v>
          </cell>
          <cell r="E1030" t="str">
            <v>F102x</v>
          </cell>
          <cell r="F1030" t="str">
            <v>F102x</v>
          </cell>
          <cell r="G1030" t="str">
            <v>F102x</v>
          </cell>
        </row>
        <row r="1031">
          <cell r="D1031" t="str">
            <v>F102x</v>
          </cell>
          <cell r="E1031" t="str">
            <v>F102x</v>
          </cell>
          <cell r="F1031" t="str">
            <v>F102x</v>
          </cell>
          <cell r="G1031" t="str">
            <v>F102x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F10</v>
          </cell>
          <cell r="E1033" t="str">
            <v>F10</v>
          </cell>
          <cell r="F1033" t="str">
            <v>F10</v>
          </cell>
          <cell r="G1033" t="str">
            <v>F10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8">
          <cell r="D1038" t="str">
            <v>F102x</v>
          </cell>
          <cell r="E1038" t="str">
            <v>F102x</v>
          </cell>
          <cell r="F1038" t="str">
            <v>F102x</v>
          </cell>
          <cell r="G1038" t="str">
            <v>F102x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F42</v>
          </cell>
          <cell r="E1041" t="str">
            <v>F42</v>
          </cell>
          <cell r="F1041" t="str">
            <v>F42</v>
          </cell>
          <cell r="G1041" t="str">
            <v>F42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F137x</v>
          </cell>
          <cell r="E1066" t="str">
            <v>F137x</v>
          </cell>
          <cell r="F1066" t="str">
            <v>F137x</v>
          </cell>
          <cell r="G1066" t="str">
            <v>F137x</v>
          </cell>
        </row>
        <row r="1068">
          <cell r="D1068" t="str">
            <v>F137x</v>
          </cell>
          <cell r="E1068" t="str">
            <v>F137x</v>
          </cell>
          <cell r="F1068" t="str">
            <v>F137x</v>
          </cell>
          <cell r="G1068" t="str">
            <v>F137x</v>
          </cell>
        </row>
        <row r="1071">
          <cell r="D1071" t="str">
            <v>F10</v>
          </cell>
          <cell r="E1071" t="str">
            <v>F10</v>
          </cell>
          <cell r="F1071" t="str">
            <v>F10</v>
          </cell>
          <cell r="G1071" t="str">
            <v>F10</v>
          </cell>
        </row>
        <row r="1073">
          <cell r="D1073" t="str">
            <v>F10</v>
          </cell>
          <cell r="E1073" t="str">
            <v>F10</v>
          </cell>
          <cell r="F1073" t="str">
            <v>F10</v>
          </cell>
          <cell r="G1073" t="str">
            <v>F10</v>
          </cell>
        </row>
        <row r="1075">
          <cell r="D1075" t="str">
            <v>F30</v>
          </cell>
          <cell r="E1075" t="str">
            <v>F30</v>
          </cell>
          <cell r="F1075" t="str">
            <v>F30</v>
          </cell>
          <cell r="G1075" t="str">
            <v>F30</v>
          </cell>
        </row>
        <row r="1080">
          <cell r="D1080" t="str">
            <v>C</v>
          </cell>
          <cell r="E1080" t="str">
            <v>C</v>
          </cell>
          <cell r="F1080" t="str">
            <v>C</v>
          </cell>
          <cell r="G1080" t="str">
            <v>C</v>
          </cell>
        </row>
        <row r="1081">
          <cell r="D1081" t="str">
            <v>COS
Factor</v>
          </cell>
          <cell r="E1081" t="str">
            <v>COS
Factor</v>
          </cell>
          <cell r="F1081" t="str">
            <v>COS
Factor</v>
          </cell>
          <cell r="G1081" t="str">
            <v>COS
Factor</v>
          </cell>
        </row>
        <row r="1083">
          <cell r="D1083" t="str">
            <v>F51</v>
          </cell>
          <cell r="E1083" t="str">
            <v>F51</v>
          </cell>
          <cell r="F1083" t="str">
            <v>F51</v>
          </cell>
          <cell r="G1083" t="str">
            <v>F51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9">
          <cell r="D1089" t="str">
            <v>F102x</v>
          </cell>
          <cell r="E1089" t="str">
            <v>F102x</v>
          </cell>
          <cell r="F1089" t="str">
            <v>F102x</v>
          </cell>
          <cell r="G1089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3">
          <cell r="D1093" t="str">
            <v>F50</v>
          </cell>
          <cell r="E1093" t="str">
            <v>F50</v>
          </cell>
          <cell r="F1093" t="str">
            <v>F50</v>
          </cell>
          <cell r="G1093" t="str">
            <v>F50</v>
          </cell>
        </row>
        <row r="1095">
          <cell r="D1095" t="str">
            <v>F30</v>
          </cell>
          <cell r="E1095" t="str">
            <v>F30</v>
          </cell>
          <cell r="F1095" t="str">
            <v>F30</v>
          </cell>
          <cell r="G1095" t="str">
            <v>F30</v>
          </cell>
        </row>
        <row r="1097">
          <cell r="D1097" t="str">
            <v>F10</v>
          </cell>
          <cell r="E1097" t="str">
            <v>F10</v>
          </cell>
          <cell r="F1097" t="str">
            <v>F10</v>
          </cell>
          <cell r="G1097" t="str">
            <v>F10</v>
          </cell>
        </row>
        <row r="1099">
          <cell r="D1099" t="str">
            <v>F104x</v>
          </cell>
          <cell r="E1099" t="str">
            <v>F104x</v>
          </cell>
          <cell r="F1099" t="str">
            <v>F104x</v>
          </cell>
          <cell r="G1099" t="str">
            <v>F104x</v>
          </cell>
        </row>
        <row r="1100">
          <cell r="D1100" t="str">
            <v>F42</v>
          </cell>
          <cell r="E1100" t="str">
            <v>F42</v>
          </cell>
          <cell r="F1100" t="str">
            <v>F42</v>
          </cell>
          <cell r="G1100" t="str">
            <v>F42</v>
          </cell>
        </row>
        <row r="1101">
          <cell r="D1101" t="str">
            <v>F138x</v>
          </cell>
          <cell r="E1101" t="str">
            <v>F138x</v>
          </cell>
          <cell r="F1101" t="str">
            <v>F138x</v>
          </cell>
          <cell r="G1101" t="str">
            <v>F138x</v>
          </cell>
        </row>
        <row r="1102">
          <cell r="D1102" t="str">
            <v>F104x</v>
          </cell>
          <cell r="E1102" t="str">
            <v>F104x</v>
          </cell>
          <cell r="F1102" t="str">
            <v>F104x</v>
          </cell>
          <cell r="G1102" t="str">
            <v>F104x</v>
          </cell>
        </row>
        <row r="1103">
          <cell r="D1103" t="str">
            <v>F141</v>
          </cell>
          <cell r="E1103" t="str">
            <v>F141</v>
          </cell>
          <cell r="F1103" t="str">
            <v>F141</v>
          </cell>
          <cell r="G1103" t="str">
            <v>F141</v>
          </cell>
        </row>
        <row r="1104">
          <cell r="D1104" t="str">
            <v>F42</v>
          </cell>
          <cell r="E1104" t="str">
            <v>F42</v>
          </cell>
          <cell r="F1104" t="str">
            <v>F42</v>
          </cell>
          <cell r="G1104" t="str">
            <v>F42</v>
          </cell>
        </row>
        <row r="1105">
          <cell r="D1105" t="str">
            <v>F104x</v>
          </cell>
          <cell r="E1105" t="str">
            <v>F104x</v>
          </cell>
          <cell r="F1105" t="str">
            <v>F104x</v>
          </cell>
          <cell r="G1105" t="str">
            <v>F104x</v>
          </cell>
        </row>
        <row r="1106">
          <cell r="D1106" t="str">
            <v>F104x</v>
          </cell>
          <cell r="E1106" t="str">
            <v>F104x</v>
          </cell>
          <cell r="F1106" t="str">
            <v>F104x</v>
          </cell>
          <cell r="G1106" t="str">
            <v>F104x</v>
          </cell>
        </row>
        <row r="1107">
          <cell r="D1107" t="str">
            <v>F104x</v>
          </cell>
          <cell r="E1107" t="str">
            <v>F104x</v>
          </cell>
          <cell r="F1107" t="str">
            <v>F104x</v>
          </cell>
          <cell r="G1107" t="str">
            <v>F104x</v>
          </cell>
        </row>
        <row r="1108">
          <cell r="D1108" t="str">
            <v>F104x</v>
          </cell>
          <cell r="E1108" t="str">
            <v>F104x</v>
          </cell>
          <cell r="F1108" t="str">
            <v>F104x</v>
          </cell>
          <cell r="G1108" t="str">
            <v>F104x</v>
          </cell>
        </row>
        <row r="1109">
          <cell r="D1109" t="str">
            <v>F104x</v>
          </cell>
          <cell r="E1109" t="str">
            <v>F104x</v>
          </cell>
          <cell r="F1109" t="str">
            <v>F104x</v>
          </cell>
          <cell r="G1109" t="str">
            <v>F104x</v>
          </cell>
        </row>
        <row r="1110">
          <cell r="D1110" t="str">
            <v>F10</v>
          </cell>
          <cell r="E1110" t="str">
            <v>F10</v>
          </cell>
          <cell r="F1110" t="str">
            <v>F102x</v>
          </cell>
          <cell r="G1110" t="str">
            <v>F10</v>
          </cell>
        </row>
        <row r="1113">
          <cell r="D1113" t="str">
            <v>F104x</v>
          </cell>
          <cell r="E1113" t="str">
            <v>F104x</v>
          </cell>
          <cell r="F1113" t="str">
            <v>F104x</v>
          </cell>
          <cell r="G1113" t="str">
            <v>F104x</v>
          </cell>
        </row>
        <row r="1115">
          <cell r="D1115" t="str">
            <v>F104x</v>
          </cell>
          <cell r="E1115" t="str">
            <v>F104x</v>
          </cell>
          <cell r="F1115" t="str">
            <v>F104x</v>
          </cell>
          <cell r="G1115" t="str">
            <v>F104x</v>
          </cell>
        </row>
        <row r="1116">
          <cell r="D1116" t="str">
            <v>F104x</v>
          </cell>
          <cell r="E1116" t="str">
            <v>F104x</v>
          </cell>
          <cell r="F1116" t="str">
            <v>F104x</v>
          </cell>
          <cell r="G1116" t="str">
            <v>F104x</v>
          </cell>
        </row>
        <row r="1117">
          <cell r="D1117" t="str">
            <v>F104x</v>
          </cell>
          <cell r="E1117" t="str">
            <v>F104x</v>
          </cell>
          <cell r="F1117" t="str">
            <v>F104x</v>
          </cell>
          <cell r="G1117" t="str">
            <v>F104x</v>
          </cell>
        </row>
        <row r="1118">
          <cell r="D1118" t="str">
            <v>F138x</v>
          </cell>
          <cell r="E1118" t="str">
            <v>F138x</v>
          </cell>
          <cell r="F1118" t="str">
            <v>F138x</v>
          </cell>
          <cell r="G1118" t="str">
            <v>F138x</v>
          </cell>
        </row>
        <row r="1119">
          <cell r="D1119" t="str">
            <v>F104x</v>
          </cell>
          <cell r="E1119" t="str">
            <v>F104x</v>
          </cell>
          <cell r="F1119" t="str">
            <v>F104x</v>
          </cell>
          <cell r="G1119" t="str">
            <v>F104x</v>
          </cell>
        </row>
        <row r="1120">
          <cell r="D1120" t="str">
            <v>F104x</v>
          </cell>
          <cell r="E1120" t="str">
            <v>F104x</v>
          </cell>
          <cell r="F1120" t="str">
            <v>F104x</v>
          </cell>
          <cell r="G1120" t="str">
            <v>F104x</v>
          </cell>
        </row>
        <row r="1121">
          <cell r="D1121" t="str">
            <v>F104x</v>
          </cell>
          <cell r="E1121" t="str">
            <v>F104x</v>
          </cell>
          <cell r="F1121" t="str">
            <v>F104x</v>
          </cell>
          <cell r="G1121" t="str">
            <v>F104x</v>
          </cell>
        </row>
        <row r="1122">
          <cell r="D1122" t="str">
            <v>F104x</v>
          </cell>
          <cell r="E1122" t="str">
            <v>F104x</v>
          </cell>
          <cell r="F1122" t="str">
            <v>F104x</v>
          </cell>
          <cell r="G1122" t="str">
            <v>F104x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F104x</v>
          </cell>
          <cell r="E1125" t="str">
            <v>F104x</v>
          </cell>
          <cell r="F1125" t="str">
            <v>F104x</v>
          </cell>
          <cell r="G1125" t="str">
            <v>F104x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F104x</v>
          </cell>
          <cell r="E1127" t="str">
            <v>F104x</v>
          </cell>
          <cell r="F1127" t="str">
            <v>F104x</v>
          </cell>
          <cell r="G1127" t="str">
            <v>F104x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3">
          <cell r="D1133" t="str">
            <v>F42</v>
          </cell>
          <cell r="E1133" t="str">
            <v>F42</v>
          </cell>
          <cell r="F1133" t="str">
            <v>F42</v>
          </cell>
          <cell r="G1133" t="str">
            <v>F42</v>
          </cell>
        </row>
        <row r="1134">
          <cell r="D1134" t="str">
            <v>F104x</v>
          </cell>
          <cell r="E1134" t="str">
            <v>F104x</v>
          </cell>
          <cell r="F1134" t="str">
            <v>F104x</v>
          </cell>
          <cell r="G1134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6">
          <cell r="D1136" t="str">
            <v>F138x</v>
          </cell>
          <cell r="E1136" t="str">
            <v>F138x</v>
          </cell>
          <cell r="F1136" t="str">
            <v>F138x</v>
          </cell>
          <cell r="G1136" t="str">
            <v>F138x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51">
          <cell r="D1151" t="str">
            <v>F10</v>
          </cell>
          <cell r="E1151" t="str">
            <v>F10</v>
          </cell>
          <cell r="F1151" t="str">
            <v>F10</v>
          </cell>
          <cell r="G1151" t="str">
            <v>F10</v>
          </cell>
        </row>
        <row r="1153">
          <cell r="D1153" t="str">
            <v>F10</v>
          </cell>
          <cell r="E1153" t="str">
            <v>F10</v>
          </cell>
          <cell r="F1153" t="str">
            <v>F10</v>
          </cell>
          <cell r="G1153" t="str">
            <v>F10</v>
          </cell>
        </row>
        <row r="1155">
          <cell r="D1155" t="str">
            <v>F10</v>
          </cell>
          <cell r="E1155" t="str">
            <v>F10</v>
          </cell>
          <cell r="F1155" t="str">
            <v>F10</v>
          </cell>
          <cell r="G1155" t="str">
            <v>F10</v>
          </cell>
        </row>
        <row r="1157">
          <cell r="D1157" t="str">
            <v>F10</v>
          </cell>
          <cell r="E1157" t="str">
            <v>F10</v>
          </cell>
          <cell r="F1157" t="str">
            <v>F10</v>
          </cell>
          <cell r="G1157" t="str">
            <v>F10</v>
          </cell>
        </row>
        <row r="1158">
          <cell r="D1158" t="str">
            <v>F10</v>
          </cell>
          <cell r="E1158" t="str">
            <v>F10</v>
          </cell>
          <cell r="F1158" t="str">
            <v>F10</v>
          </cell>
          <cell r="G1158" t="str">
            <v>F10</v>
          </cell>
        </row>
        <row r="1159">
          <cell r="D1159" t="str">
            <v>F10</v>
          </cell>
          <cell r="E1159" t="str">
            <v>F10</v>
          </cell>
          <cell r="F1159" t="str">
            <v>F10</v>
          </cell>
          <cell r="G1159" t="str">
            <v>F10</v>
          </cell>
        </row>
        <row r="1160">
          <cell r="D1160" t="str">
            <v>F10</v>
          </cell>
          <cell r="E1160" t="str">
            <v>F10</v>
          </cell>
          <cell r="F1160" t="str">
            <v>F10</v>
          </cell>
          <cell r="G1160" t="str">
            <v>F10</v>
          </cell>
        </row>
        <row r="1161">
          <cell r="D1161" t="str">
            <v>F10</v>
          </cell>
          <cell r="E1161" t="str">
            <v>F10</v>
          </cell>
          <cell r="F1161" t="str">
            <v>F10</v>
          </cell>
          <cell r="G1161" t="str">
            <v>F10</v>
          </cell>
        </row>
        <row r="1164">
          <cell r="D1164" t="str">
            <v>F10</v>
          </cell>
          <cell r="E1164" t="str">
            <v>F10</v>
          </cell>
          <cell r="F1164" t="str">
            <v>F10</v>
          </cell>
          <cell r="G1164" t="str">
            <v>F10</v>
          </cell>
        </row>
        <row r="1173">
          <cell r="D1173" t="str">
            <v>F106</v>
          </cell>
          <cell r="E1173" t="str">
            <v>F106</v>
          </cell>
          <cell r="F1173" t="str">
            <v>F106</v>
          </cell>
          <cell r="G1173" t="str">
            <v>F106</v>
          </cell>
        </row>
        <row r="1178">
          <cell r="D1178" t="str">
            <v>F118</v>
          </cell>
          <cell r="E1178" t="str">
            <v>F118</v>
          </cell>
          <cell r="F1178" t="str">
            <v>F118</v>
          </cell>
          <cell r="G1178" t="str">
            <v>F118</v>
          </cell>
        </row>
        <row r="1180">
          <cell r="D1180" t="str">
            <v>F119</v>
          </cell>
          <cell r="E1180" t="str">
            <v>F119</v>
          </cell>
          <cell r="F1180" t="str">
            <v>F119</v>
          </cell>
          <cell r="G1180" t="str">
            <v>F119</v>
          </cell>
        </row>
        <row r="1182">
          <cell r="D1182" t="str">
            <v>F120</v>
          </cell>
          <cell r="E1182" t="str">
            <v>F120</v>
          </cell>
          <cell r="F1182" t="str">
            <v>F120</v>
          </cell>
          <cell r="G1182" t="str">
            <v>F120</v>
          </cell>
        </row>
        <row r="1186">
          <cell r="D1186" t="str">
            <v>C</v>
          </cell>
          <cell r="E1186" t="str">
            <v>C</v>
          </cell>
          <cell r="F1186" t="str">
            <v>C</v>
          </cell>
          <cell r="G1186" t="str">
            <v>C</v>
          </cell>
        </row>
        <row r="1187">
          <cell r="D1187" t="str">
            <v>COS
Factor</v>
          </cell>
          <cell r="E1187" t="str">
            <v>COS
Factor</v>
          </cell>
          <cell r="F1187" t="str">
            <v>COS
Factor</v>
          </cell>
          <cell r="G1187" t="str">
            <v>COS
Factor</v>
          </cell>
        </row>
        <row r="1189">
          <cell r="D1189" t="str">
            <v>F121</v>
          </cell>
          <cell r="E1189" t="str">
            <v>F121</v>
          </cell>
          <cell r="F1189" t="str">
            <v>F121</v>
          </cell>
          <cell r="G1189" t="str">
            <v>F121</v>
          </cell>
        </row>
        <row r="1191">
          <cell r="D1191" t="str">
            <v>F122</v>
          </cell>
          <cell r="E1191" t="str">
            <v>F122</v>
          </cell>
          <cell r="F1191" t="str">
            <v>F122</v>
          </cell>
          <cell r="G1191" t="str">
            <v>F122</v>
          </cell>
        </row>
        <row r="1193">
          <cell r="D1193" t="str">
            <v>F123</v>
          </cell>
          <cell r="E1193" t="str">
            <v>F123</v>
          </cell>
          <cell r="F1193" t="str">
            <v>F123</v>
          </cell>
          <cell r="G1193" t="str">
            <v>F123</v>
          </cell>
        </row>
        <row r="1195">
          <cell r="D1195" t="str">
            <v>F124</v>
          </cell>
          <cell r="E1195" t="str">
            <v>F124</v>
          </cell>
          <cell r="F1195" t="str">
            <v>F124</v>
          </cell>
          <cell r="G1195" t="str">
            <v>F124</v>
          </cell>
        </row>
        <row r="1197">
          <cell r="D1197" t="str">
            <v>F125</v>
          </cell>
          <cell r="E1197" t="str">
            <v>F125</v>
          </cell>
          <cell r="F1197" t="str">
            <v>F125</v>
          </cell>
          <cell r="G1197" t="str">
            <v>F125</v>
          </cell>
        </row>
        <row r="1199">
          <cell r="D1199" t="str">
            <v>F126</v>
          </cell>
          <cell r="E1199" t="str">
            <v>F126</v>
          </cell>
          <cell r="F1199" t="str">
            <v>F126</v>
          </cell>
          <cell r="G1199" t="str">
            <v>F126</v>
          </cell>
        </row>
        <row r="1201">
          <cell r="D1201" t="str">
            <v>F127</v>
          </cell>
          <cell r="E1201" t="str">
            <v>F127</v>
          </cell>
          <cell r="F1201" t="str">
            <v>F127</v>
          </cell>
          <cell r="G1201" t="str">
            <v>F127</v>
          </cell>
        </row>
        <row r="1203">
          <cell r="D1203" t="str">
            <v>F128</v>
          </cell>
          <cell r="E1203" t="str">
            <v>F128</v>
          </cell>
          <cell r="F1203" t="str">
            <v>F128</v>
          </cell>
          <cell r="G1203" t="str">
            <v>F128</v>
          </cell>
        </row>
        <row r="1205">
          <cell r="D1205" t="str">
            <v>F129</v>
          </cell>
          <cell r="E1205" t="str">
            <v>F129</v>
          </cell>
          <cell r="F1205" t="str">
            <v>F129</v>
          </cell>
          <cell r="G1205" t="str">
            <v>F129</v>
          </cell>
        </row>
        <row r="1207">
          <cell r="D1207" t="str">
            <v>F130</v>
          </cell>
          <cell r="E1207" t="str">
            <v>F130</v>
          </cell>
          <cell r="F1207" t="str">
            <v>F130</v>
          </cell>
          <cell r="G1207" t="str">
            <v>F130</v>
          </cell>
        </row>
        <row r="1209">
          <cell r="D1209" t="str">
            <v>F121</v>
          </cell>
          <cell r="E1209" t="str">
            <v>F121</v>
          </cell>
          <cell r="F1209" t="str">
            <v>F121</v>
          </cell>
          <cell r="G1209" t="str">
            <v>F121</v>
          </cell>
        </row>
        <row r="1211">
          <cell r="D1211" t="str">
            <v>F120</v>
          </cell>
          <cell r="E1211" t="str">
            <v>F120</v>
          </cell>
          <cell r="F1211" t="str">
            <v>F120</v>
          </cell>
          <cell r="G1211" t="str">
            <v>F120</v>
          </cell>
        </row>
        <row r="1213">
          <cell r="D1213" t="str">
            <v>F102x</v>
          </cell>
          <cell r="E1213" t="str">
            <v>F102x</v>
          </cell>
          <cell r="F1213" t="str">
            <v>F102x</v>
          </cell>
          <cell r="G1213" t="str">
            <v>F102x</v>
          </cell>
        </row>
        <row r="1220">
          <cell r="D1220" t="str">
            <v>F107x</v>
          </cell>
          <cell r="E1220" t="str">
            <v>F107x</v>
          </cell>
          <cell r="F1220" t="str">
            <v>F107x</v>
          </cell>
          <cell r="G1220" t="str">
            <v>F107x</v>
          </cell>
        </row>
        <row r="1221">
          <cell r="D1221" t="str">
            <v>F105x</v>
          </cell>
          <cell r="E1221" t="str">
            <v>F105x</v>
          </cell>
          <cell r="F1221" t="str">
            <v>F105x</v>
          </cell>
          <cell r="G1221" t="str">
            <v>F105x</v>
          </cell>
        </row>
        <row r="1222">
          <cell r="D1222" t="str">
            <v>F105x</v>
          </cell>
          <cell r="E1222" t="str">
            <v>F105x</v>
          </cell>
          <cell r="F1222" t="str">
            <v>F105x</v>
          </cell>
          <cell r="G1222" t="str">
            <v>F105x</v>
          </cell>
        </row>
        <row r="1223">
          <cell r="D1223" t="str">
            <v>F105x</v>
          </cell>
          <cell r="E1223" t="str">
            <v>F105x</v>
          </cell>
          <cell r="F1223" t="str">
            <v>F105x</v>
          </cell>
          <cell r="G1223" t="str">
            <v>F105x</v>
          </cell>
        </row>
        <row r="1224">
          <cell r="D1224" t="str">
            <v>F42</v>
          </cell>
          <cell r="E1224" t="str">
            <v>F42</v>
          </cell>
          <cell r="F1224" t="str">
            <v>F42</v>
          </cell>
          <cell r="G1224" t="str">
            <v>F42</v>
          </cell>
        </row>
        <row r="1225">
          <cell r="D1225" t="str">
            <v>F102x</v>
          </cell>
          <cell r="E1225" t="str">
            <v>F102x</v>
          </cell>
          <cell r="F1225" t="str">
            <v>F102x</v>
          </cell>
          <cell r="G1225" t="str">
            <v>F102x</v>
          </cell>
        </row>
        <row r="1226">
          <cell r="D1226" t="str">
            <v>F30</v>
          </cell>
          <cell r="E1226" t="str">
            <v>F30</v>
          </cell>
          <cell r="F1226" t="str">
            <v>F30</v>
          </cell>
          <cell r="G1226" t="str">
            <v>F30</v>
          </cell>
        </row>
        <row r="1227">
          <cell r="D1227" t="str">
            <v>F105x</v>
          </cell>
          <cell r="E1227" t="str">
            <v>F105x</v>
          </cell>
          <cell r="F1227" t="str">
            <v>F105x</v>
          </cell>
          <cell r="G1227" t="str">
            <v>F105x</v>
          </cell>
        </row>
        <row r="1228">
          <cell r="D1228" t="str">
            <v>F105x</v>
          </cell>
          <cell r="E1228" t="str">
            <v>F105x</v>
          </cell>
          <cell r="F1228" t="str">
            <v>F105x</v>
          </cell>
          <cell r="G1228" t="str">
            <v>F105x</v>
          </cell>
        </row>
        <row r="1231">
          <cell r="D1231" t="str">
            <v>F30</v>
          </cell>
          <cell r="E1231" t="str">
            <v>F30</v>
          </cell>
          <cell r="F1231" t="str">
            <v>F30</v>
          </cell>
          <cell r="G1231" t="str">
            <v>F30</v>
          </cell>
        </row>
        <row r="1233">
          <cell r="D1233" t="str">
            <v>F30</v>
          </cell>
          <cell r="E1233" t="str">
            <v>F30</v>
          </cell>
          <cell r="F1233" t="str">
            <v>F30</v>
          </cell>
          <cell r="G1233" t="str">
            <v>F30</v>
          </cell>
        </row>
        <row r="1234">
          <cell r="D1234" t="str">
            <v>F30</v>
          </cell>
          <cell r="E1234" t="str">
            <v>F30</v>
          </cell>
          <cell r="F1234" t="str">
            <v>F30</v>
          </cell>
          <cell r="G1234" t="str">
            <v>F30</v>
          </cell>
        </row>
        <row r="1236">
          <cell r="D1236" t="str">
            <v>F30</v>
          </cell>
          <cell r="E1236" t="str">
            <v>F30</v>
          </cell>
          <cell r="F1236" t="str">
            <v>F30</v>
          </cell>
          <cell r="G1236" t="str">
            <v>F30</v>
          </cell>
        </row>
        <row r="1237">
          <cell r="D1237" t="str">
            <v>F30</v>
          </cell>
          <cell r="E1237" t="str">
            <v>F30</v>
          </cell>
          <cell r="F1237" t="str">
            <v>F30</v>
          </cell>
          <cell r="G1237" t="str">
            <v>F30</v>
          </cell>
        </row>
        <row r="1238">
          <cell r="D1238" t="str">
            <v>F30</v>
          </cell>
          <cell r="E1238" t="str">
            <v>F30</v>
          </cell>
          <cell r="F1238" t="str">
            <v>F30</v>
          </cell>
          <cell r="G1238" t="str">
            <v>F30</v>
          </cell>
        </row>
        <row r="1248">
          <cell r="D1248" t="str">
            <v>F10</v>
          </cell>
          <cell r="E1248" t="str">
            <v>F10</v>
          </cell>
          <cell r="F1248" t="str">
            <v>F10</v>
          </cell>
          <cell r="G1248" t="str">
            <v>F10</v>
          </cell>
        </row>
        <row r="1251">
          <cell r="D1251" t="str">
            <v>F108</v>
          </cell>
          <cell r="E1251" t="str">
            <v>F108</v>
          </cell>
          <cell r="F1251" t="str">
            <v>F108</v>
          </cell>
          <cell r="G1251" t="str">
            <v>F108</v>
          </cell>
        </row>
        <row r="1252">
          <cell r="D1252" t="str">
            <v>F108</v>
          </cell>
          <cell r="E1252" t="str">
            <v>F108</v>
          </cell>
          <cell r="F1252" t="str">
            <v>F108</v>
          </cell>
          <cell r="G1252" t="str">
            <v>F108</v>
          </cell>
        </row>
        <row r="1253">
          <cell r="D1253" t="str">
            <v>F108</v>
          </cell>
          <cell r="E1253" t="str">
            <v>F108</v>
          </cell>
          <cell r="F1253" t="str">
            <v>F108</v>
          </cell>
          <cell r="G1253" t="str">
            <v>F108</v>
          </cell>
        </row>
        <row r="1254">
          <cell r="D1254" t="str">
            <v>F108</v>
          </cell>
          <cell r="E1254" t="str">
            <v>F108</v>
          </cell>
          <cell r="F1254" t="str">
            <v>F108</v>
          </cell>
          <cell r="G1254" t="str">
            <v>F108</v>
          </cell>
        </row>
        <row r="1255">
          <cell r="D1255" t="str">
            <v>F108</v>
          </cell>
          <cell r="E1255" t="str">
            <v>F108</v>
          </cell>
          <cell r="F1255" t="str">
            <v>F108</v>
          </cell>
          <cell r="G1255" t="str">
            <v>F108</v>
          </cell>
        </row>
        <row r="1258">
          <cell r="D1258" t="str">
            <v>F30</v>
          </cell>
          <cell r="E1258" t="str">
            <v>F30</v>
          </cell>
          <cell r="F1258" t="str">
            <v>F30</v>
          </cell>
          <cell r="G1258" t="str">
            <v>F30</v>
          </cell>
        </row>
        <row r="1261">
          <cell r="D1261" t="str">
            <v>F107x</v>
          </cell>
          <cell r="E1261" t="str">
            <v>F107x</v>
          </cell>
          <cell r="F1261" t="str">
            <v>F107x</v>
          </cell>
          <cell r="G1261" t="str">
            <v>F107x</v>
          </cell>
        </row>
        <row r="1262">
          <cell r="D1262" t="str">
            <v>F105x</v>
          </cell>
          <cell r="E1262" t="str">
            <v>F105x</v>
          </cell>
          <cell r="F1262" t="str">
            <v>F105x</v>
          </cell>
          <cell r="G1262" t="str">
            <v>F105x</v>
          </cell>
        </row>
        <row r="1263">
          <cell r="D1263" t="str">
            <v>F105x</v>
          </cell>
          <cell r="E1263" t="str">
            <v>F105x</v>
          </cell>
          <cell r="F1263" t="str">
            <v>F105x</v>
          </cell>
          <cell r="G1263" t="str">
            <v>F105x</v>
          </cell>
        </row>
        <row r="1264">
          <cell r="D1264" t="str">
            <v>F30</v>
          </cell>
          <cell r="E1264" t="str">
            <v>F30</v>
          </cell>
          <cell r="F1264" t="str">
            <v>F30</v>
          </cell>
          <cell r="G1264" t="str">
            <v>F30</v>
          </cell>
        </row>
        <row r="1265">
          <cell r="D1265" t="str">
            <v>F105x</v>
          </cell>
          <cell r="E1265" t="str">
            <v>F105x</v>
          </cell>
          <cell r="F1265" t="str">
            <v>F105x</v>
          </cell>
          <cell r="G1265" t="str">
            <v>F105x</v>
          </cell>
        </row>
        <row r="1266">
          <cell r="D1266" t="str">
            <v>F105x</v>
          </cell>
          <cell r="E1266" t="str">
            <v>F105x</v>
          </cell>
          <cell r="F1266" t="str">
            <v>F105x</v>
          </cell>
          <cell r="G1266" t="str">
            <v>F105x</v>
          </cell>
        </row>
        <row r="1267">
          <cell r="D1267" t="str">
            <v>F105x</v>
          </cell>
          <cell r="E1267" t="str">
            <v>F105x</v>
          </cell>
          <cell r="F1267" t="str">
            <v>F105x</v>
          </cell>
          <cell r="G1267" t="str">
            <v>F105x</v>
          </cell>
        </row>
        <row r="1268">
          <cell r="D1268" t="str">
            <v>F42</v>
          </cell>
          <cell r="E1268" t="str">
            <v>F42</v>
          </cell>
          <cell r="F1268" t="str">
            <v>F42</v>
          </cell>
          <cell r="G1268" t="str">
            <v>F42</v>
          </cell>
        </row>
        <row r="1269">
          <cell r="D1269" t="str">
            <v>F105x</v>
          </cell>
          <cell r="E1269" t="str">
            <v>F105x</v>
          </cell>
          <cell r="F1269" t="str">
            <v>F105x</v>
          </cell>
          <cell r="G1269" t="str">
            <v>F105x</v>
          </cell>
        </row>
        <row r="1270">
          <cell r="D1270" t="str">
            <v>F105x</v>
          </cell>
          <cell r="E1270" t="str">
            <v>F105x</v>
          </cell>
          <cell r="F1270" t="str">
            <v>F105x</v>
          </cell>
          <cell r="G1270" t="str">
            <v>F105x</v>
          </cell>
        </row>
        <row r="1271">
          <cell r="D1271" t="str">
            <v>F102x</v>
          </cell>
          <cell r="E1271" t="str">
            <v>F102x</v>
          </cell>
          <cell r="F1271" t="str">
            <v>F102x</v>
          </cell>
          <cell r="G1271" t="str">
            <v>F102x</v>
          </cell>
        </row>
        <row r="1274">
          <cell r="D1274" t="str">
            <v>F30</v>
          </cell>
          <cell r="E1274" t="str">
            <v>F30</v>
          </cell>
          <cell r="F1274" t="str">
            <v>F30</v>
          </cell>
          <cell r="G1274" t="str">
            <v>F30</v>
          </cell>
        </row>
      </sheetData>
      <sheetData sheetId="32">
        <row r="13">
          <cell r="F13" t="str">
            <v>Residential
Sch 2</v>
          </cell>
          <cell r="G13" t="str">
            <v>Small General
Service
Sch 25</v>
          </cell>
          <cell r="H13" t="str">
            <v>General
Service
Sch 28</v>
          </cell>
          <cell r="I13" t="str">
            <v>Large General
Service
Sch 46</v>
          </cell>
          <cell r="J13" t="str">
            <v>Large General
Service Trans
Sch 48</v>
          </cell>
          <cell r="K13" t="str">
            <v>Irrigation
Sch 40</v>
          </cell>
          <cell r="L13" t="str">
            <v>Street &amp; Area
Lighting
Sch 15/58</v>
          </cell>
          <cell r="M13" t="str">
            <v>Irrigation
Sch 210</v>
          </cell>
          <cell r="N13" t="str">
            <v>Street &amp; Area
Lighting
Sch 207, 211, 212</v>
          </cell>
          <cell r="O13" t="str">
            <v>Traffic Sgnls
Outdoor Lgt
Sch 213</v>
          </cell>
        </row>
        <row r="15">
          <cell r="A15" t="str">
            <v>F10</v>
          </cell>
          <cell r="F15">
            <v>0.14887708630302221</v>
          </cell>
          <cell r="G15">
            <v>4.1387965673104099E-2</v>
          </cell>
          <cell r="H15">
            <v>0.18978993752297119</v>
          </cell>
          <cell r="I15">
            <v>0.23378690654613804</v>
          </cell>
          <cell r="J15">
            <v>0.38241885173855711</v>
          </cell>
          <cell r="K15">
            <v>2.6008773388981801E-3</v>
          </cell>
          <cell r="L15">
            <v>6.1853627924989213E-4</v>
          </cell>
          <cell r="M15">
            <v>4.1491866493795817E-4</v>
          </cell>
          <cell r="N15">
            <v>7.8240074419752299E-5</v>
          </cell>
          <cell r="O15">
            <v>2.6679858701405138E-5</v>
          </cell>
        </row>
        <row r="16">
          <cell r="A16" t="str">
            <v>F11</v>
          </cell>
          <cell r="F16">
            <v>0.14185852617184985</v>
          </cell>
          <cell r="G16">
            <v>3.9551000786803805E-2</v>
          </cell>
          <cell r="H16">
            <v>0.18205200581702929</v>
          </cell>
          <cell r="I16">
            <v>0.23822102151424634</v>
          </cell>
          <cell r="J16">
            <v>0.39414039840772541</v>
          </cell>
          <cell r="K16">
            <v>2.5933083873099427E-3</v>
          </cell>
          <cell r="L16">
            <v>9.9980802372299626E-4</v>
          </cell>
          <cell r="M16">
            <v>4.2011286423498565E-4</v>
          </cell>
          <cell r="N16">
            <v>1.2639520097541563E-4</v>
          </cell>
          <cell r="O16">
            <v>3.7422826101833406E-5</v>
          </cell>
        </row>
        <row r="17">
          <cell r="A17" t="str">
            <v>F12</v>
          </cell>
          <cell r="F17">
            <v>0.15589564643419454</v>
          </cell>
          <cell r="G17">
            <v>4.3224930559404386E-2</v>
          </cell>
          <cell r="H17">
            <v>0.19752786922891308</v>
          </cell>
          <cell r="I17">
            <v>0.22935279157802971</v>
          </cell>
          <cell r="J17">
            <v>0.37069730506938886</v>
          </cell>
          <cell r="K17">
            <v>2.6084462904864174E-3</v>
          </cell>
          <cell r="L17">
            <v>2.3726453477678822E-4</v>
          </cell>
          <cell r="M17">
            <v>4.0972446564093069E-4</v>
          </cell>
          <cell r="N17">
            <v>3.0084947864088978E-5</v>
          </cell>
          <cell r="O17">
            <v>1.5936891300976866E-5</v>
          </cell>
        </row>
        <row r="18">
          <cell r="A18" t="str">
            <v>F13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F14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F15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F16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F17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F18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F20</v>
          </cell>
          <cell r="F24">
            <v>0.3092895235326093</v>
          </cell>
          <cell r="G24">
            <v>6.3918070405806798E-2</v>
          </cell>
          <cell r="H24">
            <v>0.27393465200982803</v>
          </cell>
          <cell r="I24">
            <v>0.34658743692687749</v>
          </cell>
          <cell r="J24">
            <v>0</v>
          </cell>
          <cell r="K24">
            <v>3.9542049670674194E-3</v>
          </cell>
          <cell r="L24">
            <v>1.4498549790468841E-3</v>
          </cell>
          <cell r="M24">
            <v>6.1761376831403548E-4</v>
          </cell>
          <cell r="N24">
            <v>1.8739045734028362E-4</v>
          </cell>
          <cell r="O24">
            <v>6.1252953109937669E-5</v>
          </cell>
        </row>
        <row r="25">
          <cell r="A25" t="str">
            <v>F21</v>
          </cell>
          <cell r="F25">
            <v>0.580340639962311</v>
          </cell>
          <cell r="G25">
            <v>9.9743613803829803E-2</v>
          </cell>
          <cell r="H25">
            <v>0.2602873324402068</v>
          </cell>
          <cell r="I25">
            <v>3.8133048956516563E-2</v>
          </cell>
          <cell r="J25">
            <v>0</v>
          </cell>
          <cell r="K25">
            <v>1.5264929520670937E-2</v>
          </cell>
          <cell r="L25">
            <v>3.794083738119838E-3</v>
          </cell>
          <cell r="M25">
            <v>1.8428166527717008E-3</v>
          </cell>
          <cell r="N25">
            <v>4.8256238991375733E-4</v>
          </cell>
          <cell r="O25">
            <v>1.1097253565960969E-4</v>
          </cell>
        </row>
        <row r="26">
          <cell r="A26" t="str">
            <v>F22</v>
          </cell>
          <cell r="F26">
            <v>0.85333638699694347</v>
          </cell>
          <cell r="G26">
            <v>0.14666361300305658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F23</v>
          </cell>
          <cell r="F27">
            <v>0.45331895397564803</v>
          </cell>
          <cell r="G27">
            <v>7.8886375159653105E-2</v>
          </cell>
          <cell r="H27">
            <v>0.22294280334463207</v>
          </cell>
          <cell r="I27">
            <v>0.22806128689843699</v>
          </cell>
          <cell r="J27">
            <v>0</v>
          </cell>
          <cell r="K27">
            <v>1.1923827845783705E-2</v>
          </cell>
          <cell r="L27">
            <v>2.9636560892447555E-3</v>
          </cell>
          <cell r="M27">
            <v>1.4394713378294937E-3</v>
          </cell>
          <cell r="N27">
            <v>3.7694185580024143E-4</v>
          </cell>
          <cell r="O27">
            <v>8.6683492971484092E-5</v>
          </cell>
        </row>
        <row r="28">
          <cell r="A28" t="str">
            <v>F24</v>
          </cell>
          <cell r="F28">
            <v>0.2805919093146006</v>
          </cell>
          <cell r="G28">
            <v>6.880236076735545E-2</v>
          </cell>
          <cell r="H28">
            <v>0.2866835760714278</v>
          </cell>
          <cell r="I28">
            <v>0.35336020384191802</v>
          </cell>
          <cell r="J28">
            <v>0</v>
          </cell>
          <cell r="K28">
            <v>7.2586274335471107E-3</v>
          </cell>
          <cell r="L28">
            <v>1.3332263757847593E-3</v>
          </cell>
          <cell r="M28">
            <v>1.8311722583256509E-3</v>
          </cell>
          <cell r="N28">
            <v>1.047002212944884E-4</v>
          </cell>
          <cell r="O28">
            <v>3.4223715746131215E-5</v>
          </cell>
        </row>
        <row r="29">
          <cell r="A29" t="str">
            <v>F25</v>
          </cell>
          <cell r="F29">
            <v>0.41493008317595687</v>
          </cell>
          <cell r="G29">
            <v>8.5672767334031411E-2</v>
          </cell>
          <cell r="H29">
            <v>0.23540214102374149</v>
          </cell>
          <cell r="I29">
            <v>0.2345943246616379</v>
          </cell>
          <cell r="J29">
            <v>0</v>
          </cell>
          <cell r="K29">
            <v>2.2083715113827569E-2</v>
          </cell>
          <cell r="L29">
            <v>2.7495919552032919E-3</v>
          </cell>
          <cell r="M29">
            <v>4.3060231805756083E-3</v>
          </cell>
          <cell r="N29">
            <v>2.1248858439777119E-4</v>
          </cell>
          <cell r="O29">
            <v>4.8864970628058869E-5</v>
          </cell>
        </row>
        <row r="30">
          <cell r="A30" t="str">
            <v>F26</v>
          </cell>
          <cell r="F30">
            <v>0.3653932756490933</v>
          </cell>
          <cell r="G30">
            <v>7.5512525778406156E-2</v>
          </cell>
          <cell r="H30">
            <v>0.32362518674549401</v>
          </cell>
          <cell r="I30">
            <v>0.22806128689843699</v>
          </cell>
          <cell r="J30">
            <v>0</v>
          </cell>
          <cell r="K30">
            <v>4.6714802654877052E-3</v>
          </cell>
          <cell r="L30">
            <v>1.7128522620464177E-3</v>
          </cell>
          <cell r="M30">
            <v>7.2964617524929644E-4</v>
          </cell>
          <cell r="N30">
            <v>2.2138225779810093E-4</v>
          </cell>
          <cell r="O30">
            <v>7.2363967988268126E-5</v>
          </cell>
        </row>
        <row r="31">
          <cell r="A31" t="str">
            <v>F27</v>
          </cell>
          <cell r="F31">
            <v>0.40935611481237061</v>
          </cell>
          <cell r="G31">
            <v>7.7199450469029623E-2</v>
          </cell>
          <cell r="H31">
            <v>0.27328399504506301</v>
          </cell>
          <cell r="I31">
            <v>0.22806128689843699</v>
          </cell>
          <cell r="J31">
            <v>0</v>
          </cell>
          <cell r="K31">
            <v>8.2976540556357059E-3</v>
          </cell>
          <cell r="L31">
            <v>2.3382541756455867E-3</v>
          </cell>
          <cell r="M31">
            <v>1.0845587565393949E-3</v>
          </cell>
          <cell r="N31">
            <v>2.9916205679917117E-4</v>
          </cell>
          <cell r="O31">
            <v>7.9523730479876109E-5</v>
          </cell>
        </row>
        <row r="32">
          <cell r="A32" t="str">
            <v>F30</v>
          </cell>
          <cell r="F32">
            <v>0.12782140590950519</v>
          </cell>
          <cell r="G32">
            <v>3.5877071014203232E-2</v>
          </cell>
          <cell r="H32">
            <v>0.16657614240514551</v>
          </cell>
          <cell r="I32">
            <v>0.24708925145046295</v>
          </cell>
          <cell r="J32">
            <v>0.41758349174606196</v>
          </cell>
          <cell r="K32">
            <v>2.578170484133468E-3</v>
          </cell>
          <cell r="L32">
            <v>1.7623515126692041E-3</v>
          </cell>
          <cell r="M32">
            <v>4.3050126282904061E-4</v>
          </cell>
          <cell r="N32">
            <v>2.2270545408674226E-4</v>
          </cell>
          <cell r="O32">
            <v>5.8908760902689949E-5</v>
          </cell>
        </row>
        <row r="33">
          <cell r="A33" t="str">
            <v>F33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F35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F37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F40</v>
          </cell>
          <cell r="F36">
            <v>0.78184095491608507</v>
          </cell>
          <cell r="G36">
            <v>0.15742601377999779</v>
          </cell>
          <cell r="H36">
            <v>3.0232682371287119E-2</v>
          </cell>
          <cell r="I36">
            <v>5.5465512499062444E-4</v>
          </cell>
          <cell r="J36">
            <v>2.0060784746074839E-4</v>
          </cell>
          <cell r="K36">
            <v>4.6713782043267755E-3</v>
          </cell>
          <cell r="L36">
            <v>2.2239056358871006E-2</v>
          </cell>
          <cell r="M36">
            <v>6.9559208298004534E-4</v>
          </cell>
          <cell r="N36">
            <v>1.9617515281430686E-3</v>
          </cell>
          <cell r="O36">
            <v>1.7730778585765863E-4</v>
          </cell>
        </row>
        <row r="37">
          <cell r="A37" t="str">
            <v>F41</v>
          </cell>
          <cell r="F37">
            <v>0.78741419653936773</v>
          </cell>
          <cell r="G37">
            <v>0.15865437395280335</v>
          </cell>
          <cell r="H37">
            <v>3.1823095777797274E-2</v>
          </cell>
          <cell r="I37">
            <v>1.0495005239084424E-2</v>
          </cell>
          <cell r="J37">
            <v>7.9342981922040888E-3</v>
          </cell>
          <cell r="K37">
            <v>3.1730817300695082E-3</v>
          </cell>
          <cell r="L37">
            <v>0</v>
          </cell>
          <cell r="M37">
            <v>3.2737686957898959E-4</v>
          </cell>
          <cell r="N37">
            <v>0</v>
          </cell>
          <cell r="O37">
            <v>1.7857169909482083E-4</v>
          </cell>
        </row>
        <row r="38">
          <cell r="A38" t="str">
            <v>F42</v>
          </cell>
          <cell r="F38">
            <v>0.78890167708412218</v>
          </cell>
          <cell r="G38">
            <v>0.1499962790205818</v>
          </cell>
          <cell r="H38">
            <v>3.2818467791608574E-2</v>
          </cell>
          <cell r="I38">
            <v>1.9594505530095806E-3</v>
          </cell>
          <cell r="J38">
            <v>7.086947184553093E-4</v>
          </cell>
          <cell r="K38">
            <v>3.0562506442432984E-3</v>
          </cell>
          <cell r="L38">
            <v>2.0292068486830635E-2</v>
          </cell>
          <cell r="M38">
            <v>3.1532303724783774E-4</v>
          </cell>
          <cell r="N38">
            <v>1.7900038437262502E-3</v>
          </cell>
          <cell r="O38">
            <v>1.6178482017456262E-4</v>
          </cell>
        </row>
        <row r="39">
          <cell r="A39" t="str">
            <v>F43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F44</v>
          </cell>
          <cell r="F40">
            <v>0</v>
          </cell>
          <cell r="G40">
            <v>0.84735426008968606</v>
          </cell>
          <cell r="H40">
            <v>0.15182388911536893</v>
          </cell>
          <cell r="I40">
            <v>7.8271504280472885E-4</v>
          </cell>
          <cell r="J40">
            <v>3.9135752140236443E-5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F45</v>
          </cell>
          <cell r="F41">
            <v>0</v>
          </cell>
          <cell r="G41">
            <v>0.50023273404317214</v>
          </cell>
          <cell r="H41">
            <v>0.19334380636527609</v>
          </cell>
          <cell r="I41">
            <v>2.1411531971839183E-2</v>
          </cell>
          <cell r="J41">
            <v>1.0269389654971782E-2</v>
          </cell>
          <cell r="K41">
            <v>0.23913422935939954</v>
          </cell>
          <cell r="L41">
            <v>0</v>
          </cell>
          <cell r="M41">
            <v>3.5608308605341248E-2</v>
          </cell>
          <cell r="N41">
            <v>0</v>
          </cell>
          <cell r="O41">
            <v>0</v>
          </cell>
        </row>
        <row r="42">
          <cell r="A42" t="str">
            <v>F46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0.91225493624262777</v>
          </cell>
          <cell r="M42">
            <v>0</v>
          </cell>
          <cell r="N42">
            <v>8.0471827866750584E-2</v>
          </cell>
          <cell r="O42">
            <v>7.2732358906217225E-3</v>
          </cell>
        </row>
        <row r="43">
          <cell r="A43" t="str">
            <v>F47</v>
          </cell>
          <cell r="F43">
            <v>0.78741419653936773</v>
          </cell>
          <cell r="G43">
            <v>0.15865437395280335</v>
          </cell>
          <cell r="H43">
            <v>3.1823095777797274E-2</v>
          </cell>
          <cell r="I43">
            <v>1.0495005239084424E-2</v>
          </cell>
          <cell r="J43">
            <v>7.9342981922040888E-3</v>
          </cell>
          <cell r="K43">
            <v>3.1730817300695082E-3</v>
          </cell>
          <cell r="L43">
            <v>0</v>
          </cell>
          <cell r="M43">
            <v>3.2737686957898959E-4</v>
          </cell>
          <cell r="N43">
            <v>0</v>
          </cell>
          <cell r="O43">
            <v>1.7857169909482083E-4</v>
          </cell>
        </row>
        <row r="44">
          <cell r="A44" t="str">
            <v>F48</v>
          </cell>
          <cell r="F44">
            <v>0.78890167708412218</v>
          </cell>
          <cell r="G44">
            <v>0.1499962790205818</v>
          </cell>
          <cell r="H44">
            <v>3.2818467791608574E-2</v>
          </cell>
          <cell r="I44">
            <v>1.9594505530095806E-3</v>
          </cell>
          <cell r="J44">
            <v>7.086947184553093E-4</v>
          </cell>
          <cell r="K44">
            <v>3.0562506442432984E-3</v>
          </cell>
          <cell r="L44">
            <v>2.0292068486830635E-2</v>
          </cell>
          <cell r="M44">
            <v>3.1532303724783774E-4</v>
          </cell>
          <cell r="N44">
            <v>1.7900038437262502E-3</v>
          </cell>
          <cell r="O44">
            <v>1.6178482017456262E-4</v>
          </cell>
        </row>
        <row r="45">
          <cell r="A45" t="str">
            <v>F50</v>
          </cell>
          <cell r="F45">
            <v>6.6528168589796516E-2</v>
          </cell>
          <cell r="G45">
            <v>0.28364697909857622</v>
          </cell>
          <cell r="H45">
            <v>0.54946638458378816</v>
          </cell>
          <cell r="I45">
            <v>0</v>
          </cell>
          <cell r="J45">
            <v>7.5451752140317394E-2</v>
          </cell>
          <cell r="K45">
            <v>7.4904420562911835E-3</v>
          </cell>
          <cell r="L45">
            <v>1.7416273531230438E-2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F51</v>
          </cell>
          <cell r="F46">
            <v>0.51259919627175232</v>
          </cell>
          <cell r="G46">
            <v>0.34101625660568136</v>
          </cell>
          <cell r="H46">
            <v>3.4293723886123638E-2</v>
          </cell>
          <cell r="I46">
            <v>1.4750998122935489E-2</v>
          </cell>
          <cell r="J46">
            <v>9.3060359408069268E-2</v>
          </cell>
          <cell r="K46">
            <v>2.6360704145600398E-3</v>
          </cell>
          <cell r="L46">
            <v>1.1180586077270422E-3</v>
          </cell>
          <cell r="M46">
            <v>0</v>
          </cell>
          <cell r="N46">
            <v>5.253366831509071E-4</v>
          </cell>
          <cell r="O46">
            <v>0</v>
          </cell>
        </row>
        <row r="47">
          <cell r="A47" t="str">
            <v>F60</v>
          </cell>
          <cell r="F47">
            <v>0.4163387867870964</v>
          </cell>
          <cell r="G47">
            <v>0.10827498872975018</v>
          </cell>
          <cell r="H47">
            <v>0.11149434544781302</v>
          </cell>
          <cell r="I47">
            <v>2.8616381387944465E-2</v>
          </cell>
          <cell r="J47">
            <v>0.32754498078201066</v>
          </cell>
          <cell r="K47">
            <v>6.1604418032429704E-3</v>
          </cell>
          <cell r="L47">
            <v>0</v>
          </cell>
          <cell r="M47">
            <v>1.4809850136527586E-3</v>
          </cell>
          <cell r="N47">
            <v>0</v>
          </cell>
          <cell r="O47">
            <v>8.9090048489577888E-5</v>
          </cell>
        </row>
        <row r="48">
          <cell r="A48" t="str">
            <v>F70</v>
          </cell>
          <cell r="F48">
            <v>0.67672298360126515</v>
          </cell>
          <cell r="G48">
            <v>0.19703520026468399</v>
          </cell>
          <cell r="H48">
            <v>9.5016863526360934E-2</v>
          </cell>
          <cell r="I48">
            <v>5.0111126540963308E-3</v>
          </cell>
          <cell r="J48">
            <v>0</v>
          </cell>
          <cell r="K48">
            <v>0</v>
          </cell>
          <cell r="L48">
            <v>2.3929302723107868E-2</v>
          </cell>
          <cell r="M48">
            <v>0</v>
          </cell>
          <cell r="N48">
            <v>2.11085153195943E-3</v>
          </cell>
          <cell r="O48">
            <v>1.7368569852622845E-4</v>
          </cell>
        </row>
        <row r="49">
          <cell r="A49" t="str">
            <v>F80</v>
          </cell>
          <cell r="F49">
            <v>0.90633387548051636</v>
          </cell>
          <cell r="G49">
            <v>1.7573089469347467E-2</v>
          </cell>
          <cell r="H49">
            <v>5.8909939673557711E-2</v>
          </cell>
          <cell r="I49">
            <v>1.1781887641831324E-2</v>
          </cell>
          <cell r="J49">
            <v>9.1538799155766186E-4</v>
          </cell>
          <cell r="K49">
            <v>3.8764267960046451E-3</v>
          </cell>
          <cell r="L49">
            <v>0</v>
          </cell>
          <cell r="M49">
            <v>6.0939294718481945E-4</v>
          </cell>
          <cell r="N49">
            <v>0</v>
          </cell>
          <cell r="O49">
            <v>0</v>
          </cell>
        </row>
        <row r="50">
          <cell r="A50" t="str">
            <v>F90</v>
          </cell>
          <cell r="F50">
            <v>0.78179451668077904</v>
          </cell>
          <cell r="G50">
            <v>0.15741746056455899</v>
          </cell>
          <cell r="H50">
            <v>3.0243698644780784E-2</v>
          </cell>
          <cell r="I50">
            <v>5.7190060885239859E-4</v>
          </cell>
          <cell r="J50">
            <v>2.2919280209202699E-4</v>
          </cell>
          <cell r="K50">
            <v>4.6712274159757044E-3</v>
          </cell>
          <cell r="L50">
            <v>2.2237515202164802E-2</v>
          </cell>
          <cell r="M50">
            <v>6.955720937300169E-4</v>
          </cell>
          <cell r="N50">
            <v>1.9616183515038933E-3</v>
          </cell>
          <cell r="O50">
            <v>1.7729763556229871E-4</v>
          </cell>
        </row>
        <row r="51">
          <cell r="A51" t="str">
            <v>F101</v>
          </cell>
          <cell r="F51">
            <v>0.2440173154136219</v>
          </cell>
          <cell r="G51">
            <v>5.7409341992497566E-2</v>
          </cell>
          <cell r="H51">
            <v>0.20295586355912756</v>
          </cell>
          <cell r="I51">
            <v>0.20680235471837832</v>
          </cell>
          <cell r="J51">
            <v>0.28052068513270123</v>
          </cell>
          <cell r="K51">
            <v>3.4689528266758441E-3</v>
          </cell>
          <cell r="L51">
            <v>3.9872059473804967E-3</v>
          </cell>
          <cell r="M51">
            <v>5.2474586734766869E-4</v>
          </cell>
          <cell r="N51">
            <v>2.7062572006693303E-4</v>
          </cell>
          <cell r="O51">
            <v>4.2908822202338693E-5</v>
          </cell>
        </row>
        <row r="52">
          <cell r="A52" t="str">
            <v>F101P</v>
          </cell>
          <cell r="F52">
            <v>0.14540773219069372</v>
          </cell>
          <cell r="G52">
            <v>4.0712587053508838E-2</v>
          </cell>
          <cell r="H52">
            <v>0.18936271660877294</v>
          </cell>
          <cell r="I52">
            <v>0.23529488943412538</v>
          </cell>
          <cell r="J52">
            <v>0.38551123888626587</v>
          </cell>
          <cell r="K52">
            <v>2.5978189555616342E-3</v>
          </cell>
          <cell r="L52">
            <v>5.9152082071178131E-4</v>
          </cell>
          <cell r="M52">
            <v>4.1597014766628918E-4</v>
          </cell>
          <cell r="N52">
            <v>7.7940140755552317E-5</v>
          </cell>
          <cell r="O52">
            <v>2.7585761937971224E-5</v>
          </cell>
        </row>
        <row r="53">
          <cell r="A53" t="str">
            <v>F101T</v>
          </cell>
          <cell r="F53">
            <v>0.14760947765651072</v>
          </cell>
          <cell r="G53">
            <v>3.9227426984226758E-2</v>
          </cell>
          <cell r="H53">
            <v>0.18748109730159143</v>
          </cell>
          <cell r="I53">
            <v>0.23623874882797993</v>
          </cell>
          <cell r="J53">
            <v>0.38593180096347307</v>
          </cell>
          <cell r="K53">
            <v>2.5614528918512769E-3</v>
          </cell>
          <cell r="L53">
            <v>4.3147390514329222E-4</v>
          </cell>
          <cell r="M53">
            <v>4.182137472749043E-4</v>
          </cell>
          <cell r="N53">
            <v>7.3822463095451444E-5</v>
          </cell>
          <cell r="O53">
            <v>2.6485258853239185E-5</v>
          </cell>
        </row>
        <row r="54">
          <cell r="A54" t="str">
            <v>F101D</v>
          </cell>
          <cell r="F54">
            <v>0.49611090882896264</v>
          </cell>
          <cell r="G54">
            <v>0.10207722984097009</v>
          </cell>
          <cell r="H54">
            <v>0.24143695567594362</v>
          </cell>
          <cell r="I54">
            <v>0.13254101332285378</v>
          </cell>
          <cell r="J54">
            <v>7.4699881769200579E-3</v>
          </cell>
          <cell r="K54">
            <v>5.7858151085240558E-3</v>
          </cell>
          <cell r="L54">
            <v>1.2917994010574798E-2</v>
          </cell>
          <cell r="M54">
            <v>8.0774710260206155E-4</v>
          </cell>
          <cell r="N54">
            <v>7.6894089722843442E-4</v>
          </cell>
          <cell r="O54">
            <v>8.3407035420573155E-5</v>
          </cell>
        </row>
        <row r="55">
          <cell r="A55" t="str">
            <v>F101R</v>
          </cell>
          <cell r="F55">
            <v>0.35886464639852622</v>
          </cell>
          <cell r="G55">
            <v>7.7438494399032637E-2</v>
          </cell>
          <cell r="H55">
            <v>0.16620171740654766</v>
          </cell>
          <cell r="I55">
            <v>0.16254292319941369</v>
          </cell>
          <cell r="J55">
            <v>0.22261904020217685</v>
          </cell>
          <cell r="K55">
            <v>3.3153360809823735E-3</v>
          </cell>
          <cell r="L55">
            <v>7.8769172045573214E-3</v>
          </cell>
          <cell r="M55">
            <v>4.6621502602472574E-4</v>
          </cell>
          <cell r="N55">
            <v>6.0718694698730694E-4</v>
          </cell>
          <cell r="O55">
            <v>6.7523135751142028E-5</v>
          </cell>
        </row>
        <row r="56">
          <cell r="A56" t="str">
            <v>F101M</v>
          </cell>
          <cell r="F56">
            <v>0.18799063011467659</v>
          </cell>
          <cell r="G56">
            <v>4.7907367556052904E-2</v>
          </cell>
          <cell r="H56">
            <v>0.19182927264129221</v>
          </cell>
          <cell r="I56">
            <v>0.22356130026068144</v>
          </cell>
          <cell r="J56">
            <v>0.34239399598603443</v>
          </cell>
          <cell r="K56">
            <v>2.9868485496073556E-3</v>
          </cell>
          <cell r="L56">
            <v>2.6171973512796902E-3</v>
          </cell>
          <cell r="M56">
            <v>4.657129821689754E-4</v>
          </cell>
          <cell r="N56">
            <v>2.0811553390618606E-4</v>
          </cell>
          <cell r="O56">
            <v>3.9559024300286872E-5</v>
          </cell>
        </row>
        <row r="57">
          <cell r="A57" t="str">
            <v>F102</v>
          </cell>
          <cell r="F57">
            <v>0.23974563926200637</v>
          </cell>
          <cell r="G57">
            <v>5.7296246442334366E-2</v>
          </cell>
          <cell r="H57">
            <v>0.2031438691318731</v>
          </cell>
          <cell r="I57">
            <v>0.20704941174640426</v>
          </cell>
          <cell r="J57">
            <v>0.2841203890085679</v>
          </cell>
          <cell r="K57">
            <v>3.4253766911306973E-3</v>
          </cell>
          <cell r="L57">
            <v>4.3854639565153548E-3</v>
          </cell>
          <cell r="M57">
            <v>5.171644883254509E-4</v>
          </cell>
          <cell r="N57">
            <v>2.7491682640498356E-4</v>
          </cell>
          <cell r="O57">
            <v>4.1522446437518707E-5</v>
          </cell>
        </row>
        <row r="58">
          <cell r="A58" t="str">
            <v>F102P</v>
          </cell>
          <cell r="F58">
            <v>0.14887708630302227</v>
          </cell>
          <cell r="G58">
            <v>4.138796567310412E-2</v>
          </cell>
          <cell r="H58">
            <v>0.18978993752297127</v>
          </cell>
          <cell r="I58">
            <v>0.23378690654613812</v>
          </cell>
          <cell r="J58">
            <v>0.38241885173855716</v>
          </cell>
          <cell r="K58">
            <v>2.6008773388981814E-3</v>
          </cell>
          <cell r="L58">
            <v>6.1853627924989224E-4</v>
          </cell>
          <cell r="M58">
            <v>4.1491866493795833E-4</v>
          </cell>
          <cell r="N58">
            <v>7.8240074419752339E-5</v>
          </cell>
          <cell r="O58">
            <v>2.6679858701405148E-5</v>
          </cell>
        </row>
        <row r="59">
          <cell r="A59" t="str">
            <v>F102T</v>
          </cell>
          <cell r="F59">
            <v>0.14887708630302224</v>
          </cell>
          <cell r="G59">
            <v>4.1387965673104106E-2</v>
          </cell>
          <cell r="H59">
            <v>0.18978993752297124</v>
          </cell>
          <cell r="I59">
            <v>0.23378690654613815</v>
          </cell>
          <cell r="J59">
            <v>0.38241885173855722</v>
          </cell>
          <cell r="K59">
            <v>2.6008773388981801E-3</v>
          </cell>
          <cell r="L59">
            <v>6.1853627924989235E-4</v>
          </cell>
          <cell r="M59">
            <v>4.1491866493795828E-4</v>
          </cell>
          <cell r="N59">
            <v>7.8240074419752312E-5</v>
          </cell>
          <cell r="O59">
            <v>2.6679858701405144E-5</v>
          </cell>
        </row>
        <row r="60">
          <cell r="A60" t="str">
            <v>F102D</v>
          </cell>
          <cell r="F60">
            <v>0.49354633103863882</v>
          </cell>
          <cell r="G60">
            <v>0.10172891905273654</v>
          </cell>
          <cell r="H60">
            <v>0.240442108950955</v>
          </cell>
          <cell r="I60">
            <v>0.13237016952704606</v>
          </cell>
          <cell r="J60">
            <v>9.5675648570509308E-3</v>
          </cell>
          <cell r="K60">
            <v>5.7282471468806878E-3</v>
          </cell>
          <cell r="L60">
            <v>1.4906692910101249E-2</v>
          </cell>
          <cell r="M60">
            <v>8.0274250032185887E-4</v>
          </cell>
          <cell r="N60">
            <v>8.2424543443029255E-4</v>
          </cell>
          <cell r="O60">
            <v>8.2978581838743151E-5</v>
          </cell>
        </row>
        <row r="61">
          <cell r="A61" t="str">
            <v>F102R</v>
          </cell>
          <cell r="F61">
            <v>0.23974563926200637</v>
          </cell>
          <cell r="G61">
            <v>5.7296246442334366E-2</v>
          </cell>
          <cell r="H61">
            <v>0.2031438691318731</v>
          </cell>
          <cell r="I61">
            <v>0.20704941174640426</v>
          </cell>
          <cell r="J61">
            <v>0.2841203890085679</v>
          </cell>
          <cell r="K61">
            <v>3.4253766911306973E-3</v>
          </cell>
          <cell r="L61">
            <v>4.3854639565153548E-3</v>
          </cell>
          <cell r="M61">
            <v>5.171644883254509E-4</v>
          </cell>
          <cell r="N61">
            <v>2.7491682640498356E-4</v>
          </cell>
          <cell r="O61">
            <v>4.1522446437518707E-5</v>
          </cell>
        </row>
        <row r="62">
          <cell r="A62" t="str">
            <v>F102M</v>
          </cell>
          <cell r="F62">
            <v>0.23974563926200637</v>
          </cell>
          <cell r="G62">
            <v>5.7296246442334366E-2</v>
          </cell>
          <cell r="H62">
            <v>0.2031438691318731</v>
          </cell>
          <cell r="I62">
            <v>0.20704941174640426</v>
          </cell>
          <cell r="J62">
            <v>0.2841203890085679</v>
          </cell>
          <cell r="K62">
            <v>3.4253766911306973E-3</v>
          </cell>
          <cell r="L62">
            <v>4.3854639565153548E-3</v>
          </cell>
          <cell r="M62">
            <v>5.171644883254509E-4</v>
          </cell>
          <cell r="N62">
            <v>2.7491682640498356E-4</v>
          </cell>
          <cell r="O62">
            <v>4.1522446437518707E-5</v>
          </cell>
        </row>
        <row r="63">
          <cell r="A63" t="str">
            <v>F103</v>
          </cell>
          <cell r="F63">
            <v>0.33333333333333331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0.33333333333333331</v>
          </cell>
          <cell r="L63">
            <v>0</v>
          </cell>
          <cell r="M63">
            <v>0</v>
          </cell>
          <cell r="N63">
            <v>0.33333333333333331</v>
          </cell>
          <cell r="O63">
            <v>0</v>
          </cell>
        </row>
        <row r="64">
          <cell r="A64" t="str">
            <v>F104</v>
          </cell>
          <cell r="F64">
            <v>0.23187624220625006</v>
          </cell>
          <cell r="G64">
            <v>5.590665095511211E-2</v>
          </cell>
          <cell r="H64">
            <v>0.20127754303072345</v>
          </cell>
          <cell r="I64">
            <v>0.20942813415478045</v>
          </cell>
          <cell r="J64">
            <v>0.29380403762600793</v>
          </cell>
          <cell r="K64">
            <v>3.350330453455428E-3</v>
          </cell>
          <cell r="L64">
            <v>3.5630841492503172E-3</v>
          </cell>
          <cell r="M64">
            <v>5.0698272363691244E-4</v>
          </cell>
          <cell r="N64">
            <v>2.4629894525595353E-4</v>
          </cell>
          <cell r="O64">
            <v>4.0695755527092592E-5</v>
          </cell>
        </row>
        <row r="65">
          <cell r="A65" t="str">
            <v>F104P</v>
          </cell>
          <cell r="F65">
            <v>0.14837858851105182</v>
          </cell>
          <cell r="G65">
            <v>4.126081088673738E-2</v>
          </cell>
          <cell r="H65">
            <v>0.18927779191298913</v>
          </cell>
          <cell r="I65">
            <v>0.23408915732078384</v>
          </cell>
          <cell r="J65">
            <v>0.3832276870406286</v>
          </cell>
          <cell r="K65">
            <v>2.6000569924323818E-3</v>
          </cell>
          <cell r="L65">
            <v>6.4199426402396253E-4</v>
          </cell>
          <cell r="M65">
            <v>4.1521986018858191E-4</v>
          </cell>
          <cell r="N65">
            <v>8.1315011583279884E-5</v>
          </cell>
          <cell r="O65">
            <v>2.7378199581124462E-5</v>
          </cell>
        </row>
        <row r="66">
          <cell r="A66" t="str">
            <v>F104T</v>
          </cell>
          <cell r="F66">
            <v>0.14874753773509342</v>
          </cell>
          <cell r="G66">
            <v>4.1365590702431461E-2</v>
          </cell>
          <cell r="H66">
            <v>0.18977730018440092</v>
          </cell>
          <cell r="I66">
            <v>0.23382464879052892</v>
          </cell>
          <cell r="J66">
            <v>0.38255282652410066</v>
          </cell>
          <cell r="K66">
            <v>2.5997545645239754E-3</v>
          </cell>
          <cell r="L66">
            <v>6.1298079716306966E-4</v>
          </cell>
          <cell r="M66">
            <v>4.1477907453226555E-4</v>
          </cell>
          <cell r="N66">
            <v>7.7928367865776703E-5</v>
          </cell>
          <cell r="O66">
            <v>2.6653259359638313E-5</v>
          </cell>
        </row>
        <row r="67">
          <cell r="A67" t="str">
            <v>F104D</v>
          </cell>
          <cell r="F67">
            <v>0.49696893131683367</v>
          </cell>
          <cell r="G67">
            <v>0.10238786740871872</v>
          </cell>
          <cell r="H67">
            <v>0.24081960564679175</v>
          </cell>
          <cell r="I67">
            <v>0.13164732779861532</v>
          </cell>
          <cell r="J67">
            <v>7.8312318990572654E-3</v>
          </cell>
          <cell r="K67">
            <v>5.7780826773092507E-3</v>
          </cell>
          <cell r="L67">
            <v>1.2906447337138624E-2</v>
          </cell>
          <cell r="M67">
            <v>8.0559340312466783E-4</v>
          </cell>
          <cell r="N67">
            <v>7.7129757586241689E-4</v>
          </cell>
          <cell r="O67">
            <v>8.3614936548339318E-5</v>
          </cell>
        </row>
        <row r="68">
          <cell r="A68" t="str">
            <v>F104R</v>
          </cell>
          <cell r="F68">
            <v>0.78890167708412196</v>
          </cell>
          <cell r="G68">
            <v>0.14999627902058171</v>
          </cell>
          <cell r="H68">
            <v>3.281846779160856E-2</v>
          </cell>
          <cell r="I68">
            <v>1.9594505530095784E-3</v>
          </cell>
          <cell r="J68">
            <v>7.0869471845530876E-4</v>
          </cell>
          <cell r="K68">
            <v>3.0562506442432962E-3</v>
          </cell>
          <cell r="L68">
            <v>2.0292068486830638E-2</v>
          </cell>
          <cell r="M68">
            <v>3.1532303724783763E-4</v>
          </cell>
          <cell r="N68">
            <v>1.7900038437262491E-3</v>
          </cell>
          <cell r="O68">
            <v>1.6178482017456265E-4</v>
          </cell>
        </row>
        <row r="69">
          <cell r="A69" t="str">
            <v>F104M</v>
          </cell>
          <cell r="F69">
            <v>0.23187624220625006</v>
          </cell>
          <cell r="G69">
            <v>5.590665095511211E-2</v>
          </cell>
          <cell r="H69">
            <v>0.20127754303072345</v>
          </cell>
          <cell r="I69">
            <v>0.20942813415478045</v>
          </cell>
          <cell r="J69">
            <v>0.29380403762600793</v>
          </cell>
          <cell r="K69">
            <v>3.350330453455428E-3</v>
          </cell>
          <cell r="L69">
            <v>3.5630841492503172E-3</v>
          </cell>
          <cell r="M69">
            <v>5.0698272363691244E-4</v>
          </cell>
          <cell r="N69">
            <v>2.4629894525595353E-4</v>
          </cell>
          <cell r="O69">
            <v>4.0695755527092592E-5</v>
          </cell>
        </row>
        <row r="70">
          <cell r="A70" t="str">
            <v>F105</v>
          </cell>
          <cell r="F70">
            <v>0.14887708630302224</v>
          </cell>
          <cell r="G70">
            <v>4.1387965673104113E-2</v>
          </cell>
          <cell r="H70">
            <v>0.18978993752297121</v>
          </cell>
          <cell r="I70">
            <v>0.2337869065461381</v>
          </cell>
          <cell r="J70">
            <v>0.38241885173855716</v>
          </cell>
          <cell r="K70">
            <v>2.6008773388981805E-3</v>
          </cell>
          <cell r="L70">
            <v>6.1853627924989213E-4</v>
          </cell>
          <cell r="M70">
            <v>4.1491866493795822E-4</v>
          </cell>
          <cell r="N70">
            <v>7.8240074419752326E-5</v>
          </cell>
          <cell r="O70">
            <v>2.6679858701405144E-5</v>
          </cell>
        </row>
        <row r="71">
          <cell r="A71" t="str">
            <v>F105P</v>
          </cell>
          <cell r="F71">
            <v>0.14887708630302227</v>
          </cell>
          <cell r="G71">
            <v>4.138796567310412E-2</v>
          </cell>
          <cell r="H71">
            <v>0.18978993752297127</v>
          </cell>
          <cell r="I71">
            <v>0.23378690654613812</v>
          </cell>
          <cell r="J71">
            <v>0.38241885173855716</v>
          </cell>
          <cell r="K71">
            <v>2.6008773388981814E-3</v>
          </cell>
          <cell r="L71">
            <v>6.1853627924989224E-4</v>
          </cell>
          <cell r="M71">
            <v>4.1491866493795833E-4</v>
          </cell>
          <cell r="N71">
            <v>7.8240074419752339E-5</v>
          </cell>
          <cell r="O71">
            <v>2.6679858701405148E-5</v>
          </cell>
        </row>
        <row r="72">
          <cell r="A72" t="str">
            <v>F105T</v>
          </cell>
          <cell r="F72">
            <v>0.14887708630302224</v>
          </cell>
          <cell r="G72">
            <v>4.1387965673104106E-2</v>
          </cell>
          <cell r="H72">
            <v>0.18978993752297124</v>
          </cell>
          <cell r="I72">
            <v>0.23378690654613815</v>
          </cell>
          <cell r="J72">
            <v>0.38241885173855722</v>
          </cell>
          <cell r="K72">
            <v>2.6008773388981801E-3</v>
          </cell>
          <cell r="L72">
            <v>6.1853627924989235E-4</v>
          </cell>
          <cell r="M72">
            <v>4.1491866493795828E-4</v>
          </cell>
          <cell r="N72">
            <v>7.8240074419752312E-5</v>
          </cell>
          <cell r="O72">
            <v>2.6679858701405144E-5</v>
          </cell>
        </row>
        <row r="73">
          <cell r="A73" t="str">
            <v>F105D</v>
          </cell>
          <cell r="F73">
            <v>0.1</v>
          </cell>
          <cell r="G73">
            <v>0.1</v>
          </cell>
          <cell r="H73">
            <v>0.1</v>
          </cell>
          <cell r="I73">
            <v>0.1</v>
          </cell>
          <cell r="J73">
            <v>0.1</v>
          </cell>
          <cell r="K73">
            <v>0.1</v>
          </cell>
          <cell r="L73">
            <v>0.1</v>
          </cell>
          <cell r="M73">
            <v>0.1</v>
          </cell>
          <cell r="N73">
            <v>0.1</v>
          </cell>
          <cell r="O73">
            <v>0.1</v>
          </cell>
        </row>
        <row r="74">
          <cell r="A74" t="str">
            <v>F105R</v>
          </cell>
          <cell r="F74">
            <v>0.1</v>
          </cell>
          <cell r="G74">
            <v>0.1</v>
          </cell>
          <cell r="H74">
            <v>0.1</v>
          </cell>
          <cell r="I74">
            <v>0.1</v>
          </cell>
          <cell r="J74">
            <v>0.1</v>
          </cell>
          <cell r="K74">
            <v>0.1</v>
          </cell>
          <cell r="L74">
            <v>0.1</v>
          </cell>
          <cell r="M74">
            <v>0.1</v>
          </cell>
          <cell r="N74">
            <v>0.1</v>
          </cell>
          <cell r="O74">
            <v>0.1</v>
          </cell>
        </row>
        <row r="75">
          <cell r="A75" t="str">
            <v>F105M</v>
          </cell>
          <cell r="F75">
            <v>0.1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</row>
        <row r="76">
          <cell r="A76" t="str">
            <v>F106</v>
          </cell>
          <cell r="F76">
            <v>0.14887708630302224</v>
          </cell>
          <cell r="G76">
            <v>4.1387965673104106E-2</v>
          </cell>
          <cell r="H76">
            <v>0.18978993752297124</v>
          </cell>
          <cell r="I76">
            <v>0.23378690654613815</v>
          </cell>
          <cell r="J76">
            <v>0.38241885173855722</v>
          </cell>
          <cell r="K76">
            <v>2.6008773388981801E-3</v>
          </cell>
          <cell r="L76">
            <v>6.1853627924989235E-4</v>
          </cell>
          <cell r="M76">
            <v>4.1491866493795828E-4</v>
          </cell>
          <cell r="N76">
            <v>7.8240074419752312E-5</v>
          </cell>
          <cell r="O76">
            <v>2.6679858701405144E-5</v>
          </cell>
        </row>
        <row r="77">
          <cell r="A77" t="str">
            <v>F107</v>
          </cell>
          <cell r="F77">
            <v>0.32805736569074501</v>
          </cell>
          <cell r="G77">
            <v>7.2756905751809195E-2</v>
          </cell>
          <cell r="H77">
            <v>0.21612205263530956</v>
          </cell>
          <cell r="I77">
            <v>0.18106424692035367</v>
          </cell>
          <cell r="J77">
            <v>0.18858781292699753</v>
          </cell>
          <cell r="K77">
            <v>4.2266765783193511E-3</v>
          </cell>
          <cell r="L77">
            <v>8.0463991830471062E-3</v>
          </cell>
          <cell r="M77">
            <v>6.1653335565574807E-4</v>
          </cell>
          <cell r="N77">
            <v>4.6605955896343522E-4</v>
          </cell>
          <cell r="O77">
            <v>5.5947398799617649E-5</v>
          </cell>
        </row>
        <row r="78">
          <cell r="A78" t="str">
            <v>F107P</v>
          </cell>
          <cell r="F78">
            <v>0.14887708630302227</v>
          </cell>
          <cell r="G78">
            <v>4.138796567310412E-2</v>
          </cell>
          <cell r="H78">
            <v>0.18978993752297127</v>
          </cell>
          <cell r="I78">
            <v>0.23378690654613812</v>
          </cell>
          <cell r="J78">
            <v>0.38241885173855716</v>
          </cell>
          <cell r="K78">
            <v>2.6008773388981814E-3</v>
          </cell>
          <cell r="L78">
            <v>6.1853627924989224E-4</v>
          </cell>
          <cell r="M78">
            <v>4.1491866493795833E-4</v>
          </cell>
          <cell r="N78">
            <v>7.8240074419752339E-5</v>
          </cell>
          <cell r="O78">
            <v>2.6679858701405148E-5</v>
          </cell>
        </row>
        <row r="79">
          <cell r="A79" t="str">
            <v>F107T</v>
          </cell>
          <cell r="F79">
            <v>0.14887708630302224</v>
          </cell>
          <cell r="G79">
            <v>4.1387965673104106E-2</v>
          </cell>
          <cell r="H79">
            <v>0.18978993752297124</v>
          </cell>
          <cell r="I79">
            <v>0.23378690654613815</v>
          </cell>
          <cell r="J79">
            <v>0.38241885173855722</v>
          </cell>
          <cell r="K79">
            <v>2.6008773388981801E-3</v>
          </cell>
          <cell r="L79">
            <v>6.1853627924989235E-4</v>
          </cell>
          <cell r="M79">
            <v>4.1491866493795828E-4</v>
          </cell>
          <cell r="N79">
            <v>7.8240074419752312E-5</v>
          </cell>
          <cell r="O79">
            <v>2.6679858701405144E-5</v>
          </cell>
        </row>
        <row r="80">
          <cell r="A80" t="str">
            <v>F107D</v>
          </cell>
          <cell r="F80">
            <v>0.49354633103863882</v>
          </cell>
          <cell r="G80">
            <v>0.10172891905273654</v>
          </cell>
          <cell r="H80">
            <v>0.240442108950955</v>
          </cell>
          <cell r="I80">
            <v>0.13237016952704606</v>
          </cell>
          <cell r="J80">
            <v>9.5675648570509308E-3</v>
          </cell>
          <cell r="K80">
            <v>5.7282471468806878E-3</v>
          </cell>
          <cell r="L80">
            <v>1.4906692910101249E-2</v>
          </cell>
          <cell r="M80">
            <v>8.0274250032185887E-4</v>
          </cell>
          <cell r="N80">
            <v>8.2424543443029255E-4</v>
          </cell>
          <cell r="O80">
            <v>8.2978581838743151E-5</v>
          </cell>
        </row>
        <row r="81">
          <cell r="A81" t="str">
            <v>F107R</v>
          </cell>
          <cell r="F81">
            <v>0.49354633103863882</v>
          </cell>
          <cell r="G81">
            <v>0.10172891905273654</v>
          </cell>
          <cell r="H81">
            <v>0.240442108950955</v>
          </cell>
          <cell r="I81">
            <v>0.13237016952704606</v>
          </cell>
          <cell r="J81">
            <v>9.5675648570509308E-3</v>
          </cell>
          <cell r="K81">
            <v>5.7282471468806878E-3</v>
          </cell>
          <cell r="L81">
            <v>1.4906692910101249E-2</v>
          </cell>
          <cell r="M81">
            <v>8.0274250032185887E-4</v>
          </cell>
          <cell r="N81">
            <v>8.2424543443029255E-4</v>
          </cell>
          <cell r="O81">
            <v>8.2978581838743151E-5</v>
          </cell>
        </row>
        <row r="82">
          <cell r="A82" t="str">
            <v>F107M</v>
          </cell>
          <cell r="F82">
            <v>0.49354633103863882</v>
          </cell>
          <cell r="G82">
            <v>0.10172891905273654</v>
          </cell>
          <cell r="H82">
            <v>0.240442108950955</v>
          </cell>
          <cell r="I82">
            <v>0.13237016952704606</v>
          </cell>
          <cell r="J82">
            <v>9.5675648570509308E-3</v>
          </cell>
          <cell r="K82">
            <v>5.7282471468806878E-3</v>
          </cell>
          <cell r="L82">
            <v>1.4906692910101249E-2</v>
          </cell>
          <cell r="M82">
            <v>8.0274250032185887E-4</v>
          </cell>
          <cell r="N82">
            <v>8.2424543443029255E-4</v>
          </cell>
          <cell r="O82">
            <v>8.2978581838743151E-5</v>
          </cell>
        </row>
        <row r="83">
          <cell r="A83" t="str">
            <v>F108</v>
          </cell>
          <cell r="F83">
            <v>0.2795683562721365</v>
          </cell>
          <cell r="G83">
            <v>6.396029803834008E-2</v>
          </cell>
          <cell r="H83">
            <v>0.20253874558151411</v>
          </cell>
          <cell r="I83">
            <v>0.19571175118336182</v>
          </cell>
          <cell r="J83">
            <v>0.24726232205668844</v>
          </cell>
          <cell r="K83">
            <v>3.7335553082462804E-3</v>
          </cell>
          <cell r="L83">
            <v>6.2230213061823273E-3</v>
          </cell>
          <cell r="M83">
            <v>5.5574034816563227E-4</v>
          </cell>
          <cell r="N83">
            <v>3.9269608152249405E-4</v>
          </cell>
          <cell r="O83">
            <v>5.351382384226495E-5</v>
          </cell>
        </row>
        <row r="84">
          <cell r="A84" t="str">
            <v>F108P</v>
          </cell>
          <cell r="F84">
            <v>0.13995449386919806</v>
          </cell>
          <cell r="G84">
            <v>3.9052659187247166E-2</v>
          </cell>
          <cell r="H84">
            <v>0.17995281856943551</v>
          </cell>
          <cell r="I84">
            <v>0.23942393179429836</v>
          </cell>
          <cell r="J84">
            <v>0.39732028189921437</v>
          </cell>
          <cell r="K84">
            <v>2.5912550418869689E-3</v>
          </cell>
          <cell r="L84">
            <v>1.1032414493826203E-3</v>
          </cell>
          <cell r="M84">
            <v>4.2152197423235213E-4</v>
          </cell>
          <cell r="N84">
            <v>1.3945897969735644E-4</v>
          </cell>
          <cell r="O84">
            <v>4.0337235407226735E-5</v>
          </cell>
        </row>
        <row r="85">
          <cell r="A85" t="str">
            <v>F108T</v>
          </cell>
          <cell r="F85">
            <v>0.14887708630302221</v>
          </cell>
          <cell r="G85">
            <v>4.1387965673104099E-2</v>
          </cell>
          <cell r="H85">
            <v>0.18978993752297124</v>
          </cell>
          <cell r="I85">
            <v>0.2337869065461381</v>
          </cell>
          <cell r="J85">
            <v>0.38241885173855711</v>
          </cell>
          <cell r="K85">
            <v>2.6008773388981792E-3</v>
          </cell>
          <cell r="L85">
            <v>6.1853627924989213E-4</v>
          </cell>
          <cell r="M85">
            <v>4.1491866493795817E-4</v>
          </cell>
          <cell r="N85">
            <v>7.8240074419752299E-5</v>
          </cell>
          <cell r="O85">
            <v>2.6679858701405134E-5</v>
          </cell>
        </row>
        <row r="86">
          <cell r="A86" t="str">
            <v>F108D</v>
          </cell>
          <cell r="F86">
            <v>0.49354633103863865</v>
          </cell>
          <cell r="G86">
            <v>0.10172891905273652</v>
          </cell>
          <cell r="H86">
            <v>0.240442108950955</v>
          </cell>
          <cell r="I86">
            <v>0.13237016952704603</v>
          </cell>
          <cell r="J86">
            <v>9.5675648570509274E-3</v>
          </cell>
          <cell r="K86">
            <v>5.728247146880687E-3</v>
          </cell>
          <cell r="L86">
            <v>1.4906692910101245E-2</v>
          </cell>
          <cell r="M86">
            <v>8.0274250032185876E-4</v>
          </cell>
          <cell r="N86">
            <v>8.2424543443029245E-4</v>
          </cell>
          <cell r="O86">
            <v>8.2978581838743137E-5</v>
          </cell>
        </row>
        <row r="87">
          <cell r="A87" t="str">
            <v>F108R</v>
          </cell>
          <cell r="F87">
            <v>0.78890167708412207</v>
          </cell>
          <cell r="G87">
            <v>0.1499962790205818</v>
          </cell>
          <cell r="H87">
            <v>3.2818467791608574E-2</v>
          </cell>
          <cell r="I87">
            <v>1.9594505530095806E-3</v>
          </cell>
          <cell r="J87">
            <v>7.086947184553093E-4</v>
          </cell>
          <cell r="K87">
            <v>3.056250644243298E-3</v>
          </cell>
          <cell r="L87">
            <v>2.0292068486830631E-2</v>
          </cell>
          <cell r="M87">
            <v>3.1532303724783768E-4</v>
          </cell>
          <cell r="N87">
            <v>1.79000384372625E-3</v>
          </cell>
          <cell r="O87">
            <v>1.6178482017456259E-4</v>
          </cell>
        </row>
        <row r="88">
          <cell r="A88" t="str">
            <v>F108M</v>
          </cell>
          <cell r="F88">
            <v>0.1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</row>
        <row r="89">
          <cell r="A89" t="str">
            <v>F110</v>
          </cell>
          <cell r="F89">
            <v>0.28677226027657088</v>
          </cell>
          <cell r="G89">
            <v>6.498390364835481E-2</v>
          </cell>
          <cell r="H89">
            <v>0.17030081884820022</v>
          </cell>
          <cell r="I89">
            <v>0.18632560471991608</v>
          </cell>
          <cell r="J89">
            <v>0.28244040043323848</v>
          </cell>
          <cell r="K89">
            <v>3.0046911887333405E-3</v>
          </cell>
          <cell r="L89">
            <v>5.2495262845165605E-3</v>
          </cell>
          <cell r="M89">
            <v>4.4028888239606621E-4</v>
          </cell>
          <cell r="N89">
            <v>4.2845242778026923E-4</v>
          </cell>
          <cell r="O89">
            <v>5.4053290293263385E-5</v>
          </cell>
        </row>
        <row r="90">
          <cell r="A90" t="str">
            <v>F118</v>
          </cell>
          <cell r="F90">
            <v>0.36539327564909319</v>
          </cell>
          <cell r="G90">
            <v>7.5512525778406142E-2</v>
          </cell>
          <cell r="H90">
            <v>0.3236251867454939</v>
          </cell>
          <cell r="I90">
            <v>0.22806128689843691</v>
          </cell>
          <cell r="J90">
            <v>0</v>
          </cell>
          <cell r="K90">
            <v>4.6714802654877034E-3</v>
          </cell>
          <cell r="L90">
            <v>1.7128522620464171E-3</v>
          </cell>
          <cell r="M90">
            <v>7.2964617524929611E-4</v>
          </cell>
          <cell r="N90">
            <v>2.2138225779810085E-4</v>
          </cell>
          <cell r="O90">
            <v>7.2363967988268099E-5</v>
          </cell>
        </row>
        <row r="91">
          <cell r="A91" t="str">
            <v>F119</v>
          </cell>
          <cell r="F91">
            <v>0.36539327564909319</v>
          </cell>
          <cell r="G91">
            <v>7.5512525778406128E-2</v>
          </cell>
          <cell r="H91">
            <v>0.3236251867454939</v>
          </cell>
          <cell r="I91">
            <v>0.22806128689843691</v>
          </cell>
          <cell r="J91">
            <v>0</v>
          </cell>
          <cell r="K91">
            <v>4.6714802654877034E-3</v>
          </cell>
          <cell r="L91">
            <v>1.7128522620464173E-3</v>
          </cell>
          <cell r="M91">
            <v>7.2964617524929622E-4</v>
          </cell>
          <cell r="N91">
            <v>2.2138225779810088E-4</v>
          </cell>
          <cell r="O91">
            <v>7.2363967988268112E-5</v>
          </cell>
        </row>
        <row r="92">
          <cell r="A92" t="str">
            <v>F120</v>
          </cell>
          <cell r="F92">
            <v>0.36539327564909319</v>
          </cell>
          <cell r="G92">
            <v>7.5512525778406128E-2</v>
          </cell>
          <cell r="H92">
            <v>0.3236251867454939</v>
          </cell>
          <cell r="I92">
            <v>0.22806128689843691</v>
          </cell>
          <cell r="J92">
            <v>0</v>
          </cell>
          <cell r="K92">
            <v>4.6714802654877034E-3</v>
          </cell>
          <cell r="L92">
            <v>1.7128522620464171E-3</v>
          </cell>
          <cell r="M92">
            <v>7.2964617524929622E-4</v>
          </cell>
          <cell r="N92">
            <v>2.2138225779810085E-4</v>
          </cell>
          <cell r="O92">
            <v>7.2363967988268099E-5</v>
          </cell>
        </row>
        <row r="93">
          <cell r="A93" t="str">
            <v>F121</v>
          </cell>
          <cell r="F93">
            <v>0.37729944057288323</v>
          </cell>
          <cell r="G93">
            <v>7.72486637815918E-2</v>
          </cell>
          <cell r="H93">
            <v>0.31572849805930547</v>
          </cell>
          <cell r="I93">
            <v>0.22249642650509319</v>
          </cell>
          <cell r="J93">
            <v>0</v>
          </cell>
          <cell r="K93">
            <v>4.5574927673847215E-3</v>
          </cell>
          <cell r="L93">
            <v>1.671057427673865E-3</v>
          </cell>
          <cell r="M93">
            <v>7.1184228070402097E-4</v>
          </cell>
          <cell r="N93">
            <v>2.1598037054680995E-4</v>
          </cell>
          <cell r="O93">
            <v>7.0598234816980521E-5</v>
          </cell>
        </row>
        <row r="94">
          <cell r="A94" t="str">
            <v>F122</v>
          </cell>
          <cell r="F94">
            <v>0.48938551981019773</v>
          </cell>
          <cell r="G94">
            <v>9.3592877307741795E-2</v>
          </cell>
          <cell r="H94">
            <v>0.24138811394250448</v>
          </cell>
          <cell r="I94">
            <v>0.170108156479822</v>
          </cell>
          <cell r="J94">
            <v>0</v>
          </cell>
          <cell r="K94">
            <v>3.4844006486198119E-3</v>
          </cell>
          <cell r="L94">
            <v>1.2775957926992034E-3</v>
          </cell>
          <cell r="M94">
            <v>5.4423426019465119E-4</v>
          </cell>
          <cell r="N94">
            <v>1.6512634942793416E-4</v>
          </cell>
          <cell r="O94">
            <v>5.3975408792335063E-5</v>
          </cell>
        </row>
        <row r="95">
          <cell r="A95" t="str">
            <v>F123</v>
          </cell>
          <cell r="F95">
            <v>0.55235435346093575</v>
          </cell>
          <cell r="G95">
            <v>0.10277489232408701</v>
          </cell>
          <cell r="H95">
            <v>0.19962443273574484</v>
          </cell>
          <cell r="I95">
            <v>0.1406769525076785</v>
          </cell>
          <cell r="J95">
            <v>0</v>
          </cell>
          <cell r="K95">
            <v>2.8815482732114459E-3</v>
          </cell>
          <cell r="L95">
            <v>1.0565529976504968E-3</v>
          </cell>
          <cell r="M95">
            <v>4.5007375753634761E-4</v>
          </cell>
          <cell r="N95">
            <v>1.3655707108315684E-4</v>
          </cell>
          <cell r="O95">
            <v>4.4636872072401384E-5</v>
          </cell>
        </row>
        <row r="96">
          <cell r="A96" t="str">
            <v>F124</v>
          </cell>
          <cell r="F96">
            <v>0.54386894481418624</v>
          </cell>
          <cell r="G96">
            <v>0.10153756355210385</v>
          </cell>
          <cell r="H96">
            <v>0.2052523264267338</v>
          </cell>
          <cell r="I96">
            <v>0.14464297471565921</v>
          </cell>
          <cell r="J96">
            <v>0</v>
          </cell>
          <cell r="K96">
            <v>2.9627860612158542E-3</v>
          </cell>
          <cell r="L96">
            <v>1.0863397720857885E-3</v>
          </cell>
          <cell r="M96">
            <v>4.6276242107219613E-4</v>
          </cell>
          <cell r="N96">
            <v>1.4040694390822416E-4</v>
          </cell>
          <cell r="O96">
            <v>4.5895293034600403E-5</v>
          </cell>
        </row>
        <row r="97">
          <cell r="A97" t="str">
            <v>F125</v>
          </cell>
          <cell r="F97">
            <v>0.580340639962311</v>
          </cell>
          <cell r="G97">
            <v>9.9743613803829803E-2</v>
          </cell>
          <cell r="H97">
            <v>0.2602873324402068</v>
          </cell>
          <cell r="I97">
            <v>3.8133048956516563E-2</v>
          </cell>
          <cell r="J97">
            <v>0</v>
          </cell>
          <cell r="K97">
            <v>1.5264929520670939E-2</v>
          </cell>
          <cell r="L97">
            <v>3.794083738119838E-3</v>
          </cell>
          <cell r="M97">
            <v>1.842816652771701E-3</v>
          </cell>
          <cell r="N97">
            <v>4.8256238991375739E-4</v>
          </cell>
          <cell r="O97">
            <v>1.1097253565960969E-4</v>
          </cell>
        </row>
        <row r="98">
          <cell r="A98" t="str">
            <v>F126</v>
          </cell>
          <cell r="F98">
            <v>0.67672298360126504</v>
          </cell>
          <cell r="G98">
            <v>0.19703520026468396</v>
          </cell>
          <cell r="H98">
            <v>9.5016863526360906E-2</v>
          </cell>
          <cell r="I98">
            <v>5.0111126540963299E-3</v>
          </cell>
          <cell r="J98">
            <v>0</v>
          </cell>
          <cell r="K98">
            <v>0</v>
          </cell>
          <cell r="L98">
            <v>2.3929302723107865E-2</v>
          </cell>
          <cell r="M98">
            <v>0</v>
          </cell>
          <cell r="N98">
            <v>2.1108515319594296E-3</v>
          </cell>
          <cell r="O98">
            <v>1.7368569852622842E-4</v>
          </cell>
        </row>
        <row r="99">
          <cell r="A99" t="str">
            <v>F127</v>
          </cell>
          <cell r="F99">
            <v>0.41633878678709635</v>
          </cell>
          <cell r="G99">
            <v>0.10827498872975017</v>
          </cell>
          <cell r="H99">
            <v>0.111494345447813</v>
          </cell>
          <cell r="I99">
            <v>2.8616381387944461E-2</v>
          </cell>
          <cell r="J99">
            <v>0.32754498078201061</v>
          </cell>
          <cell r="K99">
            <v>6.1604418032429695E-3</v>
          </cell>
          <cell r="L99">
            <v>0</v>
          </cell>
          <cell r="M99">
            <v>1.4809850136527584E-3</v>
          </cell>
          <cell r="N99">
            <v>0</v>
          </cell>
          <cell r="O99">
            <v>8.9090048489577875E-5</v>
          </cell>
        </row>
        <row r="100">
          <cell r="A100" t="str">
            <v>F128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0.98283524561010016</v>
          </cell>
          <cell r="M100">
            <v>0</v>
          </cell>
          <cell r="N100">
            <v>1.7164754389899815E-2</v>
          </cell>
          <cell r="O100">
            <v>0</v>
          </cell>
        </row>
        <row r="101">
          <cell r="A101" t="str">
            <v>F129</v>
          </cell>
          <cell r="F101">
            <v>0.1</v>
          </cell>
          <cell r="G101">
            <v>0.1</v>
          </cell>
          <cell r="H101">
            <v>0.1</v>
          </cell>
          <cell r="I101">
            <v>0.1</v>
          </cell>
          <cell r="J101">
            <v>0.1</v>
          </cell>
          <cell r="K101">
            <v>0.1</v>
          </cell>
          <cell r="L101">
            <v>0.1</v>
          </cell>
          <cell r="M101">
            <v>0.1</v>
          </cell>
          <cell r="N101">
            <v>0.1</v>
          </cell>
          <cell r="O101">
            <v>0.1</v>
          </cell>
        </row>
        <row r="102">
          <cell r="A102" t="str">
            <v>F130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0.96329100710140092</v>
          </cell>
          <cell r="M102">
            <v>0</v>
          </cell>
          <cell r="N102">
            <v>3.6708992898599024E-2</v>
          </cell>
          <cell r="O102">
            <v>0</v>
          </cell>
        </row>
        <row r="103">
          <cell r="A103" t="str">
            <v>F131</v>
          </cell>
          <cell r="F103">
            <v>0.43592086074507463</v>
          </cell>
          <cell r="G103">
            <v>9.8244239459466642E-2</v>
          </cell>
          <cell r="H103">
            <v>0.23932030415632818</v>
          </cell>
          <cell r="I103">
            <v>0.17750084251455073</v>
          </cell>
          <cell r="J103">
            <v>2.015251900419928E-2</v>
          </cell>
          <cell r="K103">
            <v>3.643612697788861E-3</v>
          </cell>
          <cell r="L103">
            <v>2.3385783845666645E-2</v>
          </cell>
          <cell r="M103">
            <v>5.981955896916276E-4</v>
          </cell>
          <cell r="N103">
            <v>1.1626026458393765E-3</v>
          </cell>
          <cell r="O103">
            <v>7.1039341394242217E-5</v>
          </cell>
        </row>
        <row r="104">
          <cell r="A104" t="str">
            <v>F132</v>
          </cell>
          <cell r="F104">
            <v>0.42135952041597746</v>
          </cell>
          <cell r="G104">
            <v>8.3673434438526442E-2</v>
          </cell>
          <cell r="H104">
            <v>0.28650592838749456</v>
          </cell>
          <cell r="I104">
            <v>0.20190304527647587</v>
          </cell>
          <cell r="J104">
            <v>0</v>
          </cell>
          <cell r="K104">
            <v>4.1356694263106506E-3</v>
          </cell>
          <cell r="L104">
            <v>1.5163910215497522E-3</v>
          </cell>
          <cell r="M104">
            <v>6.4595700024604121E-4</v>
          </cell>
          <cell r="N104">
            <v>1.9599008945136651E-4</v>
          </cell>
          <cell r="O104">
            <v>6.4063943967953134E-5</v>
          </cell>
        </row>
        <row r="105">
          <cell r="A105" t="str">
            <v>F133</v>
          </cell>
          <cell r="F105">
            <v>0.54641119927848325</v>
          </cell>
          <cell r="G105">
            <v>0.10190827104838716</v>
          </cell>
          <cell r="H105">
            <v>0.203566192210206</v>
          </cell>
          <cell r="I105">
            <v>0.14345474229415975</v>
          </cell>
          <cell r="J105">
            <v>0</v>
          </cell>
          <cell r="K105">
            <v>2.9384469706874414E-3</v>
          </cell>
          <cell r="L105">
            <v>1.0774155630774065E-3</v>
          </cell>
          <cell r="M105">
            <v>4.5896085854729295E-4</v>
          </cell>
          <cell r="N105">
            <v>1.3925351019819867E-4</v>
          </cell>
          <cell r="O105">
            <v>4.5518266253416348E-5</v>
          </cell>
        </row>
        <row r="106">
          <cell r="A106" t="str">
            <v>F134</v>
          </cell>
          <cell r="F106">
            <v>0.46261098350700008</v>
          </cell>
          <cell r="G106">
            <v>0.11163245318803117</v>
          </cell>
          <cell r="H106">
            <v>0.24821582603730671</v>
          </cell>
          <cell r="I106">
            <v>0.1661915935777383</v>
          </cell>
          <cell r="J106">
            <v>0</v>
          </cell>
          <cell r="K106">
            <v>3.3802475527803578E-3</v>
          </cell>
          <cell r="L106">
            <v>6.7293200113975422E-3</v>
          </cell>
          <cell r="M106">
            <v>5.2796641709124082E-4</v>
          </cell>
          <cell r="N106">
            <v>6.4446670799961239E-4</v>
          </cell>
          <cell r="O106">
            <v>6.7143000655078914E-5</v>
          </cell>
        </row>
        <row r="107">
          <cell r="A107" t="str">
            <v>F135</v>
          </cell>
          <cell r="F107">
            <v>0.58139057992211729</v>
          </cell>
          <cell r="G107">
            <v>0.1102622186077987</v>
          </cell>
          <cell r="H107">
            <v>0.18641309377201518</v>
          </cell>
          <cell r="I107">
            <v>0.1147021737390372</v>
          </cell>
          <cell r="J107">
            <v>0</v>
          </cell>
          <cell r="K107">
            <v>2.3364180787615969E-3</v>
          </cell>
          <cell r="L107">
            <v>4.0411592335083766E-3</v>
          </cell>
          <cell r="M107">
            <v>3.6492897712663908E-4</v>
          </cell>
          <cell r="N107">
            <v>3.9163298991278894E-4</v>
          </cell>
          <cell r="O107">
            <v>9.7794679722247149E-5</v>
          </cell>
        </row>
        <row r="108">
          <cell r="A108" t="str">
            <v>F136</v>
          </cell>
          <cell r="F108">
            <v>0.80366749018285033</v>
          </cell>
          <cell r="G108">
            <v>0.13486642450074041</v>
          </cell>
          <cell r="H108">
            <v>3.5954325620055606E-2</v>
          </cell>
          <cell r="I108">
            <v>5.0812880529619315E-3</v>
          </cell>
          <cell r="J108">
            <v>2.3095179170890454E-3</v>
          </cell>
          <cell r="K108">
            <v>3.1870966137920458E-3</v>
          </cell>
          <cell r="L108">
            <v>1.3263470020607218E-2</v>
          </cell>
          <cell r="M108">
            <v>3.5573686714344786E-4</v>
          </cell>
          <cell r="N108">
            <v>1.1699971510269111E-3</v>
          </cell>
          <cell r="O108">
            <v>1.4465307373309936E-4</v>
          </cell>
        </row>
        <row r="109">
          <cell r="A109" t="str">
            <v>F137</v>
          </cell>
          <cell r="F109">
            <v>0.21143423862869404</v>
          </cell>
          <cell r="G109">
            <v>5.1733117176400084E-2</v>
          </cell>
          <cell r="H109">
            <v>0.17304981537444217</v>
          </cell>
          <cell r="I109">
            <v>0.21702210770767927</v>
          </cell>
          <cell r="J109">
            <v>0.33894246475384554</v>
          </cell>
          <cell r="K109">
            <v>2.8118060661276711E-3</v>
          </cell>
          <cell r="L109">
            <v>4.1639181122741283E-3</v>
          </cell>
          <cell r="M109">
            <v>4.4945958982754784E-4</v>
          </cell>
          <cell r="N109">
            <v>3.3969773848165514E-4</v>
          </cell>
          <cell r="O109">
            <v>5.3374852227882347E-5</v>
          </cell>
        </row>
        <row r="110">
          <cell r="A110" t="str">
            <v>F137P</v>
          </cell>
          <cell r="F110">
            <v>0.13831384026485802</v>
          </cell>
          <cell r="G110">
            <v>3.8592580824802936E-2</v>
          </cell>
          <cell r="H110">
            <v>0.17779414002692662</v>
          </cell>
          <cell r="I110">
            <v>0.24057833434524092</v>
          </cell>
          <cell r="J110">
            <v>0.40028094306096468</v>
          </cell>
          <cell r="K110">
            <v>2.5921740553260832E-3</v>
          </cell>
          <cell r="L110">
            <v>1.226689748563533E-3</v>
          </cell>
          <cell r="M110">
            <v>4.2335253946698811E-4</v>
          </cell>
          <cell r="N110">
            <v>1.5449428633583349E-4</v>
          </cell>
          <cell r="O110">
            <v>4.3450847514341305E-5</v>
          </cell>
        </row>
        <row r="111">
          <cell r="A111" t="str">
            <v>F137T</v>
          </cell>
          <cell r="F111">
            <v>0.15292109285844918</v>
          </cell>
          <cell r="G111">
            <v>4.2047656623017009E-2</v>
          </cell>
          <cell r="H111">
            <v>0.18972137176452614</v>
          </cell>
          <cell r="I111">
            <v>0.23276114969100212</v>
          </cell>
          <cell r="J111">
            <v>0.37852442509984174</v>
          </cell>
          <cell r="K111">
            <v>2.6397497919010736E-3</v>
          </cell>
          <cell r="L111">
            <v>8.4013139502649603E-4</v>
          </cell>
          <cell r="M111">
            <v>4.1999813590224561E-4</v>
          </cell>
          <cell r="N111">
            <v>9.6128806344397582E-5</v>
          </cell>
          <cell r="O111">
            <v>2.829583398950549E-5</v>
          </cell>
        </row>
        <row r="112">
          <cell r="A112" t="str">
            <v>F137D</v>
          </cell>
          <cell r="F112">
            <v>0.43522271421935449</v>
          </cell>
          <cell r="G112">
            <v>9.7197101758801613E-2</v>
          </cell>
          <cell r="H112">
            <v>0.23794122772606965</v>
          </cell>
          <cell r="I112">
            <v>0.17382865853565174</v>
          </cell>
          <cell r="J112">
            <v>2.831028939646001E-2</v>
          </cell>
          <cell r="K112">
            <v>3.8509206300903829E-3</v>
          </cell>
          <cell r="L112">
            <v>2.1862745286052018E-2</v>
          </cell>
          <cell r="M112">
            <v>6.1646140139168693E-4</v>
          </cell>
          <cell r="N112">
            <v>1.0983845654273883E-3</v>
          </cell>
          <cell r="O112">
            <v>7.1496480701101775E-5</v>
          </cell>
        </row>
        <row r="113">
          <cell r="A113" t="str">
            <v>F137R</v>
          </cell>
          <cell r="F113">
            <v>0.78891687925742526</v>
          </cell>
          <cell r="G113">
            <v>0.14878605644165258</v>
          </cell>
          <cell r="H113">
            <v>3.274301782251262E-2</v>
          </cell>
          <cell r="I113">
            <v>2.6697140842161797E-3</v>
          </cell>
          <cell r="J113">
            <v>1.5277192948153385E-3</v>
          </cell>
          <cell r="K113">
            <v>4.1137315606616272E-3</v>
          </cell>
          <cell r="L113">
            <v>1.8847718444594722E-2</v>
          </cell>
          <cell r="M113">
            <v>5.6807075355676468E-4</v>
          </cell>
          <cell r="N113">
            <v>1.6622670097652884E-3</v>
          </cell>
          <cell r="O113">
            <v>1.6482533079962297E-4</v>
          </cell>
        </row>
        <row r="114">
          <cell r="A114" t="str">
            <v>F137M</v>
          </cell>
          <cell r="F114">
            <v>0.18621781806490301</v>
          </cell>
          <cell r="G114">
            <v>4.7291330685406925E-2</v>
          </cell>
          <cell r="H114">
            <v>0.18416258225745949</v>
          </cell>
          <cell r="I114">
            <v>0.22550301991375013</v>
          </cell>
          <cell r="J114">
            <v>0.34902346496724884</v>
          </cell>
          <cell r="K114">
            <v>3.0345801113298098E-3</v>
          </cell>
          <cell r="L114">
            <v>3.5309781620604811E-3</v>
          </cell>
          <cell r="M114">
            <v>4.5777260749042131E-4</v>
          </cell>
          <cell r="N114">
            <v>7.2983852026572635E-4</v>
          </cell>
          <cell r="O114">
            <v>4.861471008498384E-5</v>
          </cell>
        </row>
        <row r="115">
          <cell r="A115" t="str">
            <v>F138</v>
          </cell>
          <cell r="F115">
            <v>0.37237181207812547</v>
          </cell>
          <cell r="G115">
            <v>8.0871742245231998E-2</v>
          </cell>
          <cell r="H115">
            <v>0.16226100777265756</v>
          </cell>
          <cell r="I115">
            <v>0.16427544977473427</v>
          </cell>
          <cell r="J115">
            <v>0.205282793495288</v>
          </cell>
          <cell r="K115">
            <v>3.2145278586861114E-3</v>
          </cell>
          <cell r="L115">
            <v>1.0431970851991806E-2</v>
          </cell>
          <cell r="M115">
            <v>4.9561697401493483E-4</v>
          </cell>
          <cell r="N115">
            <v>7.2338771223411698E-4</v>
          </cell>
          <cell r="O115">
            <v>7.1691237035020438E-5</v>
          </cell>
        </row>
        <row r="116">
          <cell r="A116" t="str">
            <v>F138P</v>
          </cell>
          <cell r="F116">
            <v>0.14774603820981871</v>
          </cell>
          <cell r="G116">
            <v>4.1091936916051272E-2</v>
          </cell>
          <cell r="H116">
            <v>0.18854296196989839</v>
          </cell>
          <cell r="I116">
            <v>0.23450146867654548</v>
          </cell>
          <cell r="J116">
            <v>0.38430779088872224</v>
          </cell>
          <cell r="K116">
            <v>2.5996575946626924E-3</v>
          </cell>
          <cell r="L116">
            <v>6.799786080921498E-4</v>
          </cell>
          <cell r="M116">
            <v>4.1575571542991428E-4</v>
          </cell>
          <cell r="N116">
            <v>8.6000321970649228E-5</v>
          </cell>
          <cell r="O116">
            <v>2.8411098808565269E-5</v>
          </cell>
        </row>
        <row r="117">
          <cell r="A117" t="str">
            <v>F138T</v>
          </cell>
          <cell r="F117">
            <v>0.14887708630302227</v>
          </cell>
          <cell r="G117">
            <v>4.1387965673104085E-2</v>
          </cell>
          <cell r="H117">
            <v>0.18978993752297108</v>
          </cell>
          <cell r="I117">
            <v>0.23378690654613823</v>
          </cell>
          <cell r="J117">
            <v>0.382418851738557</v>
          </cell>
          <cell r="K117">
            <v>2.6008773388981814E-3</v>
          </cell>
          <cell r="L117">
            <v>6.1853627924989235E-4</v>
          </cell>
          <cell r="M117">
            <v>4.1491866493795866E-4</v>
          </cell>
          <cell r="N117">
            <v>7.8240074419752285E-5</v>
          </cell>
          <cell r="O117">
            <v>2.6679858701405144E-5</v>
          </cell>
        </row>
        <row r="118">
          <cell r="A118" t="str">
            <v>F138D</v>
          </cell>
          <cell r="F118">
            <v>0.43592086074507458</v>
          </cell>
          <cell r="G118">
            <v>9.8244239459466656E-2</v>
          </cell>
          <cell r="H118">
            <v>0.23932030415632813</v>
          </cell>
          <cell r="I118">
            <v>0.1775008425145507</v>
          </cell>
          <cell r="J118">
            <v>2.0152519004199284E-2</v>
          </cell>
          <cell r="K118">
            <v>3.643612697788861E-3</v>
          </cell>
          <cell r="L118">
            <v>2.3385783845666645E-2</v>
          </cell>
          <cell r="M118">
            <v>5.9819558969162749E-4</v>
          </cell>
          <cell r="N118">
            <v>1.1626026458393763E-3</v>
          </cell>
          <cell r="O118">
            <v>7.1039341394242217E-5</v>
          </cell>
        </row>
        <row r="119">
          <cell r="A119" t="str">
            <v>F138R</v>
          </cell>
          <cell r="F119">
            <v>0.78999375682302397</v>
          </cell>
          <cell r="G119">
            <v>0.14896493051624807</v>
          </cell>
          <cell r="H119">
            <v>3.2384004303801631E-2</v>
          </cell>
          <cell r="I119">
            <v>2.2618552559836923E-3</v>
          </cell>
          <cell r="J119">
            <v>1.0084989667533011E-3</v>
          </cell>
          <cell r="K119">
            <v>4.1149422770712703E-3</v>
          </cell>
          <cell r="L119">
            <v>1.8873853936012038E-2</v>
          </cell>
          <cell r="M119">
            <v>5.6819408569123975E-4</v>
          </cell>
          <cell r="N119">
            <v>1.6649019982254844E-3</v>
          </cell>
          <cell r="O119">
            <v>1.6506183718933488E-4</v>
          </cell>
        </row>
        <row r="120">
          <cell r="A120" t="str">
            <v>F138M</v>
          </cell>
          <cell r="F120">
            <v>0.14887708630302221</v>
          </cell>
          <cell r="G120">
            <v>4.1387965673104099E-2</v>
          </cell>
          <cell r="H120">
            <v>0.18978993752297121</v>
          </cell>
          <cell r="I120">
            <v>0.23378690654613807</v>
          </cell>
          <cell r="J120">
            <v>0.38241885173855716</v>
          </cell>
          <cell r="K120">
            <v>2.6008773388981805E-3</v>
          </cell>
          <cell r="L120">
            <v>6.1853627924989213E-4</v>
          </cell>
          <cell r="M120">
            <v>4.1491866493795822E-4</v>
          </cell>
          <cell r="N120">
            <v>7.8240074419752312E-5</v>
          </cell>
          <cell r="O120">
            <v>2.6679858701405141E-5</v>
          </cell>
        </row>
        <row r="121">
          <cell r="A121" t="str">
            <v>F140</v>
          </cell>
          <cell r="F121">
            <v>0.23815226621306002</v>
          </cell>
          <cell r="G121">
            <v>5.6411035230523196E-2</v>
          </cell>
          <cell r="H121">
            <v>0.19786795418667538</v>
          </cell>
          <cell r="I121">
            <v>0.20849824268074299</v>
          </cell>
          <cell r="J121">
            <v>0.29080048397817027</v>
          </cell>
          <cell r="K121">
            <v>3.3563170460402742E-3</v>
          </cell>
          <cell r="L121">
            <v>4.0742394941816959E-3</v>
          </cell>
          <cell r="M121">
            <v>5.117015008424948E-4</v>
          </cell>
          <cell r="N121">
            <v>2.8325941770376552E-4</v>
          </cell>
          <cell r="O121">
            <v>4.4500252060057401E-5</v>
          </cell>
        </row>
        <row r="122">
          <cell r="A122" t="str">
            <v>F140P</v>
          </cell>
          <cell r="F122">
            <v>0.14376905956668476</v>
          </cell>
          <cell r="G122">
            <v>4.0204088065559765E-2</v>
          </cell>
          <cell r="H122">
            <v>0.18641892826969553</v>
          </cell>
          <cell r="I122">
            <v>0.23657135567782572</v>
          </cell>
          <cell r="J122">
            <v>0.38913722072906565</v>
          </cell>
          <cell r="K122">
            <v>2.5965393994445522E-3</v>
          </cell>
          <cell r="L122">
            <v>7.5580657357137337E-4</v>
          </cell>
          <cell r="M122">
            <v>4.1780985451835885E-4</v>
          </cell>
          <cell r="N122">
            <v>9.7585116565109773E-5</v>
          </cell>
          <cell r="O122">
            <v>3.1606747069047882E-5</v>
          </cell>
        </row>
        <row r="123">
          <cell r="A123" t="str">
            <v>F140T</v>
          </cell>
          <cell r="F123">
            <v>0.14792110117644738</v>
          </cell>
          <cell r="G123">
            <v>3.9430017293458131E-2</v>
          </cell>
          <cell r="H123">
            <v>0.18765681965136286</v>
          </cell>
          <cell r="I123">
            <v>0.23599423616053303</v>
          </cell>
          <cell r="J123">
            <v>0.3854536576898584</v>
          </cell>
          <cell r="K123">
            <v>2.5665641449240809E-3</v>
          </cell>
          <cell r="L123">
            <v>4.5768425206354037E-4</v>
          </cell>
          <cell r="M123">
            <v>4.182255493285258E-4</v>
          </cell>
          <cell r="N123">
            <v>7.5108528240398444E-5</v>
          </cell>
          <cell r="O123">
            <v>2.6585553783690221E-5</v>
          </cell>
        </row>
        <row r="124">
          <cell r="A124" t="str">
            <v>F140D</v>
          </cell>
          <cell r="F124">
            <v>0.49305223612277632</v>
          </cell>
          <cell r="G124">
            <v>0.10186917025281157</v>
          </cell>
          <cell r="H124">
            <v>0.2408360510252715</v>
          </cell>
          <cell r="I124">
            <v>0.13432945757041753</v>
          </cell>
          <cell r="J124">
            <v>8.8084623235903832E-3</v>
          </cell>
          <cell r="K124">
            <v>5.6854547614183784E-3</v>
          </cell>
          <cell r="L124">
            <v>1.3740541661885819E-2</v>
          </cell>
          <cell r="M124">
            <v>7.9815380028933059E-4</v>
          </cell>
          <cell r="N124">
            <v>7.9769395741998816E-4</v>
          </cell>
          <cell r="O124">
            <v>8.2778524119264048E-5</v>
          </cell>
        </row>
        <row r="125">
          <cell r="A125" t="str">
            <v>F140R</v>
          </cell>
          <cell r="F125">
            <v>0.65258905827306357</v>
          </cell>
          <cell r="G125">
            <v>0.12618563757936543</v>
          </cell>
          <cell r="H125">
            <v>7.5050807227323421E-2</v>
          </cell>
          <cell r="I125">
            <v>5.3339974381507657E-2</v>
          </cell>
          <cell r="J125">
            <v>7.1602748857034423E-2</v>
          </cell>
          <cell r="K125">
            <v>3.8458427144462764E-3</v>
          </cell>
          <cell r="L125">
            <v>1.5390155983164101E-2</v>
          </cell>
          <cell r="M125">
            <v>5.3224597091436408E-4</v>
          </cell>
          <cell r="N125">
            <v>1.329591256572853E-3</v>
          </cell>
          <cell r="O125">
            <v>1.3393775660799651E-4</v>
          </cell>
        </row>
        <row r="126">
          <cell r="A126" t="str">
            <v>F140M</v>
          </cell>
          <cell r="F126">
            <v>0.18764195488954019</v>
          </cell>
          <cell r="G126">
            <v>4.7786205927784285E-2</v>
          </cell>
          <cell r="H126">
            <v>0.19032139424212671</v>
          </cell>
          <cell r="I126">
            <v>0.22394319609519589</v>
          </cell>
          <cell r="J126">
            <v>0.34369787452739192</v>
          </cell>
          <cell r="K126">
            <v>2.9962363541587824E-3</v>
          </cell>
          <cell r="L126">
            <v>2.7969190143657509E-3</v>
          </cell>
          <cell r="M126">
            <v>4.6415127576638986E-4</v>
          </cell>
          <cell r="N126">
            <v>3.1072758449044385E-4</v>
          </cell>
          <cell r="O126">
            <v>4.1340089179751678E-5</v>
          </cell>
        </row>
        <row r="127">
          <cell r="A127" t="str">
            <v>F141</v>
          </cell>
          <cell r="F127">
            <v>0.18649188253292701</v>
          </cell>
          <cell r="G127">
            <v>4.7334658775546289E-2</v>
          </cell>
          <cell r="H127">
            <v>0.18412127995687641</v>
          </cell>
          <cell r="I127">
            <v>0.22544221984701468</v>
          </cell>
          <cell r="J127">
            <v>0.34877835758777126</v>
          </cell>
          <cell r="K127">
            <v>3.0377632980001998E-3</v>
          </cell>
          <cell r="L127">
            <v>3.552354198297619E-3</v>
          </cell>
          <cell r="M127">
            <v>4.5808713648902986E-4</v>
          </cell>
          <cell r="N127">
            <v>7.346209648778141E-4</v>
          </cell>
          <cell r="O127">
            <v>4.8775702199813324E-5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>
        <row r="5">
          <cell r="R5" t="str">
            <v>FERC.JAMFactor</v>
          </cell>
          <cell r="S5" t="str">
            <v>JAM Value</v>
          </cell>
        </row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593261587.15894675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593261587.15894675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624939117.2452023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624939117.2452023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5751269.4290097598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5751269.4290097598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1223951973.8331587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1076994.03</v>
          </cell>
        </row>
        <row r="40">
          <cell r="R40" t="str">
            <v>447.NA1</v>
          </cell>
          <cell r="S40">
            <v>1076994.03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137299882.10075101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137299882.10075101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138376876.13075101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1362328849.9639096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3787355.1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3787355.1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1300291.95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1853.9530854503696</v>
          </cell>
        </row>
        <row r="67">
          <cell r="R67" t="str">
            <v>451.NA1</v>
          </cell>
          <cell r="S67">
            <v>1302145.9030854504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397.46617631604994</v>
          </cell>
        </row>
        <row r="71">
          <cell r="R71" t="str">
            <v>453.NA1</v>
          </cell>
          <cell r="S71">
            <v>397.46617631604994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3448978.37</v>
          </cell>
        </row>
        <row r="75">
          <cell r="R75" t="str">
            <v>454.SG</v>
          </cell>
          <cell r="S75">
            <v>1356311.5328301112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973721.61317351309</v>
          </cell>
        </row>
        <row r="78">
          <cell r="R78" t="str">
            <v>454.NA1</v>
          </cell>
          <cell r="S78">
            <v>5779011.5160036236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-18.399999999999999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2833666.3357698102</v>
          </cell>
        </row>
        <row r="86">
          <cell r="R86" t="str">
            <v>456.SO</v>
          </cell>
          <cell r="S86">
            <v>231935.14585371196</v>
          </cell>
        </row>
        <row r="87">
          <cell r="R87" t="str">
            <v>456.SG</v>
          </cell>
          <cell r="S87">
            <v>28302251.190230418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31367834.271853939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42236744.257119328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1404565594.221029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1233565574.8831584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2833666.3357698102</v>
          </cell>
        </row>
        <row r="100">
          <cell r="R100" t="str">
            <v>Summary of Revenues by Factor.NA4</v>
          </cell>
          <cell r="S100">
            <v>1207510.7121126754</v>
          </cell>
        </row>
        <row r="101">
          <cell r="R101" t="str">
            <v>Summary of Revenues by Factor.NA5</v>
          </cell>
          <cell r="S101">
            <v>166958842.28998786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1404565594.2210288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15971.85243680175</v>
          </cell>
        </row>
        <row r="117">
          <cell r="R117" t="str">
            <v>41170.NA1</v>
          </cell>
          <cell r="S117">
            <v>15971.85243680175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-53570.564839037354</v>
          </cell>
        </row>
        <row r="122">
          <cell r="R122" t="str">
            <v>4118.NA1</v>
          </cell>
          <cell r="S122">
            <v>-53570.564839037354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36268.67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421.SG1</v>
          </cell>
          <cell r="S135">
            <v>-6738.9273087783922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2.6734900884548551E-3</v>
          </cell>
        </row>
        <row r="138">
          <cell r="R138" t="str">
            <v>421.SG2</v>
          </cell>
          <cell r="S138">
            <v>-71851.321430805154</v>
          </cell>
        </row>
        <row r="139">
          <cell r="R139" t="str">
            <v>421.NA1</v>
          </cell>
          <cell r="S139">
            <v>-42321.576066093461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-79920.288468329061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0</v>
          </cell>
        </row>
        <row r="145">
          <cell r="R145" t="str">
            <v>4311.NA1</v>
          </cell>
          <cell r="S145">
            <v>0</v>
          </cell>
        </row>
        <row r="146">
          <cell r="R146" t="str">
            <v>Total Miscellaneous Expenses.NA</v>
          </cell>
          <cell r="S146">
            <v>0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-79920.288468329061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3991154.999398272</v>
          </cell>
        </row>
        <row r="152">
          <cell r="R152" t="str">
            <v>500.SG1</v>
          </cell>
          <cell r="S152">
            <v>400589.88659783918</v>
          </cell>
        </row>
        <row r="153">
          <cell r="R153" t="str">
            <v>500.NA1</v>
          </cell>
          <cell r="S153">
            <v>4391744.8859961107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501.SE</v>
          </cell>
          <cell r="S156">
            <v>3412641.5024591368</v>
          </cell>
        </row>
        <row r="157">
          <cell r="R157" t="str">
            <v>501.SE1</v>
          </cell>
          <cell r="S157">
            <v>0</v>
          </cell>
        </row>
        <row r="158">
          <cell r="R158" t="str">
            <v>501.SE2</v>
          </cell>
          <cell r="S158">
            <v>0</v>
          </cell>
        </row>
        <row r="159">
          <cell r="R159" t="str">
            <v>501.SE3</v>
          </cell>
          <cell r="S159">
            <v>0</v>
          </cell>
        </row>
        <row r="160">
          <cell r="R160" t="str">
            <v>501.SE4</v>
          </cell>
          <cell r="S160">
            <v>888571.11590391258</v>
          </cell>
        </row>
        <row r="161">
          <cell r="R161" t="str">
            <v>501.NA1</v>
          </cell>
          <cell r="S161">
            <v>4301212.6183630489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200373420.43039629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12903009.944911286</v>
          </cell>
        </row>
        <row r="169">
          <cell r="R169" t="str">
            <v>501NPC.NA1</v>
          </cell>
          <cell r="S169">
            <v>213276430.37530756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217577642.99367064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9048872.9525221642</v>
          </cell>
        </row>
        <row r="175">
          <cell r="R175" t="str">
            <v>502.SG1</v>
          </cell>
          <cell r="S175">
            <v>2018011.9409958571</v>
          </cell>
        </row>
        <row r="176">
          <cell r="R176" t="str">
            <v>502.NA1</v>
          </cell>
          <cell r="S176">
            <v>11066884.893518021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808859.49330273678</v>
          </cell>
        </row>
        <row r="184">
          <cell r="R184" t="str">
            <v>503NPC.NA1</v>
          </cell>
          <cell r="S184">
            <v>808859.49330273678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759912.27779845661</v>
          </cell>
        </row>
        <row r="188">
          <cell r="R188" t="str">
            <v>505.SG1</v>
          </cell>
          <cell r="S188">
            <v>235251.42898750646</v>
          </cell>
        </row>
        <row r="189">
          <cell r="R189" t="str">
            <v>505.NA1</v>
          </cell>
          <cell r="S189">
            <v>995163.70678596303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13318497.828585669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543055.87758278253</v>
          </cell>
        </row>
        <row r="195">
          <cell r="R195" t="str">
            <v>506.NA1</v>
          </cell>
          <cell r="S195">
            <v>13861553.706168452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125002.3413378847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125002.3413378847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3049081.1850280995</v>
          </cell>
        </row>
        <row r="204">
          <cell r="R204" t="str">
            <v>510.SG1</v>
          </cell>
          <cell r="S204">
            <v>664182.86196210526</v>
          </cell>
        </row>
        <row r="205">
          <cell r="R205" t="str">
            <v>510.NA1</v>
          </cell>
          <cell r="S205">
            <v>3713264.0469902046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7324881.8010366065</v>
          </cell>
        </row>
        <row r="211">
          <cell r="R211" t="str">
            <v>511.SG1</v>
          </cell>
          <cell r="S211">
            <v>234076.95758774635</v>
          </cell>
        </row>
        <row r="212">
          <cell r="R212" t="str">
            <v>511.NA1</v>
          </cell>
          <cell r="S212">
            <v>7558958.7586243525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26668984.025587525</v>
          </cell>
        </row>
        <row r="216">
          <cell r="R216" t="str">
            <v>512.SG1</v>
          </cell>
          <cell r="S216">
            <v>1408225.7471418169</v>
          </cell>
        </row>
        <row r="217">
          <cell r="R217" t="str">
            <v>512.NA1</v>
          </cell>
          <cell r="S217">
            <v>28077209.772729341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7660191.1353270495</v>
          </cell>
        </row>
        <row r="221">
          <cell r="R221" t="str">
            <v>513.SG1</v>
          </cell>
          <cell r="S221">
            <v>174863.03752481041</v>
          </cell>
        </row>
        <row r="222">
          <cell r="R222" t="str">
            <v>513.NA1</v>
          </cell>
          <cell r="S222">
            <v>7835054.1728518596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2693386.3992486657</v>
          </cell>
        </row>
        <row r="226">
          <cell r="R226" t="str">
            <v>514.SG1</v>
          </cell>
          <cell r="S226">
            <v>1030496.7151070535</v>
          </cell>
        </row>
        <row r="227">
          <cell r="R227" t="str">
            <v>514.NA1</v>
          </cell>
          <cell r="S227">
            <v>3723883.1143557192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299735221.88633132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1684452.7437520397</v>
          </cell>
        </row>
        <row r="282">
          <cell r="R282" t="str">
            <v>535.SG1</v>
          </cell>
          <cell r="S282">
            <v>165795.44816010469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1850248.1919121444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45350.216371334238</v>
          </cell>
        </row>
        <row r="289">
          <cell r="R289" t="str">
            <v>536.SG1</v>
          </cell>
          <cell r="S289">
            <v>4444.7285287241411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49794.944900058377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966786.92354563356</v>
          </cell>
        </row>
        <row r="296">
          <cell r="R296" t="str">
            <v>537.SG1</v>
          </cell>
          <cell r="S296">
            <v>64281.350473180901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1031068.2740188144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2980485.7066259286</v>
          </cell>
        </row>
        <row r="310">
          <cell r="R310" t="str">
            <v>539.SG1</v>
          </cell>
          <cell r="S310">
            <v>1318502.093461995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4298987.8000879232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269012.32837396231</v>
          </cell>
        </row>
        <row r="318">
          <cell r="R318" t="str">
            <v>540.SG1</v>
          </cell>
          <cell r="S318">
            <v>1916.5875167087597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270928.91589067108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127.46556769599455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127.46556769599455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209392.04156958632</v>
          </cell>
        </row>
        <row r="332">
          <cell r="R332" t="str">
            <v>542.SG1</v>
          </cell>
          <cell r="S332">
            <v>81936.173271995576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291328.21484158188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471986.17545660556</v>
          </cell>
        </row>
        <row r="342">
          <cell r="R342" t="str">
            <v>543.SG1</v>
          </cell>
          <cell r="S342">
            <v>105610.70882998058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577596.8842865862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571006.93056456756</v>
          </cell>
        </row>
        <row r="349">
          <cell r="R349" t="str">
            <v>544.SG1</v>
          </cell>
          <cell r="S349">
            <v>161795.37749649191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732802.30806105945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832921.36262135196</v>
          </cell>
        </row>
        <row r="356">
          <cell r="R356" t="str">
            <v>545.SG1</v>
          </cell>
          <cell r="S356">
            <v>237379.75179482953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1070301.1144161816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10173184.113982717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113074.60631994779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113074.60631994779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83100197.637758836</v>
          </cell>
        </row>
        <row r="374">
          <cell r="R374" t="str">
            <v>547NPC.SE1</v>
          </cell>
          <cell r="S374">
            <v>2165901.6084505916</v>
          </cell>
        </row>
        <row r="375">
          <cell r="R375" t="str">
            <v>547NPC.NA1</v>
          </cell>
          <cell r="S375">
            <v>85266099.246209428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3323998.4888332048</v>
          </cell>
        </row>
        <row r="379">
          <cell r="R379" t="str">
            <v>548.SG1</v>
          </cell>
          <cell r="S379">
            <v>132314.26898629812</v>
          </cell>
        </row>
        <row r="380">
          <cell r="R380" t="str">
            <v>548.NA1</v>
          </cell>
          <cell r="S380">
            <v>3456312.7578195031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48120.037499999999</v>
          </cell>
        </row>
        <row r="384">
          <cell r="R384" t="str">
            <v>549.SG</v>
          </cell>
          <cell r="S384">
            <v>1258415.9319343222</v>
          </cell>
        </row>
        <row r="385">
          <cell r="R385" t="str">
            <v>549.SG1</v>
          </cell>
          <cell r="S385">
            <v>4155956.989745074</v>
          </cell>
        </row>
        <row r="386">
          <cell r="R386" t="str">
            <v>549.NA1</v>
          </cell>
          <cell r="S386">
            <v>5462492.9591793958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403382.64</v>
          </cell>
        </row>
        <row r="393">
          <cell r="R393" t="str">
            <v>550.SG</v>
          </cell>
          <cell r="S393">
            <v>14879.590305456222</v>
          </cell>
        </row>
        <row r="394">
          <cell r="R394" t="str">
            <v>550.SG1</v>
          </cell>
          <cell r="S394">
            <v>960138.20139800431</v>
          </cell>
        </row>
        <row r="395">
          <cell r="R395" t="str">
            <v>550.NA1</v>
          </cell>
          <cell r="S395">
            <v>1378400.4317034604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721501.23381133925</v>
          </cell>
        </row>
        <row r="403">
          <cell r="R403" t="str">
            <v>552.SG1</v>
          </cell>
          <cell r="S403">
            <v>41831.141575548667</v>
          </cell>
        </row>
        <row r="404">
          <cell r="R404" t="str">
            <v>552.NA1</v>
          </cell>
          <cell r="S404">
            <v>763332.37538688793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2238916.3900695331</v>
          </cell>
        </row>
        <row r="408">
          <cell r="R408" t="str">
            <v>553.SG1</v>
          </cell>
          <cell r="S408">
            <v>3089923.6710591242</v>
          </cell>
        </row>
        <row r="409">
          <cell r="R409" t="str">
            <v>553.SG2</v>
          </cell>
          <cell r="S409">
            <v>255122.03386605583</v>
          </cell>
        </row>
        <row r="410">
          <cell r="R410" t="str">
            <v>553.NA1</v>
          </cell>
          <cell r="S410">
            <v>5583962.0949947136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40055.607352228661</v>
          </cell>
        </row>
        <row r="414">
          <cell r="R414" t="str">
            <v>554.SG1</v>
          </cell>
          <cell r="S414">
            <v>684739.25891142921</v>
          </cell>
        </row>
        <row r="415">
          <cell r="R415" t="str">
            <v>554.SG2</v>
          </cell>
          <cell r="S415">
            <v>28886.043236180038</v>
          </cell>
        </row>
        <row r="416">
          <cell r="R416" t="str">
            <v>554.NA1</v>
          </cell>
          <cell r="S416">
            <v>753680.9094998379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102777355.38111317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153558055.86698166</v>
          </cell>
        </row>
        <row r="427">
          <cell r="R427" t="str">
            <v>555NPC.SE</v>
          </cell>
          <cell r="S427">
            <v>5513587.178901528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555NPC.S</v>
          </cell>
          <cell r="S429">
            <v>-165711.61360262084</v>
          </cell>
        </row>
        <row r="430">
          <cell r="R430" t="str">
            <v>555NPC.NA1</v>
          </cell>
          <cell r="S430">
            <v>158905931.43228057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158905931.43228057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362802.85740119778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362802.85740119778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-53813.04</v>
          </cell>
        </row>
        <row r="443">
          <cell r="R443" t="str">
            <v>557.SG</v>
          </cell>
          <cell r="S443">
            <v>14191637.314230245</v>
          </cell>
        </row>
        <row r="444">
          <cell r="R444" t="str">
            <v>557.SGCT</v>
          </cell>
          <cell r="S444">
            <v>283982.54304713593</v>
          </cell>
        </row>
        <row r="445">
          <cell r="R445" t="str">
            <v>557.SE</v>
          </cell>
          <cell r="S445">
            <v>2193.8017145191557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14424000.6189919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-9936796.5101923067</v>
          </cell>
        </row>
        <row r="463">
          <cell r="R463" t="str">
            <v>Company Owned Hydro.SG1</v>
          </cell>
          <cell r="S463">
            <v>4732678.2003743965</v>
          </cell>
        </row>
        <row r="464">
          <cell r="R464" t="str">
            <v>Mid-C Contract.MC1</v>
          </cell>
          <cell r="S464">
            <v>-8362628.1311098365</v>
          </cell>
        </row>
        <row r="465">
          <cell r="R465" t="str">
            <v>Mid-C Contract.SG1</v>
          </cell>
          <cell r="S465">
            <v>5149916.326089019</v>
          </cell>
        </row>
        <row r="466">
          <cell r="R466" t="str">
            <v>Klamath Dam Removal Surcharge Re-allocation.SG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-8416830.1148387287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165275904.79383492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577961666.17526221</v>
          </cell>
        </row>
        <row r="472">
          <cell r="R472" t="str">
            <v>Total Production Expense.NA1</v>
          </cell>
          <cell r="S472" t="str">
            <v xml:space="preserve"> 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231978.02389737914</v>
          </cell>
        </row>
        <row r="476">
          <cell r="R476" t="str">
            <v>Summary of Production Expense by Factor.NA2</v>
          </cell>
          <cell r="S476">
            <v>286576747.5358209</v>
          </cell>
        </row>
        <row r="477">
          <cell r="R477" t="str">
            <v>Summary of Production Expense by Factor.NA3</v>
          </cell>
          <cell r="S477">
            <v>309168382.71379888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283982.54304713593</v>
          </cell>
        </row>
        <row r="481">
          <cell r="R481" t="str">
            <v>Summary of Production Expense by Factor.NA7</v>
          </cell>
          <cell r="S481">
            <v>-9936796.5101923067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-8362628.1311098365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577961666.17526221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1525882.7915691028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1525882.7915691028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2413436.0499707973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2413436.0499707973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763451.12182793359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763451.12182793359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89028.033691724399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89028.033691724399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35407835.448029518</v>
          </cell>
        </row>
        <row r="525">
          <cell r="R525" t="str">
            <v>565NPC.SE</v>
          </cell>
          <cell r="S525">
            <v>2005026.2341397675</v>
          </cell>
        </row>
        <row r="526">
          <cell r="R526" t="str">
            <v>565NPC.NA1</v>
          </cell>
          <cell r="S526">
            <v>37412861.682169288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37412861.682169288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691560.16113059351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691560.16113059351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694308.64656896179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694308.64656896179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405252.70921184699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405252.70921184699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1091688.4279318091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1091688.4279318091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2555700.1352142724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2555700.1352142724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4713132.284651611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4713132.284651611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18269.274269742073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18269.274269742073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130053.67412355091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130053.67412355091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52504624.992331229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2005026.2341397675</v>
          </cell>
        </row>
        <row r="574">
          <cell r="R574" t="str">
            <v>Summary of Transmission Expense by Factor.NA2</v>
          </cell>
          <cell r="S574">
            <v>50499598.758191459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52504624.992331229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256132.333849316</v>
          </cell>
        </row>
        <row r="579">
          <cell r="R579" t="str">
            <v>580.SNPD</v>
          </cell>
          <cell r="S579">
            <v>3116326.5389016671</v>
          </cell>
        </row>
        <row r="580">
          <cell r="R580" t="str">
            <v>580.NA1</v>
          </cell>
          <cell r="S580">
            <v>3372458.8727509831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3327879.6935479767</v>
          </cell>
        </row>
        <row r="585">
          <cell r="R585" t="str">
            <v>581.NA1</v>
          </cell>
          <cell r="S585">
            <v>3327879.6935479767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951636.23</v>
          </cell>
        </row>
        <row r="589">
          <cell r="R589" t="str">
            <v>582.SNPD</v>
          </cell>
          <cell r="S589">
            <v>12986.638815504337</v>
          </cell>
        </row>
        <row r="590">
          <cell r="R590" t="str">
            <v>582.NA1</v>
          </cell>
          <cell r="S590">
            <v>964622.86881550436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2189531.15</v>
          </cell>
        </row>
        <row r="594">
          <cell r="R594" t="str">
            <v>583.SNPD</v>
          </cell>
          <cell r="S594">
            <v>8135.5497467485438</v>
          </cell>
        </row>
        <row r="595">
          <cell r="R595" t="str">
            <v>583.NA1</v>
          </cell>
          <cell r="S595">
            <v>2197666.6997467484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0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0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54154.157332773873</v>
          </cell>
        </row>
        <row r="605">
          <cell r="R605" t="str">
            <v>585.NA1</v>
          </cell>
          <cell r="S605">
            <v>54154.157332773873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2886367.12</v>
          </cell>
        </row>
        <row r="609">
          <cell r="R609" t="str">
            <v>586.SNPD</v>
          </cell>
          <cell r="S609">
            <v>104958.20844124966</v>
          </cell>
        </row>
        <row r="610">
          <cell r="R610" t="str">
            <v>586.NA1</v>
          </cell>
          <cell r="S610">
            <v>2991325.3284412497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4352166.38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4352166.38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371077.14</v>
          </cell>
        </row>
        <row r="619">
          <cell r="R619" t="str">
            <v>588.SNPD</v>
          </cell>
          <cell r="S619">
            <v>1189486.5376194417</v>
          </cell>
        </row>
        <row r="620">
          <cell r="R620" t="str">
            <v>588.NA1</v>
          </cell>
          <cell r="S620">
            <v>1560563.6776194419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2003601.07</v>
          </cell>
        </row>
        <row r="624">
          <cell r="R624" t="str">
            <v>589.SNPD</v>
          </cell>
          <cell r="S624">
            <v>24989.639235769951</v>
          </cell>
        </row>
        <row r="625">
          <cell r="R625" t="str">
            <v>589.NA1</v>
          </cell>
          <cell r="S625">
            <v>2028590.7092357699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905940.87</v>
          </cell>
        </row>
        <row r="629">
          <cell r="R629" t="str">
            <v>590.SNPD</v>
          </cell>
          <cell r="S629">
            <v>929316.02253302478</v>
          </cell>
        </row>
        <row r="630">
          <cell r="R630" t="str">
            <v>590.NA1</v>
          </cell>
          <cell r="S630">
            <v>1835256.8925330248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529568.78</v>
          </cell>
        </row>
        <row r="634">
          <cell r="R634" t="str">
            <v>591.SNPD</v>
          </cell>
          <cell r="S634">
            <v>13857.803222166369</v>
          </cell>
        </row>
        <row r="635">
          <cell r="R635" t="str">
            <v>591.NA1</v>
          </cell>
          <cell r="S635">
            <v>543426.5832221664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3003870.04</v>
          </cell>
        </row>
        <row r="639">
          <cell r="R639" t="str">
            <v>592.SNPD</v>
          </cell>
          <cell r="S639">
            <v>508381.88185620354</v>
          </cell>
        </row>
        <row r="640">
          <cell r="R640" t="str">
            <v>592.NA1</v>
          </cell>
          <cell r="S640">
            <v>3512251.9218562036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31970701.318033457</v>
          </cell>
        </row>
        <row r="643">
          <cell r="R643" t="str">
            <v>593.SNPD</v>
          </cell>
          <cell r="S643">
            <v>371655.75305864215</v>
          </cell>
        </row>
        <row r="644">
          <cell r="R644" t="str">
            <v>593.NA1</v>
          </cell>
          <cell r="S644">
            <v>32342357.071092099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5988468.0800000001</v>
          </cell>
        </row>
        <row r="648">
          <cell r="R648" t="str">
            <v>594.SNPD</v>
          </cell>
          <cell r="S648">
            <v>10483.821993433367</v>
          </cell>
        </row>
        <row r="649">
          <cell r="R649" t="str">
            <v>594.NA1</v>
          </cell>
          <cell r="S649">
            <v>5998951.901993433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274849.70204509178</v>
          </cell>
        </row>
        <row r="654">
          <cell r="R654" t="str">
            <v>595.NA1</v>
          </cell>
          <cell r="S654">
            <v>274849.70204509178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1057829.3799999999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1057829.3799999999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1137594.83</v>
          </cell>
        </row>
        <row r="663">
          <cell r="R663" t="str">
            <v>597.SNPD</v>
          </cell>
          <cell r="S663">
            <v>491146.77815816604</v>
          </cell>
        </row>
        <row r="664">
          <cell r="R664" t="str">
            <v>597.NA1</v>
          </cell>
          <cell r="S664">
            <v>1628741.6081581661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183873.29</v>
          </cell>
        </row>
        <row r="668">
          <cell r="R668" t="str">
            <v>598.SNPD</v>
          </cell>
          <cell r="S668">
            <v>462819.00502696022</v>
          </cell>
        </row>
        <row r="669">
          <cell r="R669" t="str">
            <v>598.NA1</v>
          </cell>
          <cell r="S669">
            <v>646692.2950269602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68689785.743417621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57788358.011882767</v>
          </cell>
        </row>
        <row r="676">
          <cell r="R676" t="str">
            <v>Summary of Distribution Expense by Factor.NA2</v>
          </cell>
          <cell r="S676">
            <v>10901427.731534822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68689785.743417591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741549.66570330458</v>
          </cell>
        </row>
        <row r="683">
          <cell r="R683" t="str">
            <v>901.NA1</v>
          </cell>
          <cell r="S683">
            <v>741549.66570330458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8968209.5</v>
          </cell>
        </row>
        <row r="687">
          <cell r="R687" t="str">
            <v>902.CN</v>
          </cell>
          <cell r="S687">
            <v>651578.52310237964</v>
          </cell>
        </row>
        <row r="688">
          <cell r="R688" t="str">
            <v>902.NA1</v>
          </cell>
          <cell r="S688">
            <v>9619788.0231023803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2320677.5795842339</v>
          </cell>
        </row>
        <row r="692">
          <cell r="R692" t="str">
            <v>903.CN</v>
          </cell>
          <cell r="S692">
            <v>13345324.667658858</v>
          </cell>
        </row>
        <row r="693">
          <cell r="R693" t="str">
            <v>903.NA1</v>
          </cell>
          <cell r="S693">
            <v>15666002.247243091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5173416.2771636415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5233.4808336255492</v>
          </cell>
        </row>
        <row r="699">
          <cell r="R699" t="str">
            <v>904.NA1</v>
          </cell>
          <cell r="S699">
            <v>5178649.7579972669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1626.4</v>
          </cell>
        </row>
        <row r="703">
          <cell r="R703" t="str">
            <v>905.CN</v>
          </cell>
          <cell r="S703">
            <v>35223.322707221138</v>
          </cell>
        </row>
        <row r="704">
          <cell r="R704" t="str">
            <v>905.NA1</v>
          </cell>
          <cell r="S704">
            <v>36849.722707221139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31242839.416753262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16463929.756747875</v>
          </cell>
        </row>
        <row r="710">
          <cell r="R710" t="str">
            <v>Summary of Customer Accts Exp by Factor.NA2</v>
          </cell>
          <cell r="S710">
            <v>14778909.660005389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31242839.416753262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100645.35127511526</v>
          </cell>
        </row>
        <row r="717">
          <cell r="R717" t="str">
            <v>907.NA1</v>
          </cell>
          <cell r="S717">
            <v>100645.35127511526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1848354.1992808804</v>
          </cell>
        </row>
        <row r="721">
          <cell r="R721" t="str">
            <v>908.CN</v>
          </cell>
          <cell r="S721">
            <v>389638.64387497038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2237992.8431558507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536194.65</v>
          </cell>
        </row>
        <row r="728">
          <cell r="R728" t="str">
            <v>909.CN</v>
          </cell>
          <cell r="S728">
            <v>549917.52593440039</v>
          </cell>
        </row>
        <row r="729">
          <cell r="R729" t="str">
            <v>909.NA1</v>
          </cell>
          <cell r="S729">
            <v>1086112.1759344004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35570.286524282637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35570.286524282637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3460320.6568896491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2384548.8492808803</v>
          </cell>
        </row>
        <row r="742">
          <cell r="R742" t="str">
            <v>Summary of Customer Service Exp by Factor.NA2</v>
          </cell>
          <cell r="S742">
            <v>1075771.8076087686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3460320.6568896491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3460320.6568896491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-826709.13474722009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20384871.289275173</v>
          </cell>
        </row>
        <row r="780">
          <cell r="R780" t="str">
            <v>920.NA1</v>
          </cell>
          <cell r="S780">
            <v>19558162.154527955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10890.78</v>
          </cell>
        </row>
        <row r="784">
          <cell r="R784" t="str">
            <v>921.CN</v>
          </cell>
          <cell r="S784">
            <v>56005.696705891889</v>
          </cell>
        </row>
        <row r="785">
          <cell r="R785" t="str">
            <v>921.SO</v>
          </cell>
          <cell r="S785">
            <v>2128360.5967402249</v>
          </cell>
        </row>
        <row r="786">
          <cell r="R786" t="str">
            <v>921.NA1</v>
          </cell>
          <cell r="S786">
            <v>2195257.0734461169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-7817005.4870832795</v>
          </cell>
        </row>
        <row r="792">
          <cell r="R792" t="str">
            <v>922.NA1</v>
          </cell>
          <cell r="S792">
            <v>-7817005.4870832795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44310.14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4065018.5978273517</v>
          </cell>
        </row>
        <row r="798">
          <cell r="R798" t="str">
            <v>923.NA1</v>
          </cell>
          <cell r="S798">
            <v>4109328.7378273518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7010922.9940155428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1592275.4586773745</v>
          </cell>
        </row>
        <row r="804">
          <cell r="R804" t="str">
            <v>924.NA1</v>
          </cell>
          <cell r="S804">
            <v>8603198.4526929166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2769058.1792327273</v>
          </cell>
        </row>
        <row r="808">
          <cell r="R808" t="str">
            <v>925.SO</v>
          </cell>
          <cell r="S808">
            <v>9861535.0433677956</v>
          </cell>
        </row>
        <row r="809">
          <cell r="R809" t="str">
            <v>925.NA1</v>
          </cell>
          <cell r="S809">
            <v>12630593.222600523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4441009.92</v>
          </cell>
        </row>
        <row r="824">
          <cell r="R824" t="str">
            <v>928.CN</v>
          </cell>
          <cell r="S824">
            <v>0</v>
          </cell>
        </row>
        <row r="825">
          <cell r="R825" t="str">
            <v>928.SO</v>
          </cell>
          <cell r="S825">
            <v>613591.14210984122</v>
          </cell>
        </row>
        <row r="826">
          <cell r="R826" t="str">
            <v>928.SG</v>
          </cell>
          <cell r="S826">
            <v>1066928.09902806</v>
          </cell>
        </row>
        <row r="827">
          <cell r="R827" t="str">
            <v>928.NA1</v>
          </cell>
          <cell r="S827">
            <v>6121529.1611379012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-1512547.8057599626</v>
          </cell>
        </row>
        <row r="832">
          <cell r="R832" t="str">
            <v>929.NA1</v>
          </cell>
          <cell r="S832">
            <v>-1512547.8057599626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895760.5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1714686.2275857404</v>
          </cell>
        </row>
        <row r="839">
          <cell r="R839" t="str">
            <v>930.NA1</v>
          </cell>
          <cell r="S839">
            <v>2610446.7275857404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914962.84</v>
          </cell>
        </row>
        <row r="843">
          <cell r="R843" t="str">
            <v>931.SO</v>
          </cell>
          <cell r="S843">
            <v>1437194.8060520415</v>
          </cell>
        </row>
        <row r="844">
          <cell r="R844" t="str">
            <v>931.NA1</v>
          </cell>
          <cell r="S844">
            <v>2352157.6460520416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10572.583082083402</v>
          </cell>
        </row>
        <row r="848">
          <cell r="R848" t="str">
            <v>935.CN</v>
          </cell>
          <cell r="S848">
            <v>17059.085746365847</v>
          </cell>
        </row>
        <row r="849">
          <cell r="R849" t="str">
            <v>935.SO</v>
          </cell>
          <cell r="S849">
            <v>5610977.0138392411</v>
          </cell>
        </row>
        <row r="850">
          <cell r="R850" t="str">
            <v>935.NA1</v>
          </cell>
          <cell r="S850">
            <v>5638608.6826676903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54489728.565695003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15270778.801583134</v>
          </cell>
        </row>
        <row r="856">
          <cell r="R856" t="str">
            <v>Summary of A&amp;G Expense by Factor.NA2</v>
          </cell>
          <cell r="S856">
            <v>38078956.88263154</v>
          </cell>
        </row>
        <row r="857">
          <cell r="R857" t="str">
            <v>Summary of A&amp;G Expense by Factor.NA3</v>
          </cell>
          <cell r="S857">
            <v>1066928.09902806</v>
          </cell>
        </row>
        <row r="858">
          <cell r="R858" t="str">
            <v>Summary of A&amp;G Expense by Factor.NA4</v>
          </cell>
          <cell r="S858">
            <v>73064.782452257728</v>
          </cell>
        </row>
        <row r="859">
          <cell r="R859" t="str">
            <v>Total A&amp;G Expense by Factor.NA</v>
          </cell>
          <cell r="S859">
            <v>54489728.565694988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788348965.550349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5091071.5888435654</v>
          </cell>
        </row>
        <row r="864">
          <cell r="R864" t="str">
            <v>403SP.SG1</v>
          </cell>
          <cell r="S864">
            <v>5827696.5107068894</v>
          </cell>
        </row>
        <row r="865">
          <cell r="R865" t="str">
            <v>403SP.SG2</v>
          </cell>
          <cell r="S865">
            <v>65041215.878026493</v>
          </cell>
        </row>
        <row r="866">
          <cell r="R866" t="str">
            <v>403SP.SG3</v>
          </cell>
          <cell r="S866">
            <v>2027953.6908008936</v>
          </cell>
        </row>
        <row r="867">
          <cell r="R867" t="str">
            <v>403SP.NA1</v>
          </cell>
          <cell r="S867">
            <v>77987937.668377832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741591.1801646786</v>
          </cell>
        </row>
        <row r="875">
          <cell r="R875" t="str">
            <v>403HP.SG1</v>
          </cell>
          <cell r="S875">
            <v>244104.4446315181</v>
          </cell>
        </row>
        <row r="876">
          <cell r="R876" t="str">
            <v>403HP.SG2</v>
          </cell>
          <cell r="S876">
            <v>6254928.3137927726</v>
          </cell>
        </row>
        <row r="877">
          <cell r="R877" t="str">
            <v>403HP.SG3</v>
          </cell>
          <cell r="S877">
            <v>2324038.1274727606</v>
          </cell>
        </row>
        <row r="878">
          <cell r="R878" t="str">
            <v>403HP.NA1</v>
          </cell>
          <cell r="S878">
            <v>9564662.0660617296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6260.6353324093325</v>
          </cell>
        </row>
        <row r="882">
          <cell r="R882" t="str">
            <v>403OP.SG1</v>
          </cell>
          <cell r="S882">
            <v>10093888.430825729</v>
          </cell>
        </row>
        <row r="883">
          <cell r="R883" t="str">
            <v>403OP.SG2</v>
          </cell>
          <cell r="S883">
            <v>677274.43910922087</v>
          </cell>
        </row>
        <row r="884">
          <cell r="R884" t="str">
            <v>403OP.SG3</v>
          </cell>
          <cell r="S884">
            <v>16728024.609824825</v>
          </cell>
        </row>
        <row r="885">
          <cell r="R885" t="str">
            <v>403OP.NA1</v>
          </cell>
          <cell r="S885">
            <v>27505448.115092184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2739774.4714090391</v>
          </cell>
        </row>
        <row r="889">
          <cell r="R889" t="str">
            <v>403TP.SG1</v>
          </cell>
          <cell r="S889">
            <v>3119961.9267223179</v>
          </cell>
        </row>
        <row r="890">
          <cell r="R890" t="str">
            <v>403TP.SG2</v>
          </cell>
          <cell r="S890">
            <v>17305758.55614033</v>
          </cell>
        </row>
        <row r="891">
          <cell r="R891" t="str">
            <v>403TP.NA1</v>
          </cell>
          <cell r="S891">
            <v>23165494.954271689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75143.87</v>
          </cell>
        </row>
        <row r="897">
          <cell r="R897" t="str">
            <v>361.S</v>
          </cell>
          <cell r="S897">
            <v>366549.84</v>
          </cell>
        </row>
        <row r="898">
          <cell r="R898" t="str">
            <v>362.S</v>
          </cell>
          <cell r="S898">
            <v>4688059.6100000003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7936076.1404463481</v>
          </cell>
        </row>
        <row r="901">
          <cell r="R901" t="str">
            <v>365.S</v>
          </cell>
          <cell r="S901">
            <v>7246388.6699999999</v>
          </cell>
        </row>
        <row r="902">
          <cell r="R902" t="str">
            <v>366.S</v>
          </cell>
          <cell r="S902">
            <v>2263675.88</v>
          </cell>
        </row>
        <row r="903">
          <cell r="R903" t="str">
            <v>367.S</v>
          </cell>
          <cell r="S903">
            <v>3978689.66</v>
          </cell>
        </row>
        <row r="904">
          <cell r="R904" t="str">
            <v>368.S</v>
          </cell>
          <cell r="S904">
            <v>11658420.43</v>
          </cell>
        </row>
        <row r="905">
          <cell r="R905" t="str">
            <v>369.S</v>
          </cell>
          <cell r="S905">
            <v>4846965.59</v>
          </cell>
        </row>
        <row r="906">
          <cell r="R906" t="str">
            <v>370.S</v>
          </cell>
          <cell r="S906">
            <v>2171255.69</v>
          </cell>
        </row>
        <row r="907">
          <cell r="R907" t="str">
            <v>371.S</v>
          </cell>
          <cell r="S907">
            <v>122049.78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689206.79</v>
          </cell>
        </row>
        <row r="910">
          <cell r="R910" t="str">
            <v>373.NA</v>
          </cell>
          <cell r="S910">
            <v>46042481.950446345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4439898.8564014332</v>
          </cell>
        </row>
        <row r="914">
          <cell r="R914" t="str">
            <v>403GP.SG</v>
          </cell>
          <cell r="S914">
            <v>16080.95491897719</v>
          </cell>
        </row>
        <row r="915">
          <cell r="R915" t="str">
            <v>403GP.SG1</v>
          </cell>
          <cell r="S915">
            <v>28407.973017945438</v>
          </cell>
        </row>
        <row r="916">
          <cell r="R916" t="str">
            <v>403GP.SE</v>
          </cell>
          <cell r="S916">
            <v>6351.2082693638613</v>
          </cell>
        </row>
        <row r="917">
          <cell r="R917" t="str">
            <v>403GP.CN</v>
          </cell>
          <cell r="S917">
            <v>432215.54705205665</v>
          </cell>
        </row>
        <row r="918">
          <cell r="R918" t="str">
            <v>403GP.SG2</v>
          </cell>
          <cell r="S918">
            <v>2016321.7074482148</v>
          </cell>
        </row>
        <row r="919">
          <cell r="R919" t="str">
            <v>403GP.SO</v>
          </cell>
          <cell r="S919">
            <v>4000479.3887377856</v>
          </cell>
        </row>
        <row r="920">
          <cell r="R920" t="str">
            <v>403GP.SG3</v>
          </cell>
          <cell r="S920">
            <v>1872.7701253225371</v>
          </cell>
        </row>
        <row r="921">
          <cell r="R921" t="str">
            <v>403GP.SG4</v>
          </cell>
          <cell r="S921">
            <v>33540.955636732491</v>
          </cell>
        </row>
        <row r="922">
          <cell r="R922" t="str">
            <v>403GP.NA1</v>
          </cell>
          <cell r="S922">
            <v>10975169.361607831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195241194.1158576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50482380.806847781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140319767.16495061</v>
          </cell>
        </row>
        <row r="947">
          <cell r="R947" t="str">
            <v>Summary.NA4</v>
          </cell>
          <cell r="S947">
            <v>4000479.3887377856</v>
          </cell>
        </row>
        <row r="948">
          <cell r="R948" t="str">
            <v>Summary.NA5</v>
          </cell>
          <cell r="S948">
            <v>432215.54705205665</v>
          </cell>
        </row>
        <row r="949">
          <cell r="R949" t="str">
            <v>Summary.NA6</v>
          </cell>
          <cell r="S949">
            <v>6351.2082693638613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195241194.1158576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304635.44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198827.45474273985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21917.831433002862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525380.72617574269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17526.79</v>
          </cell>
        </row>
        <row r="970">
          <cell r="R970" t="str">
            <v>404IP.SE</v>
          </cell>
          <cell r="S970">
            <v>12354.084472771054</v>
          </cell>
        </row>
        <row r="971">
          <cell r="R971" t="str">
            <v>404IP.SG</v>
          </cell>
          <cell r="S971">
            <v>2679979.8064500224</v>
          </cell>
        </row>
        <row r="972">
          <cell r="R972" t="str">
            <v>404IP.SO</v>
          </cell>
          <cell r="S972">
            <v>4468185.2218182161</v>
          </cell>
        </row>
        <row r="973">
          <cell r="R973" t="str">
            <v>404IP.CN</v>
          </cell>
          <cell r="S973">
            <v>1155655.8019122509</v>
          </cell>
        </row>
        <row r="974">
          <cell r="R974" t="str">
            <v>404IP.SG1</v>
          </cell>
          <cell r="S974">
            <v>2740873.2073659282</v>
          </cell>
        </row>
        <row r="975">
          <cell r="R975" t="str">
            <v>404IP.SG2</v>
          </cell>
          <cell r="S975">
            <v>77557.037271474328</v>
          </cell>
        </row>
        <row r="976">
          <cell r="R976" t="str">
            <v>404IP.SG3</v>
          </cell>
          <cell r="S976">
            <v>17204.038911033836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62395.234540129961</v>
          </cell>
        </row>
        <row r="979">
          <cell r="R979" t="str">
            <v>404IP.SG6</v>
          </cell>
          <cell r="S979">
            <v>4154.1850529209405</v>
          </cell>
        </row>
        <row r="980">
          <cell r="R980" t="str">
            <v>404IP.NA1</v>
          </cell>
          <cell r="S980">
            <v>11235885.407794746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69025.329004464598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69025.329004464598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11830291.462974953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0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1218232.3058215398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1218232.3058215398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-50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-50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13048473.768796492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322112.23</v>
          </cell>
        </row>
        <row r="1027">
          <cell r="R1027" t="str">
            <v>Summary of Amortization Expense by Factor.NA2</v>
          </cell>
          <cell r="S1027">
            <v>12354.084472771054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4667012.6765609561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0</v>
          </cell>
        </row>
        <row r="1035">
          <cell r="R1035" t="str">
            <v>Summary of Amortization Expense by Factor.NA10</v>
          </cell>
          <cell r="S1035">
            <v>1177573.6333452538</v>
          </cell>
        </row>
        <row r="1036">
          <cell r="R1036" t="str">
            <v>Summary of Amortization Expense by Factor.NA11</v>
          </cell>
          <cell r="S1036">
            <v>6869421.1444175141</v>
          </cell>
        </row>
        <row r="1037">
          <cell r="R1037" t="str">
            <v>Total Amortization Expense by Factor.NA</v>
          </cell>
          <cell r="S1037">
            <v>13048473.768796496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27735617.31344717</v>
          </cell>
        </row>
        <row r="1040">
          <cell r="R1040" t="str">
            <v>408.GPS</v>
          </cell>
          <cell r="S1040">
            <v>35358526.452118881</v>
          </cell>
        </row>
        <row r="1041">
          <cell r="R1041" t="str">
            <v>408.SO</v>
          </cell>
          <cell r="S1041">
            <v>2873994.8499055197</v>
          </cell>
        </row>
        <row r="1042">
          <cell r="R1042" t="str">
            <v>408.SE</v>
          </cell>
          <cell r="S1042">
            <v>191312.94706218393</v>
          </cell>
        </row>
        <row r="1043">
          <cell r="R1043" t="str">
            <v>408.SG</v>
          </cell>
          <cell r="S1043">
            <v>434843.76187713566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66594295.324410893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0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0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0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-3644057.2719311416</v>
          </cell>
        </row>
        <row r="1068">
          <cell r="R1068" t="str">
            <v>427.SNP</v>
          </cell>
          <cell r="S1068">
            <v>91613079.428116232</v>
          </cell>
        </row>
        <row r="1069">
          <cell r="R1069" t="str">
            <v>427.NA1</v>
          </cell>
          <cell r="S1069">
            <v>87969022.156185091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1366764.7120549418</v>
          </cell>
        </row>
        <row r="1073">
          <cell r="R1073" t="str">
            <v>428.NA1</v>
          </cell>
          <cell r="S1073">
            <v>1366764.7120549418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-2837.84113830248</v>
          </cell>
        </row>
        <row r="1077">
          <cell r="R1077" t="str">
            <v>429.NA1</v>
          </cell>
          <cell r="S1077">
            <v>-2837.84113830248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3447566.7560740276</v>
          </cell>
        </row>
        <row r="1083">
          <cell r="R1083" t="str">
            <v>431.NA1</v>
          </cell>
          <cell r="S1083">
            <v>3447566.7560740276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-7530589.146953091</v>
          </cell>
        </row>
        <row r="1087">
          <cell r="R1087" t="str">
            <v>432.NA1</v>
          </cell>
          <cell r="S1087">
            <v>-7530589.146953091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85249926.636222661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85249926.636222661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-14733441.441514252</v>
          </cell>
        </row>
        <row r="1105">
          <cell r="R1105" t="str">
            <v>419.NA1</v>
          </cell>
          <cell r="S1105">
            <v>-14733441.441514252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2508932.5709699998</v>
          </cell>
        </row>
        <row r="1110">
          <cell r="R1110" t="str">
            <v>41010.SCHMDEXP</v>
          </cell>
          <cell r="S1110">
            <v>706862.02574691153</v>
          </cell>
        </row>
        <row r="1111">
          <cell r="R1111" t="str">
            <v>41010.SG</v>
          </cell>
          <cell r="S1111">
            <v>13098.093812294312</v>
          </cell>
        </row>
        <row r="1112">
          <cell r="R1112" t="str">
            <v>41010.SO</v>
          </cell>
          <cell r="S1112">
            <v>897467.62859344645</v>
          </cell>
        </row>
        <row r="1113">
          <cell r="R1113" t="str">
            <v>41010.SNP</v>
          </cell>
          <cell r="S1113">
            <v>8440339.3426059838</v>
          </cell>
        </row>
        <row r="1114">
          <cell r="R1114" t="str">
            <v>41010.SE</v>
          </cell>
          <cell r="S1114">
            <v>1551214.7385231345</v>
          </cell>
        </row>
        <row r="1115">
          <cell r="R1115" t="str">
            <v>41010.SG1</v>
          </cell>
          <cell r="S1115">
            <v>38800322.248314291</v>
          </cell>
        </row>
        <row r="1116">
          <cell r="R1116" t="str">
            <v>41010.SGCT</v>
          </cell>
          <cell r="S1116">
            <v>0</v>
          </cell>
        </row>
        <row r="1117">
          <cell r="R1117" t="str">
            <v>41010.GPS</v>
          </cell>
          <cell r="S1117">
            <v>4598641.4144273121</v>
          </cell>
        </row>
        <row r="1118">
          <cell r="R1118" t="str">
            <v>41010.TAXDEPR</v>
          </cell>
          <cell r="S1118">
            <v>104910178.75973731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17886.778974238303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41010.SNPD</v>
          </cell>
          <cell r="S1122">
            <v>-47992.455896462248</v>
          </cell>
        </row>
        <row r="1123">
          <cell r="R1123" t="str">
            <v>41010.NA1</v>
          </cell>
          <cell r="S1123">
            <v>162396951.14580846</v>
          </cell>
        </row>
        <row r="1124">
          <cell r="R1124" t="str">
            <v>41010.NA2</v>
          </cell>
          <cell r="S1124">
            <v>0</v>
          </cell>
        </row>
        <row r="1125">
          <cell r="R1125" t="str">
            <v>41010.NA3</v>
          </cell>
          <cell r="S1125">
            <v>0</v>
          </cell>
        </row>
        <row r="1126">
          <cell r="R1126" t="str">
            <v>41010.NA4</v>
          </cell>
          <cell r="S1126">
            <v>0</v>
          </cell>
        </row>
        <row r="1127">
          <cell r="R1127" t="str">
            <v>41110.NA</v>
          </cell>
          <cell r="S1127">
            <v>0</v>
          </cell>
        </row>
        <row r="1128">
          <cell r="R1128" t="str">
            <v>41110.S</v>
          </cell>
          <cell r="S1128">
            <v>-1301644.3428500001</v>
          </cell>
        </row>
        <row r="1129">
          <cell r="R1129" t="str">
            <v>41110.SE</v>
          </cell>
          <cell r="S1129">
            <v>-2341307.492803779</v>
          </cell>
        </row>
        <row r="1130">
          <cell r="R1130" t="str">
            <v>41110.SG</v>
          </cell>
          <cell r="S1130">
            <v>-135667.59469644775</v>
          </cell>
        </row>
        <row r="1131">
          <cell r="R1131" t="str">
            <v>41110.SNP</v>
          </cell>
          <cell r="S1131">
            <v>-5204482.8707664134</v>
          </cell>
        </row>
        <row r="1132">
          <cell r="R1132" t="str">
            <v>41110.SG1</v>
          </cell>
          <cell r="S1132">
            <v>-495500.15560526284</v>
          </cell>
        </row>
        <row r="1133">
          <cell r="R1133" t="str">
            <v>41110.CIAC</v>
          </cell>
          <cell r="S1133">
            <v>-4962125.5205977652</v>
          </cell>
        </row>
        <row r="1134">
          <cell r="R1134" t="str">
            <v>41110.SG-P</v>
          </cell>
          <cell r="S1134">
            <v>-27471.044899852623</v>
          </cell>
        </row>
        <row r="1135">
          <cell r="R1135" t="str">
            <v>41110.SG-U</v>
          </cell>
          <cell r="S1135">
            <v>3135.6096216860942</v>
          </cell>
        </row>
        <row r="1136">
          <cell r="R1136" t="str">
            <v>41110.SO</v>
          </cell>
          <cell r="S1136">
            <v>831370.50694874988</v>
          </cell>
        </row>
        <row r="1137">
          <cell r="R1137" t="str">
            <v>41110.SNPD</v>
          </cell>
          <cell r="S1137">
            <v>-153788.83719594308</v>
          </cell>
        </row>
        <row r="1138">
          <cell r="R1138" t="str">
            <v>41110.TAXDEPR</v>
          </cell>
          <cell r="S1138">
            <v>0</v>
          </cell>
        </row>
        <row r="1139">
          <cell r="R1139" t="str">
            <v>41110.SGCT</v>
          </cell>
          <cell r="S1139">
            <v>-107774.33460222393</v>
          </cell>
        </row>
        <row r="1140">
          <cell r="R1140" t="str">
            <v>41110.SCHMDEXP</v>
          </cell>
          <cell r="S1140">
            <v>-69859545.676768571</v>
          </cell>
        </row>
        <row r="1141">
          <cell r="R1141" t="str">
            <v>41110.TROJD</v>
          </cell>
          <cell r="S1141">
            <v>-0.25079758785432205</v>
          </cell>
        </row>
        <row r="1142">
          <cell r="R1142" t="str">
            <v>41110.BADDEBT</v>
          </cell>
          <cell r="S1142">
            <v>290028.76788578765</v>
          </cell>
        </row>
        <row r="1143">
          <cell r="R1143" t="str">
            <v>41110.GPS</v>
          </cell>
          <cell r="S1143">
            <v>171780.16156476838</v>
          </cell>
        </row>
        <row r="1144">
          <cell r="R1144" t="str">
            <v>41110.NA1</v>
          </cell>
          <cell r="S1144">
            <v>0</v>
          </cell>
        </row>
        <row r="1145">
          <cell r="R1145" t="str">
            <v>41110.NA2</v>
          </cell>
          <cell r="S1145">
            <v>-83292993.07556285</v>
          </cell>
        </row>
        <row r="1146">
          <cell r="R1146" t="str">
            <v>41110.NA3</v>
          </cell>
          <cell r="S1146">
            <v>0</v>
          </cell>
        </row>
        <row r="1147">
          <cell r="R1147" t="str">
            <v>Total Deferred Income Taxes.NA</v>
          </cell>
          <cell r="S1147">
            <v>79103958.070245594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-177583.7893093148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261653.60279111614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8686.4915022975183</v>
          </cell>
        </row>
        <row r="1164">
          <cell r="R1164" t="str">
            <v>SCHMAP.NA1</v>
          </cell>
          <cell r="S1164">
            <v>92756.304984098853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-5706333.0306433216</v>
          </cell>
        </row>
        <row r="1168">
          <cell r="R1168" t="str">
            <v>SCHMAT.SG-U</v>
          </cell>
          <cell r="S1168">
            <v>-8262.5795710547263</v>
          </cell>
        </row>
        <row r="1169">
          <cell r="R1169" t="str">
            <v>SCHMAT.SG-P</v>
          </cell>
          <cell r="S1169">
            <v>72385.635055892111</v>
          </cell>
        </row>
        <row r="1170">
          <cell r="R1170" t="str">
            <v>SCHMAT.CIAC</v>
          </cell>
          <cell r="S1170">
            <v>13075085.09820392</v>
          </cell>
        </row>
        <row r="1171">
          <cell r="R1171" t="str">
            <v>SCHMAT.SNP</v>
          </cell>
          <cell r="S1171">
            <v>13713690.288063845</v>
          </cell>
        </row>
        <row r="1172">
          <cell r="R1172" t="str">
            <v>SCHMAT.TROJD</v>
          </cell>
          <cell r="S1172">
            <v>0</v>
          </cell>
        </row>
        <row r="1173">
          <cell r="R1173" t="str">
            <v>SCHMAT.SGCT</v>
          </cell>
          <cell r="S1173">
            <v>283982.53292681486</v>
          </cell>
        </row>
        <row r="1174">
          <cell r="R1174" t="str">
            <v>SCHMAT.SE</v>
          </cell>
          <cell r="S1174">
            <v>6137144.0132138217</v>
          </cell>
        </row>
        <row r="1175">
          <cell r="R1175" t="str">
            <v>SCHMAT.SG</v>
          </cell>
          <cell r="S1175">
            <v>22664720.052358534</v>
          </cell>
        </row>
        <row r="1176">
          <cell r="R1176" t="str">
            <v>SCHMAT.CN</v>
          </cell>
          <cell r="S1176">
            <v>-47131.04513661121</v>
          </cell>
        </row>
        <row r="1177">
          <cell r="R1177" t="str">
            <v>SCHMAT.SO</v>
          </cell>
          <cell r="S1177">
            <v>-2190634.1219271207</v>
          </cell>
        </row>
        <row r="1178">
          <cell r="R1178" t="str">
            <v>SCHMAT.SNPD</v>
          </cell>
          <cell r="S1178">
            <v>377121.28615836898</v>
          </cell>
        </row>
        <row r="1179">
          <cell r="R1179" t="str">
            <v>SCHMAT.BADDEBT</v>
          </cell>
          <cell r="S1179">
            <v>-764218.88460923848</v>
          </cell>
        </row>
        <row r="1180">
          <cell r="R1180" t="str">
            <v>SCHMAT.GPS</v>
          </cell>
          <cell r="S1180">
            <v>-452636.71685904841</v>
          </cell>
        </row>
        <row r="1181">
          <cell r="R1181" t="str">
            <v>SCHMAT.SCHMDEXP</v>
          </cell>
          <cell r="S1181">
            <v>182215708.61589062</v>
          </cell>
        </row>
        <row r="1182">
          <cell r="R1182" t="str">
            <v>SCHMAT.NA1</v>
          </cell>
          <cell r="S1182">
            <v>229370621.14312541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229463377.44810954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116585.95774288867</v>
          </cell>
        </row>
        <row r="1194">
          <cell r="R1194" t="str">
            <v>SCHMDP.SNP</v>
          </cell>
          <cell r="S1194">
            <v>91076.583593253512</v>
          </cell>
        </row>
        <row r="1195">
          <cell r="R1195" t="str">
            <v>SCHMDP.SCHMDEXP</v>
          </cell>
          <cell r="S1195">
            <v>-6663.7735706453877</v>
          </cell>
        </row>
        <row r="1196">
          <cell r="R1196" t="str">
            <v>SCHMDP.SG</v>
          </cell>
          <cell r="S1196">
            <v>0</v>
          </cell>
        </row>
        <row r="1197">
          <cell r="R1197" t="str">
            <v>SCHMDP.SO</v>
          </cell>
          <cell r="S1197">
            <v>-6.9510741865087766E-2</v>
          </cell>
        </row>
        <row r="1198">
          <cell r="R1198" t="str">
            <v>SCHMDP.NA1</v>
          </cell>
          <cell r="S1198">
            <v>200998.69825475491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612488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22240097.093535218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34513.881651993019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4055267.8241399685</v>
          </cell>
        </row>
        <row r="1208">
          <cell r="R1208" t="str">
            <v>SCHMDT.SG1</v>
          </cell>
          <cell r="S1208">
            <v>123597042.65195897</v>
          </cell>
        </row>
        <row r="1209">
          <cell r="R1209" t="str">
            <v>SCHMDT.GPS</v>
          </cell>
          <cell r="S1209">
            <v>12117312.449112948</v>
          </cell>
        </row>
        <row r="1210">
          <cell r="R1210" t="str">
            <v>SCHMDT.SO</v>
          </cell>
          <cell r="S1210">
            <v>2364821.7500974541</v>
          </cell>
        </row>
        <row r="1211">
          <cell r="R1211" t="str">
            <v>SCHMDT.TAXDEPR</v>
          </cell>
          <cell r="S1211">
            <v>276435874.40464526</v>
          </cell>
        </row>
        <row r="1212">
          <cell r="R1212" t="str">
            <v>SCHMDT.SNPD</v>
          </cell>
          <cell r="S1212">
            <v>-154568.15034564171</v>
          </cell>
        </row>
        <row r="1213">
          <cell r="R1213" t="str">
            <v>SCHMDT.NA1</v>
          </cell>
          <cell r="S1213">
            <v>441302849.90479618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441503848.60305095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-212040471.15494141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>40911.S</v>
          </cell>
          <cell r="S1222">
            <v>2672045.574779707</v>
          </cell>
        </row>
        <row r="1223">
          <cell r="R1223" t="str">
            <v>40911.SE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Total State Tax Expense.NA</v>
          </cell>
          <cell r="S1226">
            <v>2672045.574779707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1404565594.221029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788348965.550349</v>
          </cell>
        </row>
        <row r="1233">
          <cell r="R1233" t="str">
            <v>Calculation of Taxable Income:.NA4</v>
          </cell>
          <cell r="S1233">
            <v>195241194.1158576</v>
          </cell>
        </row>
        <row r="1234">
          <cell r="R1234" t="str">
            <v>Calculation of Taxable Income:.NA5</v>
          </cell>
          <cell r="S1234">
            <v>13048473.768796492</v>
          </cell>
        </row>
        <row r="1235">
          <cell r="R1235" t="str">
            <v>Calculation of Taxable Income:.NA6</v>
          </cell>
          <cell r="S1235">
            <v>66594295.324410893</v>
          </cell>
        </row>
        <row r="1236">
          <cell r="R1236" t="str">
            <v>Calculation of Taxable Income:.NA7</v>
          </cell>
          <cell r="S1236">
            <v>-14733441.441514252</v>
          </cell>
        </row>
        <row r="1237">
          <cell r="R1237" t="str">
            <v>Calculation of Taxable Income:.NA8</v>
          </cell>
          <cell r="S1237">
            <v>-79920.288468329061</v>
          </cell>
        </row>
        <row r="1238">
          <cell r="R1238" t="str">
            <v>Calculation of Taxable Income:.NA9</v>
          </cell>
          <cell r="S1238">
            <v>1048419567.0294313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85249926.636222661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-212040471.15494141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58855629.40043363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2672045.574779707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56183583.825653926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19664254.338978872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-25076.700986091251</v>
          </cell>
        </row>
        <row r="1256">
          <cell r="R1256" t="str">
            <v>40910.SG</v>
          </cell>
          <cell r="S1256">
            <v>-16628111.868019711</v>
          </cell>
        </row>
        <row r="1257">
          <cell r="R1257" t="str">
            <v>40910.SO</v>
          </cell>
          <cell r="S1257">
            <v>-417.33180183775039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3010648.4381712317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1147939660.5541422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586708.58079444524</v>
          </cell>
        </row>
        <row r="1264">
          <cell r="R1264" t="str">
            <v>310.SG1</v>
          </cell>
          <cell r="S1264">
            <v>8769134.5385013912</v>
          </cell>
        </row>
        <row r="1265">
          <cell r="R1265" t="str">
            <v>310.SG2</v>
          </cell>
          <cell r="S1265">
            <v>13467939.33121218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663482.04868538829</v>
          </cell>
        </row>
        <row r="1268">
          <cell r="R1268" t="str">
            <v>310.NA1</v>
          </cell>
          <cell r="S1268">
            <v>23487264.4991934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58257321.071933515</v>
          </cell>
        </row>
        <row r="1272">
          <cell r="R1272" t="str">
            <v>311.SG1</v>
          </cell>
          <cell r="S1272">
            <v>79478054.04326658</v>
          </cell>
        </row>
        <row r="1273">
          <cell r="R1273" t="str">
            <v>311.SG2</v>
          </cell>
          <cell r="S1273">
            <v>100248206.01787199</v>
          </cell>
        </row>
        <row r="1274">
          <cell r="R1274" t="str">
            <v>311.SG3</v>
          </cell>
          <cell r="S1274">
            <v>15497539.170057178</v>
          </cell>
        </row>
        <row r="1275">
          <cell r="R1275" t="str">
            <v>311.NA1</v>
          </cell>
          <cell r="S1275">
            <v>253481120.30312926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154616400.03468433</v>
          </cell>
        </row>
        <row r="1279">
          <cell r="R1279" t="str">
            <v>312.SG1</v>
          </cell>
          <cell r="S1279">
            <v>140712128.81715691</v>
          </cell>
        </row>
        <row r="1280">
          <cell r="R1280" t="str">
            <v>312.SG2</v>
          </cell>
          <cell r="S1280">
            <v>679354468.51589799</v>
          </cell>
        </row>
        <row r="1281">
          <cell r="R1281" t="str">
            <v>312.SG3</v>
          </cell>
          <cell r="S1281">
            <v>83123944.325490743</v>
          </cell>
        </row>
        <row r="1282">
          <cell r="R1282" t="str">
            <v>312.NA1</v>
          </cell>
          <cell r="S1282">
            <v>1057806941.6932299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29663204.444761068</v>
          </cell>
        </row>
        <row r="1286">
          <cell r="R1286" t="str">
            <v>314.SG1</v>
          </cell>
          <cell r="S1286">
            <v>33541103.70273906</v>
          </cell>
        </row>
        <row r="1287">
          <cell r="R1287" t="str">
            <v>314.SG2</v>
          </cell>
          <cell r="S1287">
            <v>166113040.81294894</v>
          </cell>
        </row>
        <row r="1288">
          <cell r="R1288" t="str">
            <v>314.SG3</v>
          </cell>
          <cell r="S1288">
            <v>16990058.903983559</v>
          </cell>
        </row>
        <row r="1289">
          <cell r="R1289" t="str">
            <v>314.NA1</v>
          </cell>
          <cell r="S1289">
            <v>246307407.86443263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21784567.78325459</v>
          </cell>
        </row>
        <row r="1293">
          <cell r="R1293" t="str">
            <v>315.SG1</v>
          </cell>
          <cell r="S1293">
            <v>34490018.88099695</v>
          </cell>
        </row>
        <row r="1294">
          <cell r="R1294" t="str">
            <v>315.SG2</v>
          </cell>
          <cell r="S1294">
            <v>47128399.576209173</v>
          </cell>
        </row>
        <row r="1295">
          <cell r="R1295" t="str">
            <v>315.SG3</v>
          </cell>
          <cell r="S1295">
            <v>16965371.3086464</v>
          </cell>
        </row>
        <row r="1296">
          <cell r="R1296" t="str">
            <v>315.NA1</v>
          </cell>
          <cell r="S1296">
            <v>120368357.5491071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954930.67121557856</v>
          </cell>
        </row>
        <row r="1302">
          <cell r="R1302" t="str">
            <v>316.SG1</v>
          </cell>
          <cell r="S1302">
            <v>1280179.4542080946</v>
          </cell>
        </row>
        <row r="1303">
          <cell r="R1303" t="str">
            <v>316.SG2</v>
          </cell>
          <cell r="S1303">
            <v>5001347.4736199249</v>
          </cell>
        </row>
        <row r="1304">
          <cell r="R1304" t="str">
            <v>316.SG3</v>
          </cell>
          <cell r="S1304">
            <v>1043053.3412682901</v>
          </cell>
        </row>
        <row r="1305">
          <cell r="R1305" t="str">
            <v>316.NA1</v>
          </cell>
          <cell r="S1305">
            <v>8279510.9403118882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99204.80757500531</v>
          </cell>
        </row>
        <row r="1313">
          <cell r="R1313" t="str">
            <v>SP.NA1</v>
          </cell>
          <cell r="S1313">
            <v>99204.80757500531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1709829807.6569791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1709829807.6569791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1709829807.6569791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2604683.4152962989</v>
          </cell>
        </row>
        <row r="1375">
          <cell r="R1375" t="str">
            <v>330.SG1</v>
          </cell>
          <cell r="S1375">
            <v>1328692.5628485242</v>
          </cell>
        </row>
        <row r="1376">
          <cell r="R1376" t="str">
            <v>330.SG2</v>
          </cell>
          <cell r="S1376">
            <v>3791309.0227014455</v>
          </cell>
        </row>
        <row r="1377">
          <cell r="R1377" t="str">
            <v>330.SG3</v>
          </cell>
          <cell r="S1377">
            <v>169689.74028517009</v>
          </cell>
        </row>
        <row r="1378">
          <cell r="R1378" t="str">
            <v>330.NA1</v>
          </cell>
          <cell r="S1378">
            <v>7894374.7411314389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5081654.4460929492</v>
          </cell>
        </row>
        <row r="1382">
          <cell r="R1382" t="str">
            <v>331.SG1</v>
          </cell>
          <cell r="S1382">
            <v>1317224.6074611507</v>
          </cell>
        </row>
        <row r="1383">
          <cell r="R1383" t="str">
            <v>331.SG2</v>
          </cell>
          <cell r="S1383">
            <v>38282772.95549576</v>
          </cell>
        </row>
        <row r="1384">
          <cell r="R1384" t="str">
            <v>331.SG3</v>
          </cell>
          <cell r="S1384">
            <v>2335888.2672245451</v>
          </cell>
        </row>
        <row r="1385">
          <cell r="R1385" t="str">
            <v>331.NA1</v>
          </cell>
          <cell r="S1385">
            <v>47017540.276274405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37184075.421697244</v>
          </cell>
        </row>
        <row r="1389">
          <cell r="R1389" t="str">
            <v>332.SG1</v>
          </cell>
          <cell r="S1389">
            <v>4852900.7339818636</v>
          </cell>
        </row>
        <row r="1390">
          <cell r="R1390" t="str">
            <v>332.SG2</v>
          </cell>
          <cell r="S1390">
            <v>71343488.495847628</v>
          </cell>
        </row>
        <row r="1391">
          <cell r="R1391" t="str">
            <v>332.SG3</v>
          </cell>
          <cell r="S1391">
            <v>16694721.97858835</v>
          </cell>
        </row>
        <row r="1392">
          <cell r="R1392" t="str">
            <v>332.NA1</v>
          </cell>
          <cell r="S1392">
            <v>130075186.63011509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7393203.2311472166</v>
          </cell>
        </row>
        <row r="1396">
          <cell r="R1396" t="str">
            <v>333.SG1</v>
          </cell>
          <cell r="S1396">
            <v>2117418.0103608225</v>
          </cell>
        </row>
        <row r="1397">
          <cell r="R1397" t="str">
            <v>333.SG2</v>
          </cell>
          <cell r="S1397">
            <v>13130846.61839211</v>
          </cell>
        </row>
        <row r="1398">
          <cell r="R1398" t="str">
            <v>333.SG3</v>
          </cell>
          <cell r="S1398">
            <v>7687987.3844603393</v>
          </cell>
        </row>
        <row r="1399">
          <cell r="R1399" t="str">
            <v>333.NA1</v>
          </cell>
          <cell r="S1399">
            <v>30329455.244360484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1028774.1149768856</v>
          </cell>
        </row>
        <row r="1403">
          <cell r="R1403" t="str">
            <v>334.SG1</v>
          </cell>
          <cell r="S1403">
            <v>874966.32882324886</v>
          </cell>
        </row>
        <row r="1404">
          <cell r="R1404" t="str">
            <v>334.SG2</v>
          </cell>
          <cell r="S1404">
            <v>15140204.774043309</v>
          </cell>
        </row>
        <row r="1405">
          <cell r="R1405" t="str">
            <v>334.SG3</v>
          </cell>
          <cell r="S1405">
            <v>1945909.0295338586</v>
          </cell>
        </row>
        <row r="1406">
          <cell r="R1406" t="str">
            <v>334.NA1</v>
          </cell>
          <cell r="S1406">
            <v>18989854.247377302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287923.8494808033</v>
          </cell>
        </row>
        <row r="1412">
          <cell r="R1412" t="str">
            <v>335.SG1</v>
          </cell>
          <cell r="S1412">
            <v>39612.92015633492</v>
          </cell>
        </row>
        <row r="1413">
          <cell r="R1413" t="str">
            <v>335.SG2</v>
          </cell>
          <cell r="S1413">
            <v>263658.20462783036</v>
          </cell>
        </row>
        <row r="1414">
          <cell r="R1414" t="str">
            <v>335.SG3</v>
          </cell>
          <cell r="S1414">
            <v>3259.2810705308689</v>
          </cell>
        </row>
        <row r="1415">
          <cell r="R1415" t="str">
            <v>335.NA1</v>
          </cell>
          <cell r="S1415">
            <v>594454.25533549953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1109555.8892556482</v>
          </cell>
        </row>
        <row r="1419">
          <cell r="R1419" t="str">
            <v>336.SG1</v>
          </cell>
          <cell r="S1419">
            <v>207248.39000613044</v>
          </cell>
        </row>
        <row r="1420">
          <cell r="R1420" t="str">
            <v>336.SG2</v>
          </cell>
          <cell r="S1420">
            <v>3257932.2336564176</v>
          </cell>
        </row>
        <row r="1421">
          <cell r="R1421" t="str">
            <v>336.SG3</v>
          </cell>
          <cell r="S1421">
            <v>205071.40687692285</v>
          </cell>
        </row>
        <row r="1422">
          <cell r="R1422" t="str">
            <v>336.NA1</v>
          </cell>
          <cell r="S1422">
            <v>4779807.9197951192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239680673.31438935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239680673.31438935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239680673.31438935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74985.87</v>
          </cell>
        </row>
        <row r="1446">
          <cell r="R1446" t="str">
            <v>340.SG</v>
          </cell>
          <cell r="S1446">
            <v>5953515.1357900845</v>
          </cell>
        </row>
        <row r="1447">
          <cell r="R1447" t="str">
            <v>340.SG1</v>
          </cell>
          <cell r="S1447">
            <v>1359776.7027593714</v>
          </cell>
        </row>
        <row r="1448">
          <cell r="R1448" t="str">
            <v>340.SG2</v>
          </cell>
          <cell r="S1448">
            <v>0</v>
          </cell>
        </row>
        <row r="1449">
          <cell r="R1449" t="str">
            <v>340.NA1</v>
          </cell>
          <cell r="S1449">
            <v>7388277.7085494557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26589729.619744323</v>
          </cell>
        </row>
        <row r="1453">
          <cell r="R1453" t="str">
            <v>341.SG1</v>
          </cell>
          <cell r="S1453">
            <v>19017.516648999681</v>
          </cell>
        </row>
        <row r="1454">
          <cell r="R1454" t="str">
            <v>341.SG2</v>
          </cell>
          <cell r="S1454">
            <v>12995561.370774547</v>
          </cell>
        </row>
        <row r="1455">
          <cell r="R1455" t="str">
            <v>341.SG3</v>
          </cell>
          <cell r="S1455">
            <v>1076786.9591704055</v>
          </cell>
        </row>
        <row r="1456">
          <cell r="R1456" t="str">
            <v>341.NA1</v>
          </cell>
          <cell r="S1456">
            <v>40681095.466338277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2122962.7832969641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597352.00551510125</v>
          </cell>
        </row>
        <row r="1462">
          <cell r="R1462" t="str">
            <v>342.NA1</v>
          </cell>
          <cell r="S1462">
            <v>2720314.7888120655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28162.658897034918</v>
          </cell>
        </row>
        <row r="1467">
          <cell r="R1467" t="str">
            <v>343.SG1</v>
          </cell>
          <cell r="S1467">
            <v>448921879.33140135</v>
          </cell>
        </row>
        <row r="1468">
          <cell r="R1468" t="str">
            <v>343.SG2</v>
          </cell>
          <cell r="S1468">
            <v>222239899.70476645</v>
          </cell>
        </row>
        <row r="1469">
          <cell r="R1469" t="str">
            <v>343.SG3</v>
          </cell>
          <cell r="S1469">
            <v>13832931.981570205</v>
          </cell>
        </row>
        <row r="1470">
          <cell r="R1470" t="str">
            <v>343.NA1</v>
          </cell>
          <cell r="S1470">
            <v>685022873.67663503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13603099.602419568</v>
          </cell>
        </row>
        <row r="1475">
          <cell r="R1475" t="str">
            <v>344.SG1</v>
          </cell>
          <cell r="S1475">
            <v>65716659.423039079</v>
          </cell>
        </row>
        <row r="1476">
          <cell r="R1476" t="str">
            <v>344.SG2</v>
          </cell>
          <cell r="S1476">
            <v>4153672.5646383846</v>
          </cell>
        </row>
        <row r="1477">
          <cell r="R1477" t="str">
            <v>344.NA1</v>
          </cell>
          <cell r="S1477">
            <v>83473431.59009704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31010374.778334524</v>
          </cell>
        </row>
        <row r="1481">
          <cell r="R1481" t="str">
            <v>345.SG1</v>
          </cell>
          <cell r="S1481">
            <v>28005534.262251768</v>
          </cell>
        </row>
        <row r="1482">
          <cell r="R1482" t="str">
            <v>345.SG2</v>
          </cell>
          <cell r="S1482">
            <v>15609.903229391521</v>
          </cell>
        </row>
        <row r="1483">
          <cell r="R1483" t="str">
            <v>345.SG3</v>
          </cell>
          <cell r="S1483">
            <v>737258.28907050588</v>
          </cell>
        </row>
        <row r="1484">
          <cell r="R1484" t="str">
            <v>345.NA1</v>
          </cell>
          <cell r="S1484">
            <v>59768777.232886195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2274442.5349151902</v>
          </cell>
        </row>
        <row r="1490">
          <cell r="R1490" t="str">
            <v>346.SG1</v>
          </cell>
          <cell r="S1490">
            <v>637752.05868968018</v>
          </cell>
        </row>
        <row r="1491">
          <cell r="R1491" t="str">
            <v>346.SG2</v>
          </cell>
          <cell r="S1491">
            <v>1373.9440047738742</v>
          </cell>
        </row>
        <row r="1492">
          <cell r="R1492" t="str">
            <v>346.NA1</v>
          </cell>
          <cell r="S1492">
            <v>2913568.5376096442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7148.0328794857205</v>
          </cell>
        </row>
        <row r="1501">
          <cell r="R1501" t="str">
            <v>OP.NA1</v>
          </cell>
          <cell r="S1501">
            <v>7148.0328794857205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881975487.03380716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74985.87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881900501.16380727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881975487.03380728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2831485968.0051756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5307708.2389601851</v>
          </cell>
        </row>
        <row r="1520">
          <cell r="R1520" t="str">
            <v>350.SG1</v>
          </cell>
          <cell r="S1520">
            <v>12192892.387223769</v>
          </cell>
        </row>
        <row r="1521">
          <cell r="R1521" t="str">
            <v>350.SG2</v>
          </cell>
          <cell r="S1521">
            <v>36031717.516113587</v>
          </cell>
        </row>
        <row r="1522">
          <cell r="R1522" t="str">
            <v>350.NA1</v>
          </cell>
          <cell r="S1522">
            <v>53532318.142297536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1848928.6370982712</v>
          </cell>
        </row>
        <row r="1527">
          <cell r="R1527" t="str">
            <v>352.SG1</v>
          </cell>
          <cell r="S1527">
            <v>4545035.5445929486</v>
          </cell>
        </row>
        <row r="1528">
          <cell r="R1528" t="str">
            <v>352.SG2</v>
          </cell>
          <cell r="S1528">
            <v>37937597.195117429</v>
          </cell>
        </row>
        <row r="1529">
          <cell r="R1529" t="str">
            <v>352.NA1</v>
          </cell>
          <cell r="S1529">
            <v>44331561.376808651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29651540.819998071</v>
          </cell>
        </row>
        <row r="1533">
          <cell r="R1533" t="str">
            <v>353.SG1</v>
          </cell>
          <cell r="S1533">
            <v>44071343.92274005</v>
          </cell>
        </row>
        <row r="1534">
          <cell r="R1534" t="str">
            <v>353.SG2</v>
          </cell>
          <cell r="S1534">
            <v>371496855.86757767</v>
          </cell>
        </row>
        <row r="1535">
          <cell r="R1535" t="str">
            <v>353.NA1</v>
          </cell>
          <cell r="S1535">
            <v>445219740.6103158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39169525.584751464</v>
          </cell>
        </row>
        <row r="1539">
          <cell r="R1539" t="str">
            <v>354.SG1</v>
          </cell>
          <cell r="S1539">
            <v>33590093.504720211</v>
          </cell>
        </row>
        <row r="1540">
          <cell r="R1540" t="str">
            <v>354.SG2</v>
          </cell>
          <cell r="S1540">
            <v>194171515.76856649</v>
          </cell>
        </row>
        <row r="1541">
          <cell r="R1541" t="str">
            <v>354.NA1</v>
          </cell>
          <cell r="S1541">
            <v>266931134.85803816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16474529.993119432</v>
          </cell>
        </row>
        <row r="1545">
          <cell r="R1545" t="str">
            <v>355.SG1</v>
          </cell>
          <cell r="S1545">
            <v>29113744.808099099</v>
          </cell>
        </row>
        <row r="1546">
          <cell r="R1546" t="str">
            <v>355.SG2</v>
          </cell>
          <cell r="S1546">
            <v>191179250.66619596</v>
          </cell>
        </row>
        <row r="1547">
          <cell r="R1547" t="str">
            <v>355.NA1</v>
          </cell>
          <cell r="S1547">
            <v>236767525.4674145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45862491.938003942</v>
          </cell>
        </row>
        <row r="1551">
          <cell r="R1551" t="str">
            <v>356.SG1</v>
          </cell>
          <cell r="S1551">
            <v>39509188.33575096</v>
          </cell>
        </row>
        <row r="1552">
          <cell r="R1552" t="str">
            <v>356.SG2</v>
          </cell>
          <cell r="S1552">
            <v>155568236.53752333</v>
          </cell>
        </row>
        <row r="1553">
          <cell r="R1553" t="str">
            <v>356.NA1</v>
          </cell>
          <cell r="S1553">
            <v>240939916.81127822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1605.475973934412</v>
          </cell>
        </row>
        <row r="1557">
          <cell r="R1557" t="str">
            <v>357.SG1</v>
          </cell>
          <cell r="S1557">
            <v>23095.754386981222</v>
          </cell>
        </row>
        <row r="1558">
          <cell r="R1558" t="str">
            <v>357.SG2</v>
          </cell>
          <cell r="S1558">
            <v>813572.430345534</v>
          </cell>
        </row>
        <row r="1559">
          <cell r="R1559" t="str">
            <v>357.NA1</v>
          </cell>
          <cell r="S1559">
            <v>838273.66070644965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274060.83374341414</v>
          </cell>
        </row>
        <row r="1564">
          <cell r="R1564" t="str">
            <v>358.SG2</v>
          </cell>
          <cell r="S1564">
            <v>1615274.6773366721</v>
          </cell>
        </row>
        <row r="1565">
          <cell r="R1565" t="str">
            <v>358.NA1</v>
          </cell>
          <cell r="S1565">
            <v>1889335.5110800862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469479.99857981689</v>
          </cell>
        </row>
        <row r="1569">
          <cell r="R1569" t="str">
            <v>359.SG1</v>
          </cell>
          <cell r="S1569">
            <v>111008.39506194866</v>
          </cell>
        </row>
        <row r="1570">
          <cell r="R1570" t="str">
            <v>359.SG2</v>
          </cell>
          <cell r="S1570">
            <v>2396436.9690770921</v>
          </cell>
        </row>
        <row r="1571">
          <cell r="R1571" t="str">
            <v>359.NA1</v>
          </cell>
          <cell r="S1571">
            <v>2976925.3627188578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32447926.742907908</v>
          </cell>
        </row>
        <row r="1575">
          <cell r="R1575" t="str">
            <v>TP.NA1</v>
          </cell>
          <cell r="S1575">
            <v>32447926.742907908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1325874658.5435662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1325874658.5435662</v>
          </cell>
        </row>
        <row r="1586">
          <cell r="R1586" t="str">
            <v>Total Transmission Plant by Factor.NA</v>
          </cell>
          <cell r="S1586">
            <v>1325874658.5435662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13606121.9907692</v>
          </cell>
        </row>
        <row r="1589">
          <cell r="R1589" t="str">
            <v>360.NA1</v>
          </cell>
          <cell r="S1589">
            <v>13606121.9907692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23143764.822307602</v>
          </cell>
        </row>
        <row r="1593">
          <cell r="R1593" t="str">
            <v>361.NA1</v>
          </cell>
          <cell r="S1593">
            <v>23143764.822307602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217985686.68846101</v>
          </cell>
        </row>
        <row r="1597">
          <cell r="R1597" t="str">
            <v>362.NA1</v>
          </cell>
          <cell r="S1597">
            <v>217985686.68846101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349314602.05000001</v>
          </cell>
        </row>
        <row r="1605">
          <cell r="R1605" t="str">
            <v>364.NA1</v>
          </cell>
          <cell r="S1605">
            <v>349314602.05000001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240330975.02846101</v>
          </cell>
        </row>
        <row r="1609">
          <cell r="R1609" t="str">
            <v>365.NA1</v>
          </cell>
          <cell r="S1609">
            <v>240330975.02846101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86762361.876153797</v>
          </cell>
        </row>
        <row r="1613">
          <cell r="R1613" t="str">
            <v>366.NA1</v>
          </cell>
          <cell r="S1613">
            <v>86762361.876153797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162746064.622307</v>
          </cell>
        </row>
        <row r="1620">
          <cell r="R1620" t="str">
            <v>367.NA1</v>
          </cell>
          <cell r="S1620">
            <v>162746064.622307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404074064.64230698</v>
          </cell>
        </row>
        <row r="1624">
          <cell r="R1624" t="str">
            <v>368.NA1</v>
          </cell>
          <cell r="S1624">
            <v>404074064.64230698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236172187.63230699</v>
          </cell>
        </row>
        <row r="1628">
          <cell r="R1628" t="str">
            <v>369.NA1</v>
          </cell>
          <cell r="S1628">
            <v>236172187.63230699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59706363.708461501</v>
          </cell>
        </row>
        <row r="1632">
          <cell r="R1632" t="str">
            <v>370.NA1</v>
          </cell>
          <cell r="S1632">
            <v>59706363.708461501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2539919.81</v>
          </cell>
        </row>
        <row r="1636">
          <cell r="R1636" t="str">
            <v>371.NA1</v>
          </cell>
          <cell r="S1636">
            <v>2539919.81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22570478.454615299</v>
          </cell>
        </row>
        <row r="1644">
          <cell r="R1644" t="str">
            <v>373.NA3</v>
          </cell>
          <cell r="S1644">
            <v>22570478.454615299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4054671.07</v>
          </cell>
        </row>
        <row r="1648">
          <cell r="R1648" t="str">
            <v>DP.NA1</v>
          </cell>
          <cell r="S1648">
            <v>4054671.07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1823007262.3961504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1823007262.3961504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1823007262.3961504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4604375.78</v>
          </cell>
        </row>
        <row r="1663">
          <cell r="R1663" t="str">
            <v>389.CN</v>
          </cell>
          <cell r="S1663">
            <v>343002.15189515863</v>
          </cell>
        </row>
        <row r="1664">
          <cell r="R1664" t="str">
            <v>389.SG</v>
          </cell>
          <cell r="S1664">
            <v>83.743935504196969</v>
          </cell>
        </row>
        <row r="1665">
          <cell r="R1665" t="str">
            <v>389.SG1</v>
          </cell>
          <cell r="S1665">
            <v>309.33999767747048</v>
          </cell>
        </row>
        <row r="1666">
          <cell r="R1666" t="str">
            <v>389.SO</v>
          </cell>
          <cell r="S1666">
            <v>1537307.783212021</v>
          </cell>
        </row>
        <row r="1667">
          <cell r="R1667" t="str">
            <v>389.NA1</v>
          </cell>
          <cell r="S1667">
            <v>6485078.7990403613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34658232.715384603</v>
          </cell>
        </row>
        <row r="1671">
          <cell r="R1671" t="str">
            <v>390.SG</v>
          </cell>
          <cell r="S1671">
            <v>86340.072134968446</v>
          </cell>
        </row>
        <row r="1672">
          <cell r="R1672" t="str">
            <v>390.SG1</v>
          </cell>
          <cell r="S1672">
            <v>411497.05094286409</v>
          </cell>
        </row>
        <row r="1673">
          <cell r="R1673" t="str">
            <v>390.CN</v>
          </cell>
          <cell r="S1673">
            <v>3406570.7169336407</v>
          </cell>
        </row>
        <row r="1674">
          <cell r="R1674" t="str">
            <v>390.SG2</v>
          </cell>
          <cell r="S1674">
            <v>1333424.4134972175</v>
          </cell>
        </row>
        <row r="1675">
          <cell r="R1675" t="str">
            <v>390.SE</v>
          </cell>
          <cell r="S1675">
            <v>2188.4104053161914</v>
          </cell>
        </row>
        <row r="1676">
          <cell r="R1676" t="str">
            <v>390.SO</v>
          </cell>
          <cell r="S1676">
            <v>25121305.178820603</v>
          </cell>
        </row>
        <row r="1677">
          <cell r="R1677" t="str">
            <v>390.NA1</v>
          </cell>
          <cell r="S1677">
            <v>65019558.558119208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3342419.9276923002</v>
          </cell>
        </row>
        <row r="1681">
          <cell r="R1681" t="str">
            <v>391.SG</v>
          </cell>
          <cell r="S1681">
            <v>214.90863823506641</v>
          </cell>
        </row>
        <row r="1682">
          <cell r="R1682" t="str">
            <v>391.SG1</v>
          </cell>
          <cell r="S1682">
            <v>102.64300113120424</v>
          </cell>
        </row>
        <row r="1683">
          <cell r="R1683" t="str">
            <v>391.CN</v>
          </cell>
          <cell r="S1683">
            <v>2442324.3538861466</v>
          </cell>
        </row>
        <row r="1684">
          <cell r="R1684" t="str">
            <v>391.SG2</v>
          </cell>
          <cell r="S1684">
            <v>1211939.6487307977</v>
          </cell>
        </row>
        <row r="1685">
          <cell r="R1685" t="str">
            <v>391.SE</v>
          </cell>
          <cell r="S1685">
            <v>11851.986303314614</v>
          </cell>
        </row>
        <row r="1686">
          <cell r="R1686" t="str">
            <v>391.SO</v>
          </cell>
          <cell r="S1686">
            <v>16862473.010788392</v>
          </cell>
        </row>
        <row r="1687">
          <cell r="R1687" t="str">
            <v>391.SG3</v>
          </cell>
          <cell r="S1687">
            <v>22847.927071828348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23894174.406112146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22518265.379999999</v>
          </cell>
        </row>
        <row r="1693">
          <cell r="R1693" t="str">
            <v>392.SO</v>
          </cell>
          <cell r="S1693">
            <v>1886164.832863224</v>
          </cell>
        </row>
        <row r="1694">
          <cell r="R1694" t="str">
            <v>392.SG</v>
          </cell>
          <cell r="S1694">
            <v>4705540.1486280719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176416.29139652458</v>
          </cell>
        </row>
        <row r="1697">
          <cell r="R1697" t="str">
            <v>392.SE</v>
          </cell>
          <cell r="S1697">
            <v>105779.48750127357</v>
          </cell>
        </row>
        <row r="1698">
          <cell r="R1698" t="str">
            <v>392.SG2</v>
          </cell>
          <cell r="S1698">
            <v>29802.047970290809</v>
          </cell>
        </row>
        <row r="1699">
          <cell r="R1699" t="str">
            <v>392.SG3</v>
          </cell>
          <cell r="S1699">
            <v>86683.238777310093</v>
          </cell>
        </row>
        <row r="1700">
          <cell r="R1700" t="str">
            <v>392.SG4</v>
          </cell>
          <cell r="S1700">
            <v>11252.988014245639</v>
          </cell>
        </row>
        <row r="1701">
          <cell r="R1701" t="str">
            <v>392.NA1</v>
          </cell>
          <cell r="S1701">
            <v>29519904.41515094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3003128.5907692299</v>
          </cell>
        </row>
        <row r="1705">
          <cell r="R1705" t="str">
            <v>393.SG</v>
          </cell>
          <cell r="S1705">
            <v>13443.223324277113</v>
          </cell>
        </row>
        <row r="1706">
          <cell r="R1706" t="str">
            <v>393.SG1</v>
          </cell>
          <cell r="S1706">
            <v>29600.977698717317</v>
          </cell>
        </row>
        <row r="1707">
          <cell r="R1707" t="str">
            <v>393.SO</v>
          </cell>
          <cell r="S1707">
            <v>85205.412196245903</v>
          </cell>
        </row>
        <row r="1708">
          <cell r="R1708" t="str">
            <v>393.SG2</v>
          </cell>
          <cell r="S1708">
            <v>1295674.9350862179</v>
          </cell>
        </row>
        <row r="1709">
          <cell r="R1709" t="str">
            <v>393.SG3</v>
          </cell>
          <cell r="S1709">
            <v>13600.517105658684</v>
          </cell>
        </row>
        <row r="1710">
          <cell r="R1710" t="str">
            <v>393.NA1</v>
          </cell>
          <cell r="S1710">
            <v>4440653.6561803464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10665409.4215384</v>
          </cell>
        </row>
        <row r="1714">
          <cell r="R1714" t="str">
            <v>394.SG</v>
          </cell>
          <cell r="S1714">
            <v>68763.749583462661</v>
          </cell>
        </row>
        <row r="1715">
          <cell r="R1715" t="str">
            <v>394.SG1</v>
          </cell>
          <cell r="S1715">
            <v>5659612.7230593208</v>
          </cell>
        </row>
        <row r="1716">
          <cell r="R1716" t="str">
            <v>394.SO</v>
          </cell>
          <cell r="S1716">
            <v>1006966.0524795775</v>
          </cell>
        </row>
        <row r="1717">
          <cell r="R1717" t="str">
            <v>394.SE</v>
          </cell>
          <cell r="S1717">
            <v>1377.7664818746209</v>
          </cell>
        </row>
        <row r="1718">
          <cell r="R1718" t="str">
            <v>394.SG2</v>
          </cell>
          <cell r="S1718">
            <v>59726.290100315498</v>
          </cell>
        </row>
        <row r="1719">
          <cell r="R1719" t="str">
            <v>394.SG3</v>
          </cell>
          <cell r="S1719">
            <v>439728.68417965173</v>
          </cell>
        </row>
        <row r="1720">
          <cell r="R1720" t="str">
            <v>394.SG4</v>
          </cell>
          <cell r="S1720">
            <v>22657.981149748295</v>
          </cell>
        </row>
        <row r="1721">
          <cell r="R1721" t="str">
            <v>394.NA1</v>
          </cell>
          <cell r="S1721">
            <v>17924242.668572351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9106226.4146153796</v>
          </cell>
        </row>
        <row r="1725">
          <cell r="R1725" t="str">
            <v>395.SG</v>
          </cell>
          <cell r="S1725">
            <v>385.64243578325943</v>
          </cell>
        </row>
        <row r="1726">
          <cell r="R1726" t="str">
            <v>395.SG1</v>
          </cell>
          <cell r="S1726">
            <v>104.10788419249185</v>
          </cell>
        </row>
        <row r="1727">
          <cell r="R1727" t="str">
            <v>395.SO</v>
          </cell>
          <cell r="S1727">
            <v>1379570.0329060617</v>
          </cell>
        </row>
        <row r="1728">
          <cell r="R1728" t="str">
            <v>395.SE</v>
          </cell>
          <cell r="S1728">
            <v>0</v>
          </cell>
        </row>
        <row r="1729">
          <cell r="R1729" t="str">
            <v>395.SG2</v>
          </cell>
          <cell r="S1729">
            <v>1623234.508399212</v>
          </cell>
        </row>
        <row r="1730">
          <cell r="R1730" t="str">
            <v>395.SG3</v>
          </cell>
          <cell r="S1730">
            <v>66933.847205207654</v>
          </cell>
        </row>
        <row r="1731">
          <cell r="R1731" t="str">
            <v>395.SG4</v>
          </cell>
          <cell r="S1731">
            <v>3533.3907953522294</v>
          </cell>
        </row>
        <row r="1732">
          <cell r="R1732" t="str">
            <v>395.NA1</v>
          </cell>
          <cell r="S1732">
            <v>12179987.944241188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32846792.2330769</v>
          </cell>
        </row>
        <row r="1736">
          <cell r="R1736" t="str">
            <v>396.SG</v>
          </cell>
          <cell r="S1736">
            <v>238784.25530760732</v>
          </cell>
        </row>
        <row r="1737">
          <cell r="R1737" t="str">
            <v>396.SG1</v>
          </cell>
          <cell r="S1737">
            <v>9590929.7486481797</v>
          </cell>
        </row>
        <row r="1738">
          <cell r="R1738" t="str">
            <v>396.SO</v>
          </cell>
          <cell r="S1738">
            <v>343847.75061549549</v>
          </cell>
        </row>
        <row r="1739">
          <cell r="R1739" t="str">
            <v>396.SG2</v>
          </cell>
          <cell r="S1739">
            <v>348612.33765893587</v>
          </cell>
        </row>
        <row r="1740">
          <cell r="R1740" t="str">
            <v>396.SE</v>
          </cell>
          <cell r="S1740">
            <v>11045.418974911863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251956.85229314372</v>
          </cell>
        </row>
        <row r="1743">
          <cell r="R1743" t="str">
            <v>396.NA1</v>
          </cell>
          <cell r="S1743">
            <v>43631968.596575171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52621089.066153824</v>
          </cell>
        </row>
        <row r="1746">
          <cell r="R1746" t="str">
            <v>397.SG</v>
          </cell>
          <cell r="S1746">
            <v>322952.3633357588</v>
          </cell>
        </row>
        <row r="1747">
          <cell r="R1747" t="str">
            <v>397.SG1</v>
          </cell>
          <cell r="S1747">
            <v>389101.88284066337</v>
          </cell>
        </row>
        <row r="1748">
          <cell r="R1748" t="str">
            <v>397.SO</v>
          </cell>
          <cell r="S1748">
            <v>21103926.286774788</v>
          </cell>
        </row>
        <row r="1749">
          <cell r="R1749" t="str">
            <v>397.CN</v>
          </cell>
          <cell r="S1749">
            <v>880852.90112415957</v>
          </cell>
        </row>
        <row r="1750">
          <cell r="R1750" t="str">
            <v>397.SG2</v>
          </cell>
          <cell r="S1750">
            <v>33684367.473071285</v>
          </cell>
        </row>
        <row r="1751">
          <cell r="R1751" t="str">
            <v>397.SE</v>
          </cell>
          <cell r="S1751">
            <v>69484.326024247566</v>
          </cell>
        </row>
        <row r="1752">
          <cell r="R1752" t="str">
            <v>397.SG3</v>
          </cell>
          <cell r="S1752">
            <v>219878.73291337898</v>
          </cell>
        </row>
        <row r="1753">
          <cell r="R1753" t="str">
            <v>397.SG4</v>
          </cell>
          <cell r="S1753">
            <v>4391.806453931059</v>
          </cell>
        </row>
        <row r="1754">
          <cell r="R1754" t="str">
            <v>397.NA1</v>
          </cell>
          <cell r="S1754">
            <v>109296044.83869204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1084836.2407692301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65799.067607635705</v>
          </cell>
        </row>
        <row r="1761">
          <cell r="R1761" t="str">
            <v>398.SO</v>
          </cell>
          <cell r="S1761">
            <v>769481.69400587061</v>
          </cell>
        </row>
        <row r="1762">
          <cell r="R1762" t="str">
            <v>398.SE</v>
          </cell>
          <cell r="S1762">
            <v>409.06987821856961</v>
          </cell>
        </row>
        <row r="1763">
          <cell r="R1763" t="str">
            <v>398.SG2</v>
          </cell>
          <cell r="S1763">
            <v>559041.23206599837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2479567.3043269529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118785849.58393207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118785849.58393207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3011022.0807692301</v>
          </cell>
        </row>
        <row r="1781">
          <cell r="R1781" t="str">
            <v>1011390.SG</v>
          </cell>
          <cell r="S1781">
            <v>6863141.3776799161</v>
          </cell>
        </row>
        <row r="1782">
          <cell r="R1782" t="str">
            <v>1011390.SO</v>
          </cell>
          <cell r="S1782">
            <v>1093126.1095787156</v>
          </cell>
        </row>
        <row r="1783">
          <cell r="R1783" t="str">
            <v>1011390.NA1</v>
          </cell>
          <cell r="S1783">
            <v>10967289.568027861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-10967289.568027861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1303289.9353200975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0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1303289.9353200975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434960320.70626295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177461797.85076913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69846613.103012577</v>
          </cell>
        </row>
        <row r="1819">
          <cell r="R1819" t="str">
            <v>Summary of General Plant by Factor.NA5</v>
          </cell>
          <cell r="S1819">
            <v>72492664.079561099</v>
          </cell>
        </row>
        <row r="1820">
          <cell r="R1820" t="str">
            <v>Summary of General Plant by Factor.NA6</v>
          </cell>
          <cell r="S1820">
            <v>118987986.04950123</v>
          </cell>
        </row>
        <row r="1821">
          <cell r="R1821" t="str">
            <v>Summary of General Plant by Factor.NA7</v>
          </cell>
          <cell r="S1821">
            <v>7138549.1914467411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-10967289.568027861</v>
          </cell>
        </row>
        <row r="1826">
          <cell r="R1826" t="str">
            <v>Total General Plant by Factor.NA</v>
          </cell>
          <cell r="S1826">
            <v>434960320.70626295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2644611.6264771679</v>
          </cell>
        </row>
        <row r="1835">
          <cell r="R1835" t="str">
            <v>302.SG1</v>
          </cell>
          <cell r="S1835">
            <v>43752432.373131096</v>
          </cell>
        </row>
        <row r="1836">
          <cell r="R1836" t="str">
            <v>302.SG2</v>
          </cell>
          <cell r="S1836">
            <v>2315699.9850953799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151448.97453560011</v>
          </cell>
        </row>
        <row r="1839">
          <cell r="R1839" t="str">
            <v>302.NA1</v>
          </cell>
          <cell r="S1839">
            <v>48864192.959239244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4288236.0830769204</v>
          </cell>
        </row>
        <row r="1843">
          <cell r="R1843" t="str">
            <v>303.SG</v>
          </cell>
          <cell r="S1843">
            <v>37267384.849856794</v>
          </cell>
        </row>
        <row r="1844">
          <cell r="R1844" t="str">
            <v>303.SO</v>
          </cell>
          <cell r="S1844">
            <v>97442439.718028203</v>
          </cell>
        </row>
        <row r="1845">
          <cell r="R1845" t="str">
            <v>303.SE</v>
          </cell>
          <cell r="S1845">
            <v>902429.95979400212</v>
          </cell>
        </row>
        <row r="1846">
          <cell r="R1846" t="str">
            <v>303.CN</v>
          </cell>
          <cell r="S1846">
            <v>37562527.798023775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177463018.40877974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177463018.40877974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-51829.63892380779</v>
          </cell>
        </row>
        <row r="1858">
          <cell r="R1858" t="str">
            <v>IP.NA1</v>
          </cell>
          <cell r="S1858">
            <v>-51829.63892380779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226275381.72909519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4288236.0830769204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86131577.809096038</v>
          </cell>
        </row>
        <row r="1867">
          <cell r="R1867" t="str">
            <v>Summary of Intangible Plant by Factor.NA5</v>
          </cell>
          <cell r="S1867">
            <v>97390610.079104394</v>
          </cell>
        </row>
        <row r="1868">
          <cell r="R1868" t="str">
            <v>Summary of Intangible Plant by Factor.NA6</v>
          </cell>
          <cell r="S1868">
            <v>37562527.798023775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902429.95979400212</v>
          </cell>
        </row>
        <row r="1872">
          <cell r="R1872" t="str">
            <v>Total Intangible Plant by Factor.NA</v>
          </cell>
          <cell r="S1872">
            <v>226275381.72909513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4054671.07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1303289.9353200975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7148.0328794857205</v>
          </cell>
        </row>
        <row r="1880">
          <cell r="R1880" t="str">
            <v>Summary of Unclassified Plant (Account 106).NA7</v>
          </cell>
          <cell r="S1880">
            <v>32447926.742907908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-51829.63892380779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99204.80757500531</v>
          </cell>
        </row>
        <row r="1885">
          <cell r="R1885" t="str">
            <v>Total Unclassified Plant by Factor.NA</v>
          </cell>
          <cell r="S1885">
            <v>37860410.949758686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6641603591.3802509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2004832282.1999967</v>
          </cell>
        </row>
        <row r="1890">
          <cell r="R1890" t="str">
            <v>Summary of Electric Plant by Factor.NA2</v>
          </cell>
          <cell r="S1890">
            <v>119890416.00929523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4313263831.5908499</v>
          </cell>
        </row>
        <row r="1894">
          <cell r="R1894" t="str">
            <v>Summary of Electric Plant by Factor.NA6</v>
          </cell>
          <cell r="S1894">
            <v>169883274.15866551</v>
          </cell>
        </row>
        <row r="1895">
          <cell r="R1895" t="str">
            <v>Summary of Electric Plant by Factor.NA7</v>
          </cell>
          <cell r="S1895">
            <v>44701076.989470519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-10967289.568027861</v>
          </cell>
        </row>
        <row r="1900">
          <cell r="R1900" t="str">
            <v>Summary of Electric Plant by Factor.NA12</v>
          </cell>
          <cell r="S1900">
            <v>6641603591.3802509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0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-2248653.0712875002</v>
          </cell>
        </row>
        <row r="1905">
          <cell r="R1905" t="str">
            <v>105.SG2</v>
          </cell>
          <cell r="S1905">
            <v>2248653.0712874983</v>
          </cell>
        </row>
        <row r="1906">
          <cell r="R1906" t="str">
            <v>105.SE</v>
          </cell>
          <cell r="S1906">
            <v>-2.0489096641540527E-8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-2.2351741790771484E-8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0</v>
          </cell>
        </row>
        <row r="1914">
          <cell r="R1914" t="str">
            <v>114.SG</v>
          </cell>
          <cell r="S1914">
            <v>32689216.308801338</v>
          </cell>
        </row>
        <row r="1915">
          <cell r="R1915" t="str">
            <v>114.SG1</v>
          </cell>
          <cell r="S1915">
            <v>3669268.2236434519</v>
          </cell>
        </row>
        <row r="1916">
          <cell r="R1916" t="str">
            <v>Total Electric Plant Acquisition Adjustment.NA</v>
          </cell>
          <cell r="S1916">
            <v>36358484.53244479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0</v>
          </cell>
        </row>
        <row r="1920">
          <cell r="R1920" t="str">
            <v>115.SG</v>
          </cell>
          <cell r="S1920">
            <v>-22947763.868763603</v>
          </cell>
        </row>
        <row r="1921">
          <cell r="R1921" t="str">
            <v>115.SG1</v>
          </cell>
          <cell r="S1921">
            <v>-3644364.752190026</v>
          </cell>
        </row>
        <row r="1922">
          <cell r="R1922" t="str">
            <v>115.NA1</v>
          </cell>
          <cell r="S1922">
            <v>-26592128.620953631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120.NA</v>
          </cell>
          <cell r="S1924">
            <v>0</v>
          </cell>
        </row>
        <row r="1925">
          <cell r="R1925" t="str">
            <v>120.SE</v>
          </cell>
          <cell r="S1925">
            <v>0</v>
          </cell>
        </row>
        <row r="1926">
          <cell r="R1926" t="str">
            <v>Total Nuclear Fuel.NA</v>
          </cell>
          <cell r="S1926">
            <v>0</v>
          </cell>
        </row>
        <row r="1927">
          <cell r="R1927" t="str">
            <v>Total Nuclear Fuel.NA1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0.17</v>
          </cell>
        </row>
        <row r="1930">
          <cell r="R1930" t="str">
            <v>124.SO</v>
          </cell>
          <cell r="S1930">
            <v>-1190.689604437393</v>
          </cell>
        </row>
        <row r="1931">
          <cell r="R1931" t="str">
            <v>124.NA1</v>
          </cell>
          <cell r="S1931">
            <v>-1190.5196044373929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0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0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-1190.5196044373929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54434518.93887718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3241942.1385199944</v>
          </cell>
        </row>
        <row r="1955">
          <cell r="R1955" t="str">
            <v>Total Fuel Stock.NA</v>
          </cell>
          <cell r="S1955">
            <v>57676461.077397175</v>
          </cell>
        </row>
        <row r="1956">
          <cell r="R1956" t="str">
            <v>Total Fuel Stock.NA1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-901752.78482986416</v>
          </cell>
        </row>
        <row r="1963">
          <cell r="R1963" t="str">
            <v>25316.NA1</v>
          </cell>
          <cell r="S1963">
            <v>-901752.78482986416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-698019.99494523974</v>
          </cell>
        </row>
        <row r="1967">
          <cell r="R1967" t="str">
            <v>25317.NA1</v>
          </cell>
          <cell r="S1967">
            <v>-698019.99494523974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25319.NA3</v>
          </cell>
          <cell r="S1973">
            <v>56076688.29762207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29039315.9207692</v>
          </cell>
        </row>
        <row r="1976">
          <cell r="R1976" t="str">
            <v>154.SG</v>
          </cell>
          <cell r="S1976">
            <v>1338434.8243471396</v>
          </cell>
        </row>
        <row r="1977">
          <cell r="R1977" t="str">
            <v>154.SE</v>
          </cell>
          <cell r="S1977">
            <v>1730795.9205462572</v>
          </cell>
        </row>
        <row r="1978">
          <cell r="R1978" t="str">
            <v>154.SO</v>
          </cell>
          <cell r="S1978">
            <v>24823.156752725114</v>
          </cell>
        </row>
        <row r="1979">
          <cell r="R1979" t="str">
            <v>154.SG1</v>
          </cell>
          <cell r="S1979">
            <v>25383441.229337148</v>
          </cell>
        </row>
        <row r="1980">
          <cell r="R1980" t="str">
            <v>154.SG2</v>
          </cell>
          <cell r="S1980">
            <v>1204.8346243295055</v>
          </cell>
        </row>
        <row r="1981">
          <cell r="R1981" t="str">
            <v>154.SNPD</v>
          </cell>
          <cell r="S1981">
            <v>-523912.64519160119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2105613.5674379994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Total Materials and Supplies.NA</v>
          </cell>
          <cell r="S1988">
            <v>59099716.808623187</v>
          </cell>
        </row>
        <row r="1989">
          <cell r="R1989" t="str">
            <v>Total Materials and Supplies.NA1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-68795.42125856335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-68795.42125856335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25318.NA4</v>
          </cell>
          <cell r="S2000">
            <v>59030921.387364626</v>
          </cell>
        </row>
        <row r="2001">
          <cell r="R2001" t="str">
            <v>25318.NA5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1685868.21</v>
          </cell>
        </row>
        <row r="2004">
          <cell r="R2004" t="str">
            <v>165.GPS</v>
          </cell>
          <cell r="S2004">
            <v>1402351.2342352241</v>
          </cell>
        </row>
        <row r="2005">
          <cell r="R2005" t="str">
            <v>165.SG</v>
          </cell>
          <cell r="S2005">
            <v>780744.36585622129</v>
          </cell>
        </row>
        <row r="2006">
          <cell r="R2006" t="str">
            <v>165.SE</v>
          </cell>
          <cell r="S2006">
            <v>855545.70723223244</v>
          </cell>
        </row>
        <row r="2007">
          <cell r="R2007" t="str">
            <v>165.SO</v>
          </cell>
          <cell r="S2007">
            <v>4272474.2017655261</v>
          </cell>
        </row>
        <row r="2008">
          <cell r="R2008" t="str">
            <v>Total Prepayments.NA</v>
          </cell>
          <cell r="S2008">
            <v>8996983.7190892044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-219736.92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1159595.3841091383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0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3455691.5562046883</v>
          </cell>
        </row>
        <row r="2018">
          <cell r="R2018" t="str">
            <v>182M.NA1</v>
          </cell>
          <cell r="S2018">
            <v>4395550.0203138264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18187352.420902327</v>
          </cell>
        </row>
        <row r="2025">
          <cell r="R2025" t="str">
            <v>186M.SO</v>
          </cell>
          <cell r="S2025">
            <v>36691.639063331975</v>
          </cell>
        </row>
        <row r="2026">
          <cell r="R2026" t="str">
            <v>186M.SE</v>
          </cell>
          <cell r="S2026">
            <v>3693799.5516631217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21917843.611628782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19090694.565971974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19090694.565971974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6936337.6254760986</v>
          </cell>
        </row>
        <row r="2043">
          <cell r="R2043" t="str">
            <v>232.S</v>
          </cell>
          <cell r="S2043">
            <v>-53033</v>
          </cell>
        </row>
        <row r="2044">
          <cell r="R2044" t="str">
            <v>232.SO</v>
          </cell>
          <cell r="S2044">
            <v>-1772029.1524099268</v>
          </cell>
        </row>
        <row r="2045">
          <cell r="R2045" t="str">
            <v>232.SE</v>
          </cell>
          <cell r="S2045">
            <v>-577487.18317484902</v>
          </cell>
        </row>
        <row r="2046">
          <cell r="R2046" t="str">
            <v>232.SG</v>
          </cell>
          <cell r="S2046">
            <v>-19446.970402374103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-1485276.5618958594</v>
          </cell>
        </row>
        <row r="2049">
          <cell r="R2049" t="str">
            <v>230.SE</v>
          </cell>
          <cell r="S2049">
            <v>-1542368.1979152227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-248597.83737034918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1238098.7223075179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20328793.288279492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180511945.71618471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0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0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-13126250.942736294</v>
          </cell>
        </row>
        <row r="2086">
          <cell r="R2086" t="str">
            <v>2283.SO</v>
          </cell>
          <cell r="S2086">
            <v>-883357.73600199388</v>
          </cell>
        </row>
        <row r="2087">
          <cell r="R2087" t="str">
            <v>2283.S</v>
          </cell>
          <cell r="S2087">
            <v>0</v>
          </cell>
        </row>
        <row r="2088">
          <cell r="R2088" t="str">
            <v>254.SE</v>
          </cell>
          <cell r="S2088">
            <v>0</v>
          </cell>
        </row>
        <row r="2089">
          <cell r="R2089" t="str">
            <v>254.SO</v>
          </cell>
          <cell r="S2089">
            <v>0</v>
          </cell>
        </row>
        <row r="2090">
          <cell r="R2090" t="str">
            <v>254.NA</v>
          </cell>
          <cell r="S2090">
            <v>-14009608.678738289</v>
          </cell>
        </row>
        <row r="2091">
          <cell r="R2091" t="str">
            <v>254.NA1</v>
          </cell>
          <cell r="S2091">
            <v>0</v>
          </cell>
        </row>
        <row r="2092">
          <cell r="R2092" t="str">
            <v>22841.NA</v>
          </cell>
          <cell r="S2092">
            <v>0</v>
          </cell>
        </row>
        <row r="2093">
          <cell r="R2093" t="str">
            <v>22841.S</v>
          </cell>
          <cell r="S2093">
            <v>0</v>
          </cell>
        </row>
        <row r="2094">
          <cell r="R2094" t="str">
            <v>22841.SG</v>
          </cell>
          <cell r="S2094">
            <v>-370552.63582465146</v>
          </cell>
        </row>
        <row r="2095">
          <cell r="R2095" t="str">
            <v>22841.NA1</v>
          </cell>
          <cell r="S2095">
            <v>-370552.63582465146</v>
          </cell>
        </row>
        <row r="2096">
          <cell r="R2096" t="str">
            <v>22841.NA2</v>
          </cell>
          <cell r="S2096">
            <v>0</v>
          </cell>
        </row>
        <row r="2097">
          <cell r="R2097" t="str">
            <v>254105.S</v>
          </cell>
          <cell r="S2097">
            <v>0</v>
          </cell>
        </row>
        <row r="2098">
          <cell r="R2098" t="str">
            <v>230.TROJD</v>
          </cell>
          <cell r="S2098">
            <v>-465410.01408088143</v>
          </cell>
        </row>
        <row r="2099">
          <cell r="R2099" t="str">
            <v>254105.TROJD</v>
          </cell>
          <cell r="S2099">
            <v>-807662.53491455596</v>
          </cell>
        </row>
        <row r="2100">
          <cell r="R2100" t="str">
            <v>254.S</v>
          </cell>
          <cell r="S2100">
            <v>1805489.4815384599</v>
          </cell>
        </row>
        <row r="2101">
          <cell r="R2101" t="str">
            <v>254.NA2</v>
          </cell>
          <cell r="S2101">
            <v>532416.93254302256</v>
          </cell>
        </row>
        <row r="2102">
          <cell r="R2102" t="str">
            <v>254.NA3</v>
          </cell>
          <cell r="S2102">
            <v>0</v>
          </cell>
        </row>
        <row r="2103">
          <cell r="R2103" t="str">
            <v>252.NA</v>
          </cell>
          <cell r="S2103">
            <v>0</v>
          </cell>
        </row>
        <row r="2104">
          <cell r="R2104" t="str">
            <v>252.S</v>
          </cell>
          <cell r="S2104">
            <v>-618259.76692307694</v>
          </cell>
        </row>
        <row r="2105">
          <cell r="R2105" t="str">
            <v>252.SE</v>
          </cell>
          <cell r="S2105">
            <v>0</v>
          </cell>
        </row>
        <row r="2106">
          <cell r="R2106" t="str">
            <v>252.SG</v>
          </cell>
          <cell r="S2106">
            <v>-3858884.605769583</v>
          </cell>
        </row>
        <row r="2107">
          <cell r="R2107" t="str">
            <v>252.SO</v>
          </cell>
          <cell r="S2107">
            <v>0</v>
          </cell>
        </row>
        <row r="2108">
          <cell r="R2108" t="str">
            <v>252.CN</v>
          </cell>
          <cell r="S2108">
            <v>2.9026617139454505E-9</v>
          </cell>
        </row>
        <row r="2109">
          <cell r="R2109" t="str">
            <v>Total Customer Advances for Construction.NA</v>
          </cell>
          <cell r="S2109">
            <v>-4477144.3726926567</v>
          </cell>
        </row>
        <row r="2110">
          <cell r="R2110" t="str">
            <v>Total Customer Advances for Construction.NA1</v>
          </cell>
          <cell r="S2110">
            <v>0</v>
          </cell>
        </row>
        <row r="2111">
          <cell r="R2111" t="str">
            <v>25398.NA</v>
          </cell>
          <cell r="S2111">
            <v>0</v>
          </cell>
        </row>
        <row r="2112">
          <cell r="R2112" t="str">
            <v>25398.SE</v>
          </cell>
          <cell r="S2112">
            <v>-37991.941030080605</v>
          </cell>
        </row>
        <row r="2113">
          <cell r="R2113" t="str">
            <v>25398.NA1</v>
          </cell>
          <cell r="S2113">
            <v>-37991.941030080605</v>
          </cell>
        </row>
        <row r="2114">
          <cell r="R2114" t="str">
            <v>25398.NA2</v>
          </cell>
          <cell r="S2114">
            <v>0</v>
          </cell>
        </row>
        <row r="2115">
          <cell r="R2115" t="str">
            <v>25399.NA</v>
          </cell>
          <cell r="S2115">
            <v>0</v>
          </cell>
        </row>
        <row r="2116">
          <cell r="R2116" t="str">
            <v>25399.S</v>
          </cell>
          <cell r="S2116">
            <v>-1071980.9784615301</v>
          </cell>
        </row>
        <row r="2117">
          <cell r="R2117" t="str">
            <v>25399.SO</v>
          </cell>
          <cell r="S2117">
            <v>-5827334.7211826416</v>
          </cell>
        </row>
        <row r="2118">
          <cell r="R2118" t="str">
            <v>25399.SG</v>
          </cell>
          <cell r="S2118">
            <v>-971938.71528618899</v>
          </cell>
        </row>
        <row r="2119">
          <cell r="R2119" t="str">
            <v>25399.SE</v>
          </cell>
          <cell r="S2119">
            <v>0</v>
          </cell>
        </row>
        <row r="2120">
          <cell r="R2120" t="str">
            <v>25399.NA1</v>
          </cell>
          <cell r="S2120">
            <v>-7871254.4149303604</v>
          </cell>
        </row>
        <row r="2121">
          <cell r="R2121" t="str">
            <v>25399.NA2</v>
          </cell>
          <cell r="S2121">
            <v>0</v>
          </cell>
        </row>
        <row r="2122">
          <cell r="R2122" t="str">
            <v>190.NA</v>
          </cell>
          <cell r="S2122">
            <v>0</v>
          </cell>
        </row>
        <row r="2123">
          <cell r="R2123" t="str">
            <v>190.S</v>
          </cell>
          <cell r="S2123">
            <v>2531327.1799999932</v>
          </cell>
        </row>
        <row r="2124">
          <cell r="R2124" t="str">
            <v>190.CN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190.SO</v>
          </cell>
          <cell r="S2126">
            <v>19767384.50246802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190.BADDEBT</v>
          </cell>
          <cell r="S2128">
            <v>1724033.5857309927</v>
          </cell>
        </row>
        <row r="2129">
          <cell r="R2129" t="str">
            <v>190.TROJD</v>
          </cell>
          <cell r="S2129">
            <v>-4.2442676494829357E-3</v>
          </cell>
        </row>
        <row r="2130">
          <cell r="R2130" t="str">
            <v>190.SG</v>
          </cell>
          <cell r="S2130">
            <v>1615997.6869743504</v>
          </cell>
        </row>
        <row r="2131">
          <cell r="R2131" t="str">
            <v>190.SE</v>
          </cell>
          <cell r="S2131">
            <v>-2975735.0357231637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0</v>
          </cell>
        </row>
        <row r="2134">
          <cell r="R2134" t="str">
            <v>190.SG1</v>
          </cell>
          <cell r="S2134">
            <v>0</v>
          </cell>
        </row>
        <row r="2135">
          <cell r="R2135" t="str">
            <v>Total Accum Deferred Income Taxes.NA</v>
          </cell>
          <cell r="S2135">
            <v>22663007.915205922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1.8221564590930939E-2</v>
          </cell>
        </row>
        <row r="2140">
          <cell r="R2140" t="str">
            <v>281.SNPT</v>
          </cell>
          <cell r="S2140">
            <v>0</v>
          </cell>
        </row>
        <row r="2141">
          <cell r="R2141" t="str">
            <v>281.NA1</v>
          </cell>
          <cell r="S2141">
            <v>1.8221564590930939E-2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-1012561841.1374496</v>
          </cell>
        </row>
        <row r="2145">
          <cell r="R2145" t="str">
            <v>282.DITBAL</v>
          </cell>
          <cell r="S2145">
            <v>1.5134930610656738E-2</v>
          </cell>
        </row>
        <row r="2146">
          <cell r="R2146" t="str">
            <v>282.SNPD</v>
          </cell>
          <cell r="S2146">
            <v>81258.331128745063</v>
          </cell>
        </row>
        <row r="2147">
          <cell r="R2147" t="str">
            <v>282.CN</v>
          </cell>
          <cell r="S2147">
            <v>-8943.3894871191515</v>
          </cell>
        </row>
        <row r="2148">
          <cell r="R2148" t="str">
            <v>282.SG-U</v>
          </cell>
          <cell r="S2148">
            <v>-1567.9308097830813</v>
          </cell>
        </row>
        <row r="2149">
          <cell r="R2149" t="str">
            <v>282.SG-P</v>
          </cell>
          <cell r="S2149">
            <v>13735.648448866346</v>
          </cell>
        </row>
        <row r="2150">
          <cell r="R2150" t="str">
            <v>282.CIAC</v>
          </cell>
          <cell r="S2150">
            <v>21034.757610195222</v>
          </cell>
        </row>
        <row r="2151">
          <cell r="R2151" t="str">
            <v>282.SO</v>
          </cell>
          <cell r="S2151">
            <v>3664146.289658519</v>
          </cell>
        </row>
        <row r="2152">
          <cell r="R2152" t="str">
            <v>282.SNP</v>
          </cell>
          <cell r="S2152">
            <v>1023.3608740658664</v>
          </cell>
        </row>
        <row r="2153">
          <cell r="R2153" t="str">
            <v>282.SE</v>
          </cell>
          <cell r="S2153">
            <v>-1376803.4075230684</v>
          </cell>
        </row>
        <row r="2154">
          <cell r="R2154" t="str">
            <v>282.SG</v>
          </cell>
          <cell r="S2154">
            <v>-10444276.728651879</v>
          </cell>
        </row>
        <row r="2155">
          <cell r="R2155" t="str">
            <v>282.NA1</v>
          </cell>
          <cell r="S2155">
            <v>-1020612234.1910661</v>
          </cell>
        </row>
        <row r="2156">
          <cell r="R2156" t="str">
            <v>282.NA2</v>
          </cell>
          <cell r="S2156">
            <v>0</v>
          </cell>
        </row>
        <row r="2157">
          <cell r="R2157" t="str">
            <v>283.NA</v>
          </cell>
          <cell r="S2157">
            <v>0</v>
          </cell>
        </row>
        <row r="2158">
          <cell r="R2158" t="str">
            <v>283.S</v>
          </cell>
          <cell r="S2158">
            <v>-572583.72461539297</v>
          </cell>
        </row>
        <row r="2159">
          <cell r="R2159" t="str">
            <v>283.SG</v>
          </cell>
          <cell r="S2159">
            <v>-636833.49133097334</v>
          </cell>
        </row>
        <row r="2160">
          <cell r="R2160" t="str">
            <v>283.SE</v>
          </cell>
          <cell r="S2160">
            <v>-5246075.1741519663</v>
          </cell>
        </row>
        <row r="2161">
          <cell r="R2161" t="str">
            <v>283.SO</v>
          </cell>
          <cell r="S2161">
            <v>-3878851.5664217081</v>
          </cell>
        </row>
        <row r="2162">
          <cell r="R2162" t="str">
            <v>283.GPS</v>
          </cell>
          <cell r="S2162">
            <v>-2060583.610205092</v>
          </cell>
        </row>
        <row r="2163">
          <cell r="R2163" t="str">
            <v>283.SNP</v>
          </cell>
          <cell r="S2163">
            <v>-860577.31740690535</v>
          </cell>
        </row>
        <row r="2164">
          <cell r="R2164" t="str">
            <v>283.TROJD</v>
          </cell>
          <cell r="S2164">
            <v>0</v>
          </cell>
        </row>
        <row r="2165">
          <cell r="R2165" t="str">
            <v>283.SG1</v>
          </cell>
          <cell r="S2165">
            <v>0</v>
          </cell>
        </row>
        <row r="2166">
          <cell r="R2166" t="str">
            <v>283.SGCT</v>
          </cell>
          <cell r="S2166">
            <v>-446295.63345039776</v>
          </cell>
        </row>
        <row r="2167">
          <cell r="R2167" t="str">
            <v>283.SG2</v>
          </cell>
          <cell r="S2167">
            <v>0</v>
          </cell>
        </row>
        <row r="2168">
          <cell r="R2168" t="str">
            <v>283.NA1</v>
          </cell>
          <cell r="S2168">
            <v>-13701800.517582435</v>
          </cell>
        </row>
        <row r="2169">
          <cell r="R2169" t="str">
            <v>283.NA2</v>
          </cell>
          <cell r="S2169">
            <v>0</v>
          </cell>
        </row>
        <row r="2170">
          <cell r="R2170" t="str">
            <v>Total Accum Deferred Income Tax.NA</v>
          </cell>
          <cell r="S2170">
            <v>-1011651026.7752211</v>
          </cell>
        </row>
        <row r="2171">
          <cell r="R2171" t="str">
            <v>255.NA</v>
          </cell>
          <cell r="S2171">
            <v>0</v>
          </cell>
        </row>
        <row r="2172">
          <cell r="R2172" t="str">
            <v>255.S</v>
          </cell>
          <cell r="S2172">
            <v>0</v>
          </cell>
        </row>
        <row r="2173">
          <cell r="R2173" t="str">
            <v>255.ITC84</v>
          </cell>
          <cell r="S2173">
            <v>-0.16379076923076868</v>
          </cell>
        </row>
        <row r="2174">
          <cell r="R2174" t="str">
            <v>255.ITC85</v>
          </cell>
          <cell r="S2174">
            <v>-479139.91601538425</v>
          </cell>
        </row>
        <row r="2175">
          <cell r="R2175" t="str">
            <v>255.ITC86</v>
          </cell>
          <cell r="S2175">
            <v>-407549.40103384573</v>
          </cell>
        </row>
        <row r="2176">
          <cell r="R2176" t="str">
            <v>255.ITC88</v>
          </cell>
          <cell r="S2176">
            <v>-73597.472307691889</v>
          </cell>
        </row>
        <row r="2177">
          <cell r="R2177" t="str">
            <v>255.ITC89</v>
          </cell>
          <cell r="S2177">
            <v>-160046.26699030743</v>
          </cell>
        </row>
        <row r="2178">
          <cell r="R2178" t="str">
            <v>255.ITC90</v>
          </cell>
          <cell r="S2178">
            <v>-34556.373116307557</v>
          </cell>
        </row>
        <row r="2179">
          <cell r="R2179" t="str">
            <v>255.SG</v>
          </cell>
          <cell r="S2179">
            <v>-3256.8399864511084</v>
          </cell>
        </row>
        <row r="2180">
          <cell r="R2180" t="str">
            <v>Total Accumlated ITC.NA</v>
          </cell>
          <cell r="S2180">
            <v>-1158146.4332407573</v>
          </cell>
        </row>
        <row r="2181">
          <cell r="R2181" t="str">
            <v>Total Accumlated ITC.NA1</v>
          </cell>
          <cell r="S2181">
            <v>0</v>
          </cell>
        </row>
        <row r="2182">
          <cell r="R2182" t="str">
            <v>Total Rate Base Deductions.NA</v>
          </cell>
          <cell r="S2182">
            <v>-1039043308.3191348</v>
          </cell>
        </row>
        <row r="2183">
          <cell r="R2183" t="str">
            <v>Total Rate Base Deductions.NA1</v>
          </cell>
          <cell r="S2183">
            <v>0</v>
          </cell>
        </row>
        <row r="2184">
          <cell r="R2184" t="str">
            <v>Total Rate Base Deductions.NA2</v>
          </cell>
          <cell r="S2184">
            <v>0</v>
          </cell>
        </row>
        <row r="2185">
          <cell r="R2185" t="str">
            <v>Total Rate Base Deductions.NA3</v>
          </cell>
          <cell r="S2185">
            <v>0</v>
          </cell>
        </row>
        <row r="2186">
          <cell r="R2186" t="str">
            <v>108SP.NA</v>
          </cell>
          <cell r="S2186">
            <v>0</v>
          </cell>
        </row>
        <row r="2187">
          <cell r="R2187" t="str">
            <v>108SP.S</v>
          </cell>
          <cell r="S2187">
            <v>0</v>
          </cell>
        </row>
        <row r="2188">
          <cell r="R2188" t="str">
            <v>108SP.SG</v>
          </cell>
          <cell r="S2188">
            <v>-186433901.48011562</v>
          </cell>
        </row>
        <row r="2189">
          <cell r="R2189" t="str">
            <v>108SP.SG1</v>
          </cell>
          <cell r="S2189">
            <v>-205948977.37044761</v>
          </cell>
        </row>
        <row r="2190">
          <cell r="R2190" t="str">
            <v>108SP.SG2</v>
          </cell>
          <cell r="S2190">
            <v>-277149728.12503034</v>
          </cell>
        </row>
        <row r="2191">
          <cell r="R2191" t="str">
            <v>108SP.SG3</v>
          </cell>
          <cell r="S2191">
            <v>0</v>
          </cell>
        </row>
        <row r="2192">
          <cell r="R2192" t="str">
            <v>108SP.SG4</v>
          </cell>
          <cell r="S2192">
            <v>-44790855.021127187</v>
          </cell>
        </row>
        <row r="2193">
          <cell r="R2193" t="str">
            <v>108SP.NA1</v>
          </cell>
          <cell r="S2193">
            <v>-714323461.99672079</v>
          </cell>
        </row>
        <row r="2194">
          <cell r="R2194" t="str">
            <v>108SP.NA2</v>
          </cell>
          <cell r="S2194">
            <v>0</v>
          </cell>
        </row>
        <row r="2195">
          <cell r="R2195" t="str">
            <v>108NP.NA</v>
          </cell>
          <cell r="S2195">
            <v>0</v>
          </cell>
        </row>
        <row r="2196">
          <cell r="R2196" t="str">
            <v>108NP.SG</v>
          </cell>
          <cell r="S2196">
            <v>0</v>
          </cell>
        </row>
        <row r="2197">
          <cell r="R2197" t="str">
            <v>108NP.SG1</v>
          </cell>
          <cell r="S2197">
            <v>0</v>
          </cell>
        </row>
        <row r="2198">
          <cell r="R2198" t="str">
            <v>108NP.SG2</v>
          </cell>
          <cell r="S2198">
            <v>0</v>
          </cell>
        </row>
        <row r="2199">
          <cell r="R2199" t="str">
            <v>108NP.NA1</v>
          </cell>
          <cell r="S2199">
            <v>0</v>
          </cell>
        </row>
        <row r="2200">
          <cell r="R2200" t="str">
            <v>108NP.NA2</v>
          </cell>
          <cell r="S2200">
            <v>0</v>
          </cell>
        </row>
        <row r="2201">
          <cell r="R2201" t="str">
            <v>108NP.NA3</v>
          </cell>
          <cell r="S2201">
            <v>0</v>
          </cell>
        </row>
        <row r="2202">
          <cell r="R2202" t="str">
            <v>108HP.NA</v>
          </cell>
          <cell r="S2202">
            <v>0</v>
          </cell>
        </row>
        <row r="2203">
          <cell r="R2203" t="str">
            <v>108HP.S</v>
          </cell>
          <cell r="S2203">
            <v>0</v>
          </cell>
        </row>
        <row r="2204">
          <cell r="R2204" t="str">
            <v>108HP.SG</v>
          </cell>
          <cell r="S2204">
            <v>-39905297.8016157</v>
          </cell>
        </row>
        <row r="2205">
          <cell r="R2205" t="str">
            <v>108HP.SG1</v>
          </cell>
          <cell r="S2205">
            <v>-7361862.3482362181</v>
          </cell>
        </row>
        <row r="2206">
          <cell r="R2206" t="str">
            <v>108HP.SG2</v>
          </cell>
          <cell r="S2206">
            <v>-18799148.556209814</v>
          </cell>
        </row>
        <row r="2207">
          <cell r="R2207" t="str">
            <v>108HP.SG3</v>
          </cell>
          <cell r="S2207">
            <v>-6461332.4430808621</v>
          </cell>
        </row>
        <row r="2208">
          <cell r="R2208" t="str">
            <v>108HP.NA1</v>
          </cell>
          <cell r="S2208">
            <v>-72527641.149142593</v>
          </cell>
        </row>
        <row r="2209">
          <cell r="R2209" t="str">
            <v>108HP.NA2</v>
          </cell>
          <cell r="S2209">
            <v>0</v>
          </cell>
        </row>
        <row r="2210">
          <cell r="R2210" t="str">
            <v>108OP.NA</v>
          </cell>
          <cell r="S2210">
            <v>0</v>
          </cell>
        </row>
        <row r="2211">
          <cell r="R2211" t="str">
            <v>108OP.S</v>
          </cell>
          <cell r="S2211">
            <v>0</v>
          </cell>
        </row>
        <row r="2212">
          <cell r="R2212" t="str">
            <v>108OP.SG</v>
          </cell>
          <cell r="S2212">
            <v>-108698.14576153454</v>
          </cell>
        </row>
        <row r="2213">
          <cell r="R2213" t="str">
            <v>108OP.SG1</v>
          </cell>
          <cell r="S2213">
            <v>-91859396.711885735</v>
          </cell>
        </row>
        <row r="2214">
          <cell r="R2214" t="str">
            <v>108OP.SG2</v>
          </cell>
          <cell r="S2214">
            <v>-51513979.182877608</v>
          </cell>
        </row>
        <row r="2215">
          <cell r="R2215" t="str">
            <v>108OP.SG3</v>
          </cell>
          <cell r="S2215">
            <v>-6179512.2246758817</v>
          </cell>
        </row>
        <row r="2216">
          <cell r="R2216" t="str">
            <v>108OP.NA1</v>
          </cell>
          <cell r="S2216">
            <v>-149661586.26520076</v>
          </cell>
        </row>
        <row r="2217">
          <cell r="R2217" t="str">
            <v>108OP.NA2</v>
          </cell>
          <cell r="S2217">
            <v>0</v>
          </cell>
        </row>
        <row r="2218">
          <cell r="R2218" t="str">
            <v>108EP.NA</v>
          </cell>
          <cell r="S2218">
            <v>0</v>
          </cell>
        </row>
        <row r="2219">
          <cell r="R2219" t="str">
            <v>108EP.SG</v>
          </cell>
          <cell r="S2219">
            <v>0</v>
          </cell>
        </row>
        <row r="2220">
          <cell r="R2220" t="str">
            <v>108EP.SG1</v>
          </cell>
          <cell r="S2220">
            <v>0</v>
          </cell>
        </row>
        <row r="2221">
          <cell r="R2221" t="str">
            <v>108EP.NA1</v>
          </cell>
          <cell r="S2221">
            <v>0</v>
          </cell>
        </row>
        <row r="2222">
          <cell r="R2222" t="str">
            <v>108EP.NA2</v>
          </cell>
          <cell r="S2222">
            <v>0</v>
          </cell>
        </row>
        <row r="2223">
          <cell r="R2223" t="str">
            <v>Total Production Plant Accum Depreciation.NA</v>
          </cell>
          <cell r="S2223">
            <v>-936512689.41106415</v>
          </cell>
        </row>
        <row r="2224">
          <cell r="R2224" t="str">
            <v>Total Production Plant Accum Depreciation.NA1</v>
          </cell>
          <cell r="S2224">
            <v>0</v>
          </cell>
        </row>
        <row r="2225">
          <cell r="R2225" t="str">
            <v>Summary of Prod Plant Depreciation by Factor.NA</v>
          </cell>
          <cell r="S2225">
            <v>0</v>
          </cell>
        </row>
        <row r="2226">
          <cell r="R2226" t="str">
            <v>Summary of Prod Plant Depreciation by Factor.NA1</v>
          </cell>
          <cell r="S2226">
            <v>0</v>
          </cell>
        </row>
        <row r="2227">
          <cell r="R2227" t="str">
            <v>Summary of Prod Plant Depreciation by Factor.NA2</v>
          </cell>
          <cell r="S2227">
            <v>0</v>
          </cell>
        </row>
        <row r="2228">
          <cell r="R2228" t="str">
            <v>Summary of Prod Plant Depreciation by Factor.NA3</v>
          </cell>
          <cell r="S2228">
            <v>0</v>
          </cell>
        </row>
        <row r="2229">
          <cell r="R2229" t="str">
            <v>Summary of Prod Plant Depreciation by Factor.NA4</v>
          </cell>
          <cell r="S2229">
            <v>-936512689.41106415</v>
          </cell>
        </row>
        <row r="2230">
          <cell r="R2230" t="str">
            <v>Summary of Prod Plant Depreciation by Factor.NA5</v>
          </cell>
          <cell r="S2230">
            <v>0</v>
          </cell>
        </row>
        <row r="2231">
          <cell r="R2231" t="str">
            <v>Summary of Prod Plant Depreciation by Factor.NA6</v>
          </cell>
          <cell r="S2231">
            <v>0</v>
          </cell>
        </row>
        <row r="2232">
          <cell r="R2232" t="str">
            <v>Total of Prod Plant Depreciation by Factor.NA</v>
          </cell>
          <cell r="S2232">
            <v>-936512689.41106415</v>
          </cell>
        </row>
        <row r="2233">
          <cell r="R2233" t="str">
            <v>Total of Prod Plant Depreciation by Factor.NA1</v>
          </cell>
          <cell r="S2233">
            <v>0</v>
          </cell>
        </row>
        <row r="2234">
          <cell r="R2234" t="str">
            <v>Total of Prod Plant Depreciation by Factor.NA2</v>
          </cell>
          <cell r="S2234">
            <v>0</v>
          </cell>
        </row>
        <row r="2235">
          <cell r="R2235" t="str">
            <v>108TP.NA</v>
          </cell>
          <cell r="S2235">
            <v>0</v>
          </cell>
        </row>
        <row r="2236">
          <cell r="R2236" t="str">
            <v>108TP.SG</v>
          </cell>
          <cell r="S2236">
            <v>-95041292.129022285</v>
          </cell>
        </row>
        <row r="2237">
          <cell r="R2237" t="str">
            <v>108TP.SG1</v>
          </cell>
          <cell r="S2237">
            <v>-102434325.03189467</v>
          </cell>
        </row>
        <row r="2238">
          <cell r="R2238" t="str">
            <v>108TP.SG2</v>
          </cell>
          <cell r="S2238">
            <v>-135777468.02371573</v>
          </cell>
        </row>
        <row r="2239">
          <cell r="R2239" t="str">
            <v>Total Trans Plant Accum Depreciation.NA</v>
          </cell>
          <cell r="S2239">
            <v>-333253085.18463266</v>
          </cell>
        </row>
        <row r="2240">
          <cell r="R2240" t="str">
            <v>108360.NA</v>
          </cell>
          <cell r="S2240">
            <v>0</v>
          </cell>
        </row>
        <row r="2241">
          <cell r="R2241" t="str">
            <v>108360.S</v>
          </cell>
          <cell r="S2241">
            <v>-2535276.05230769</v>
          </cell>
        </row>
        <row r="2242">
          <cell r="R2242" t="str">
            <v>108360.NA1</v>
          </cell>
          <cell r="S2242">
            <v>-2535276.05230769</v>
          </cell>
        </row>
        <row r="2243">
          <cell r="R2243" t="str">
            <v>108360.NA2</v>
          </cell>
          <cell r="S2243">
            <v>0</v>
          </cell>
        </row>
        <row r="2244">
          <cell r="R2244" t="str">
            <v>108361.NA</v>
          </cell>
          <cell r="S2244">
            <v>0</v>
          </cell>
        </row>
        <row r="2245">
          <cell r="R2245" t="str">
            <v>108361.S</v>
          </cell>
          <cell r="S2245">
            <v>-4294373.245384614</v>
          </cell>
        </row>
        <row r="2246">
          <cell r="R2246" t="str">
            <v>108361.NA1</v>
          </cell>
          <cell r="S2246">
            <v>-4294373.245384614</v>
          </cell>
        </row>
        <row r="2247">
          <cell r="R2247" t="str">
            <v>108361.NA2</v>
          </cell>
          <cell r="S2247">
            <v>0</v>
          </cell>
        </row>
        <row r="2248">
          <cell r="R2248" t="str">
            <v>108362.NA</v>
          </cell>
          <cell r="S2248">
            <v>0</v>
          </cell>
        </row>
        <row r="2249">
          <cell r="R2249" t="str">
            <v>108362.S</v>
          </cell>
          <cell r="S2249">
            <v>-63459077.001538448</v>
          </cell>
        </row>
        <row r="2250">
          <cell r="R2250" t="str">
            <v>108362.NA1</v>
          </cell>
          <cell r="S2250">
            <v>-63459077.001538448</v>
          </cell>
        </row>
        <row r="2251">
          <cell r="R2251" t="str">
            <v>108362.NA2</v>
          </cell>
          <cell r="S2251">
            <v>0</v>
          </cell>
        </row>
        <row r="2252">
          <cell r="R2252" t="str">
            <v>108363.NA</v>
          </cell>
          <cell r="S2252">
            <v>0</v>
          </cell>
        </row>
        <row r="2253">
          <cell r="R2253" t="str">
            <v>108363.S</v>
          </cell>
          <cell r="S2253">
            <v>0</v>
          </cell>
        </row>
        <row r="2254">
          <cell r="R2254" t="str">
            <v>108363.NA1</v>
          </cell>
          <cell r="S2254">
            <v>0</v>
          </cell>
        </row>
        <row r="2255">
          <cell r="R2255" t="str">
            <v>108363.NA2</v>
          </cell>
          <cell r="S2255">
            <v>0</v>
          </cell>
        </row>
        <row r="2256">
          <cell r="R2256" t="str">
            <v>108364.NA</v>
          </cell>
          <cell r="S2256">
            <v>0</v>
          </cell>
        </row>
        <row r="2257">
          <cell r="R2257" t="str">
            <v>108364.S</v>
          </cell>
          <cell r="S2257">
            <v>-223751917.79044637</v>
          </cell>
        </row>
        <row r="2258">
          <cell r="R2258" t="str">
            <v>108364.NA1</v>
          </cell>
          <cell r="S2258">
            <v>-223751917.79044637</v>
          </cell>
        </row>
        <row r="2259">
          <cell r="R2259" t="str">
            <v>108364.NA2</v>
          </cell>
          <cell r="S2259">
            <v>0</v>
          </cell>
        </row>
        <row r="2260">
          <cell r="R2260" t="str">
            <v>108365.NA</v>
          </cell>
          <cell r="S2260">
            <v>0</v>
          </cell>
        </row>
        <row r="2261">
          <cell r="R2261" t="str">
            <v>108365.S</v>
          </cell>
          <cell r="S2261">
            <v>-136391453.54384577</v>
          </cell>
        </row>
        <row r="2262">
          <cell r="R2262" t="str">
            <v>108365.NA1</v>
          </cell>
          <cell r="S2262">
            <v>-136391453.54384577</v>
          </cell>
        </row>
        <row r="2263">
          <cell r="R2263" t="str">
            <v>108365.NA2</v>
          </cell>
          <cell r="S2263">
            <v>0</v>
          </cell>
        </row>
        <row r="2264">
          <cell r="R2264" t="str">
            <v>108366.NA</v>
          </cell>
          <cell r="S2264">
            <v>0</v>
          </cell>
        </row>
        <row r="2265">
          <cell r="R2265" t="str">
            <v>108366.S</v>
          </cell>
          <cell r="S2265">
            <v>-39753214.232307605</v>
          </cell>
        </row>
        <row r="2266">
          <cell r="R2266" t="str">
            <v>108366.NA1</v>
          </cell>
          <cell r="S2266">
            <v>-39753214.232307605</v>
          </cell>
        </row>
        <row r="2267">
          <cell r="R2267" t="str">
            <v>108366.NA2</v>
          </cell>
          <cell r="S2267">
            <v>0</v>
          </cell>
        </row>
        <row r="2268">
          <cell r="R2268" t="str">
            <v>108367.NA</v>
          </cell>
          <cell r="S2268">
            <v>0</v>
          </cell>
        </row>
        <row r="2269">
          <cell r="R2269" t="str">
            <v>108367.S</v>
          </cell>
          <cell r="S2269">
            <v>-66453301.690769188</v>
          </cell>
        </row>
        <row r="2270">
          <cell r="R2270" t="str">
            <v>108367.NA1</v>
          </cell>
          <cell r="S2270">
            <v>-66453301.690769188</v>
          </cell>
        </row>
        <row r="2271">
          <cell r="R2271" t="str">
            <v>108367.NA2</v>
          </cell>
          <cell r="S2271">
            <v>0</v>
          </cell>
        </row>
        <row r="2272">
          <cell r="R2272" t="str">
            <v>108368.NA</v>
          </cell>
          <cell r="S2272">
            <v>0</v>
          </cell>
        </row>
        <row r="2273">
          <cell r="R2273" t="str">
            <v>108368.S</v>
          </cell>
          <cell r="S2273">
            <v>-184963743.12461498</v>
          </cell>
        </row>
        <row r="2274">
          <cell r="R2274" t="str">
            <v>108368.NA1</v>
          </cell>
          <cell r="S2274">
            <v>-184963743.12461498</v>
          </cell>
        </row>
        <row r="2275">
          <cell r="R2275" t="str">
            <v>108368.NA2</v>
          </cell>
          <cell r="S2275">
            <v>0</v>
          </cell>
        </row>
        <row r="2276">
          <cell r="R2276" t="str">
            <v>108369.NA</v>
          </cell>
          <cell r="S2276">
            <v>0</v>
          </cell>
        </row>
        <row r="2277">
          <cell r="R2277" t="str">
            <v>108369.S</v>
          </cell>
          <cell r="S2277">
            <v>-78493785.475384533</v>
          </cell>
        </row>
        <row r="2278">
          <cell r="R2278" t="str">
            <v>108369.NA1</v>
          </cell>
          <cell r="S2278">
            <v>-78493785.475384533</v>
          </cell>
        </row>
        <row r="2279">
          <cell r="R2279" t="str">
            <v>108369.NA2</v>
          </cell>
          <cell r="S2279">
            <v>0</v>
          </cell>
        </row>
        <row r="2280">
          <cell r="R2280" t="str">
            <v>108370.NA</v>
          </cell>
          <cell r="S2280">
            <v>0</v>
          </cell>
        </row>
        <row r="2281">
          <cell r="R2281" t="str">
            <v>108370.S</v>
          </cell>
          <cell r="S2281">
            <v>-33904868.34461531</v>
          </cell>
        </row>
        <row r="2282">
          <cell r="R2282" t="str">
            <v>108370.NA1</v>
          </cell>
          <cell r="S2282">
            <v>-33904868.34461531</v>
          </cell>
        </row>
        <row r="2283">
          <cell r="R2283" t="str">
            <v>108370.NA2</v>
          </cell>
          <cell r="S2283">
            <v>0</v>
          </cell>
        </row>
        <row r="2284">
          <cell r="R2284" t="str">
            <v>108370.NA3</v>
          </cell>
          <cell r="S2284">
            <v>0</v>
          </cell>
        </row>
        <row r="2285">
          <cell r="R2285" t="str">
            <v>108370.NA4</v>
          </cell>
          <cell r="S2285">
            <v>0</v>
          </cell>
        </row>
        <row r="2286">
          <cell r="R2286" t="str">
            <v>108371.NA</v>
          </cell>
          <cell r="S2286">
            <v>0</v>
          </cell>
        </row>
        <row r="2287">
          <cell r="R2287" t="str">
            <v>108371.S</v>
          </cell>
          <cell r="S2287">
            <v>-2542932.0130769201</v>
          </cell>
        </row>
        <row r="2288">
          <cell r="R2288" t="str">
            <v>108371.NA1</v>
          </cell>
          <cell r="S2288">
            <v>-2542932.0130769201</v>
          </cell>
        </row>
        <row r="2289">
          <cell r="R2289" t="str">
            <v>108371.NA2</v>
          </cell>
          <cell r="S2289">
            <v>0</v>
          </cell>
        </row>
        <row r="2290">
          <cell r="R2290" t="str">
            <v>108372.NA</v>
          </cell>
          <cell r="S2290">
            <v>0</v>
          </cell>
        </row>
        <row r="2291">
          <cell r="R2291" t="str">
            <v>108372.S</v>
          </cell>
          <cell r="S2291">
            <v>0</v>
          </cell>
        </row>
        <row r="2292">
          <cell r="R2292" t="str">
            <v>108372.NA1</v>
          </cell>
          <cell r="S2292">
            <v>0</v>
          </cell>
        </row>
        <row r="2293">
          <cell r="R2293" t="str">
            <v>108372.NA2</v>
          </cell>
          <cell r="S2293">
            <v>0</v>
          </cell>
        </row>
        <row r="2294">
          <cell r="R2294" t="str">
            <v>108373.NA</v>
          </cell>
          <cell r="S2294">
            <v>0</v>
          </cell>
        </row>
        <row r="2295">
          <cell r="R2295" t="str">
            <v>108373.S</v>
          </cell>
          <cell r="S2295">
            <v>-9422433.0646153782</v>
          </cell>
        </row>
        <row r="2296">
          <cell r="R2296" t="str">
            <v>108373.NA1</v>
          </cell>
          <cell r="S2296">
            <v>-9422433.0646153782</v>
          </cell>
        </row>
        <row r="2297">
          <cell r="R2297" t="str">
            <v>108373.NA2</v>
          </cell>
          <cell r="S2297">
            <v>0</v>
          </cell>
        </row>
        <row r="2298">
          <cell r="R2298" t="str">
            <v>108D00.NA</v>
          </cell>
          <cell r="S2298">
            <v>0</v>
          </cell>
        </row>
        <row r="2299">
          <cell r="R2299" t="str">
            <v>108D00.S</v>
          </cell>
          <cell r="S2299">
            <v>0</v>
          </cell>
        </row>
        <row r="2300">
          <cell r="R2300" t="str">
            <v>108D00.NA1</v>
          </cell>
          <cell r="S2300">
            <v>0</v>
          </cell>
        </row>
        <row r="2301">
          <cell r="R2301" t="str">
            <v>108D00.NA2</v>
          </cell>
          <cell r="S2301">
            <v>0</v>
          </cell>
        </row>
        <row r="2302">
          <cell r="R2302" t="str">
            <v>108DS.NA</v>
          </cell>
          <cell r="S2302">
            <v>0</v>
          </cell>
        </row>
        <row r="2303">
          <cell r="R2303" t="str">
            <v>108DS.S</v>
          </cell>
          <cell r="S2303">
            <v>0</v>
          </cell>
        </row>
        <row r="2304">
          <cell r="R2304" t="str">
            <v>108DS.NA1</v>
          </cell>
          <cell r="S2304">
            <v>0</v>
          </cell>
        </row>
        <row r="2305">
          <cell r="R2305" t="str">
            <v>108DS.NA2</v>
          </cell>
          <cell r="S2305">
            <v>0</v>
          </cell>
        </row>
        <row r="2306">
          <cell r="R2306" t="str">
            <v>108DP.NA</v>
          </cell>
          <cell r="S2306">
            <v>0</v>
          </cell>
        </row>
        <row r="2307">
          <cell r="R2307" t="str">
            <v>108DP.S</v>
          </cell>
          <cell r="S2307">
            <v>973973.16538461496</v>
          </cell>
        </row>
        <row r="2308">
          <cell r="R2308" t="str">
            <v>108DP.NA1</v>
          </cell>
          <cell r="S2308">
            <v>973973.16538461496</v>
          </cell>
        </row>
        <row r="2309">
          <cell r="R2309" t="str">
            <v>108DP.NA2</v>
          </cell>
          <cell r="S2309">
            <v>0</v>
          </cell>
        </row>
        <row r="2310">
          <cell r="R2310" t="str">
            <v>108DP.NA3</v>
          </cell>
          <cell r="S2310">
            <v>0</v>
          </cell>
        </row>
        <row r="2311">
          <cell r="R2311" t="str">
            <v>Total Distribution Plant Accum Depreciation.NA</v>
          </cell>
          <cell r="S2311">
            <v>-844992402.41352224</v>
          </cell>
        </row>
        <row r="2312">
          <cell r="R2312" t="str">
            <v>Total Distribution Plant Accum Depreciation.NA1</v>
          </cell>
          <cell r="S2312">
            <v>0</v>
          </cell>
        </row>
        <row r="2313">
          <cell r="R2313" t="str">
            <v>Summary of Distribution Plant Depr by Factor.NA</v>
          </cell>
          <cell r="S2313">
            <v>0</v>
          </cell>
        </row>
        <row r="2314">
          <cell r="R2314" t="str">
            <v>Summary of Distribution Plant Depr by Factor.NA1</v>
          </cell>
          <cell r="S2314">
            <v>-844992402.41352224</v>
          </cell>
        </row>
        <row r="2315">
          <cell r="R2315" t="str">
            <v>Summary of Distribution Plant Depr by Factor.NA2</v>
          </cell>
          <cell r="S2315">
            <v>0</v>
          </cell>
        </row>
        <row r="2316">
          <cell r="R2316" t="str">
            <v>Total Distribution Depreciation by Factor.NA</v>
          </cell>
          <cell r="S2316">
            <v>-844992402.41352224</v>
          </cell>
        </row>
        <row r="2317">
          <cell r="R2317" t="str">
            <v>108GP.NA</v>
          </cell>
          <cell r="S2317">
            <v>0</v>
          </cell>
        </row>
        <row r="2318">
          <cell r="R2318" t="str">
            <v>108GP.S</v>
          </cell>
          <cell r="S2318">
            <v>-53382839.151016742</v>
          </cell>
        </row>
        <row r="2319">
          <cell r="R2319" t="str">
            <v>108GP.SG</v>
          </cell>
          <cell r="S2319">
            <v>-472501.49406302581</v>
          </cell>
        </row>
        <row r="2320">
          <cell r="R2320" t="str">
            <v>108GP.SG1</v>
          </cell>
          <cell r="S2320">
            <v>-850698.11301036761</v>
          </cell>
        </row>
        <row r="2321">
          <cell r="R2321" t="str">
            <v>108GP.SG2</v>
          </cell>
          <cell r="S2321">
            <v>-17127190.546835516</v>
          </cell>
        </row>
        <row r="2322">
          <cell r="R2322" t="str">
            <v>108GP.CN</v>
          </cell>
          <cell r="S2322">
            <v>-2388793.6404433837</v>
          </cell>
        </row>
        <row r="2323">
          <cell r="R2323" t="str">
            <v>108GP.SO</v>
          </cell>
          <cell r="S2323">
            <v>-22973239.463945661</v>
          </cell>
        </row>
        <row r="2324">
          <cell r="R2324" t="str">
            <v>108GP.SE</v>
          </cell>
          <cell r="S2324">
            <v>-79444.39561764586</v>
          </cell>
        </row>
        <row r="2325">
          <cell r="R2325" t="str">
            <v>108GP.SG3</v>
          </cell>
          <cell r="S2325">
            <v>-15257.133917063131</v>
          </cell>
        </row>
        <row r="2326">
          <cell r="R2326" t="str">
            <v>108GP.SG4</v>
          </cell>
          <cell r="S2326">
            <v>-536154.27304252633</v>
          </cell>
        </row>
        <row r="2327">
          <cell r="R2327" t="str">
            <v>108GP.NA1</v>
          </cell>
          <cell r="S2327">
            <v>-97826118.211891934</v>
          </cell>
        </row>
        <row r="2328">
          <cell r="R2328" t="str">
            <v>108GP.NA2</v>
          </cell>
          <cell r="S2328">
            <v>0</v>
          </cell>
        </row>
        <row r="2329">
          <cell r="R2329" t="str">
            <v>108GP.NA3</v>
          </cell>
          <cell r="S2329">
            <v>0</v>
          </cell>
        </row>
        <row r="2330">
          <cell r="R2330" t="str">
            <v>108MP.NA</v>
          </cell>
          <cell r="S2330">
            <v>0</v>
          </cell>
        </row>
        <row r="2331">
          <cell r="R2331" t="str">
            <v>108MP.S</v>
          </cell>
          <cell r="S2331">
            <v>0</v>
          </cell>
        </row>
        <row r="2332">
          <cell r="R2332" t="str">
            <v>108MP.SE</v>
          </cell>
          <cell r="S2332">
            <v>-41165995.0054949</v>
          </cell>
        </row>
        <row r="2333">
          <cell r="R2333" t="str">
            <v>108MP.NA1</v>
          </cell>
          <cell r="S2333">
            <v>-41165995.0054949</v>
          </cell>
        </row>
        <row r="2334">
          <cell r="R2334" t="str">
            <v>108MP.NA2</v>
          </cell>
          <cell r="S2334">
            <v>0</v>
          </cell>
        </row>
        <row r="2335">
          <cell r="R2335" t="str">
            <v>108MP.S1</v>
          </cell>
          <cell r="S2335">
            <v>0</v>
          </cell>
        </row>
        <row r="2336">
          <cell r="R2336" t="str">
            <v>108MP.NA3</v>
          </cell>
          <cell r="S2336">
            <v>-41165995.0054949</v>
          </cell>
        </row>
        <row r="2337">
          <cell r="R2337" t="str">
            <v>108MP.NA4</v>
          </cell>
          <cell r="S2337">
            <v>0</v>
          </cell>
        </row>
        <row r="2338">
          <cell r="R2338" t="str">
            <v>1081390.NA</v>
          </cell>
          <cell r="S2338">
            <v>0</v>
          </cell>
        </row>
        <row r="2339">
          <cell r="R2339" t="str">
            <v>1081390.SO</v>
          </cell>
          <cell r="S2339">
            <v>0</v>
          </cell>
        </row>
        <row r="2340">
          <cell r="R2340" t="str">
            <v>1081390.NA1</v>
          </cell>
          <cell r="S2340">
            <v>0</v>
          </cell>
        </row>
        <row r="2341">
          <cell r="R2341" t="str">
            <v>1081390.NA2</v>
          </cell>
          <cell r="S2341">
            <v>0</v>
          </cell>
        </row>
        <row r="2342">
          <cell r="R2342" t="str">
            <v>1081390.NA3</v>
          </cell>
          <cell r="S2342">
            <v>0</v>
          </cell>
        </row>
        <row r="2343">
          <cell r="R2343" t="str">
            <v>1081390.NA4</v>
          </cell>
          <cell r="S2343">
            <v>0</v>
          </cell>
        </row>
        <row r="2344">
          <cell r="R2344" t="str">
            <v>1081390.NA5</v>
          </cell>
          <cell r="S2344">
            <v>0</v>
          </cell>
        </row>
        <row r="2345">
          <cell r="R2345" t="str">
            <v>1081399.NA</v>
          </cell>
          <cell r="S2345">
            <v>0</v>
          </cell>
        </row>
        <row r="2346">
          <cell r="R2346" t="str">
            <v>1081399.S</v>
          </cell>
          <cell r="S2346">
            <v>0</v>
          </cell>
        </row>
        <row r="2347">
          <cell r="R2347" t="str">
            <v>1081399.SE</v>
          </cell>
          <cell r="S2347">
            <v>0</v>
          </cell>
        </row>
        <row r="2348">
          <cell r="R2348" t="str">
            <v>1081399.NA1</v>
          </cell>
          <cell r="S2348">
            <v>0</v>
          </cell>
        </row>
        <row r="2349">
          <cell r="R2349" t="str">
            <v>1081399.NA2</v>
          </cell>
          <cell r="S2349">
            <v>0</v>
          </cell>
        </row>
        <row r="2350">
          <cell r="R2350" t="str">
            <v>1081399.NA3</v>
          </cell>
          <cell r="S2350">
            <v>0</v>
          </cell>
        </row>
        <row r="2351">
          <cell r="R2351" t="str">
            <v>1081399.NA4</v>
          </cell>
          <cell r="S2351">
            <v>0</v>
          </cell>
        </row>
        <row r="2352">
          <cell r="R2352" t="str">
            <v>1081399.NA5</v>
          </cell>
          <cell r="S2352">
            <v>0</v>
          </cell>
        </row>
        <row r="2353">
          <cell r="R2353" t="str">
            <v>1081399.NA6</v>
          </cell>
          <cell r="S2353">
            <v>0</v>
          </cell>
        </row>
        <row r="2354">
          <cell r="R2354" t="str">
            <v>Total General Plant Accum Depreciation.NA</v>
          </cell>
          <cell r="S2354">
            <v>-138992113.21738684</v>
          </cell>
        </row>
        <row r="2355">
          <cell r="R2355" t="str">
            <v>Total General Plant Accum Depreciation.NA1</v>
          </cell>
          <cell r="S2355">
            <v>0</v>
          </cell>
        </row>
        <row r="2356">
          <cell r="R2356" t="str">
            <v>Total General Plant Accum Depreciation.NA2</v>
          </cell>
          <cell r="S2356">
            <v>0</v>
          </cell>
        </row>
        <row r="2357">
          <cell r="R2357" t="str">
            <v>Total General Plant Accum Depreciation.NA3</v>
          </cell>
          <cell r="S2357">
            <v>0</v>
          </cell>
        </row>
        <row r="2358">
          <cell r="R2358" t="str">
            <v>Summary of General Depreciation by Factor.NA</v>
          </cell>
          <cell r="S2358">
            <v>0</v>
          </cell>
        </row>
        <row r="2359">
          <cell r="R2359" t="str">
            <v>Summary of General Depreciation by Factor.NA1</v>
          </cell>
          <cell r="S2359">
            <v>-53382839.151016742</v>
          </cell>
        </row>
        <row r="2360">
          <cell r="R2360" t="str">
            <v>Summary of General Depreciation by Factor.NA2</v>
          </cell>
          <cell r="S2360">
            <v>0</v>
          </cell>
        </row>
        <row r="2361">
          <cell r="R2361" t="str">
            <v>Summary of General Depreciation by Factor.NA3</v>
          </cell>
          <cell r="S2361">
            <v>0</v>
          </cell>
        </row>
        <row r="2362">
          <cell r="R2362" t="str">
            <v>Summary of General Depreciation by Factor.NA4</v>
          </cell>
          <cell r="S2362">
            <v>-41245439.401112549</v>
          </cell>
        </row>
        <row r="2363">
          <cell r="R2363" t="str">
            <v>Summary of General Depreciation by Factor.NA5</v>
          </cell>
          <cell r="S2363">
            <v>-22973239.463945661</v>
          </cell>
        </row>
        <row r="2364">
          <cell r="R2364" t="str">
            <v>Summary of General Depreciation by Factor.NA6</v>
          </cell>
          <cell r="S2364">
            <v>-2388793.6404433837</v>
          </cell>
        </row>
        <row r="2365">
          <cell r="R2365" t="str">
            <v>Summary of General Depreciation by Factor.NA7</v>
          </cell>
          <cell r="S2365">
            <v>-19001801.560868498</v>
          </cell>
        </row>
        <row r="2366">
          <cell r="R2366" t="str">
            <v>Summary of General Depreciation by Factor.NA8</v>
          </cell>
          <cell r="S2366">
            <v>0</v>
          </cell>
        </row>
        <row r="2367">
          <cell r="R2367" t="str">
            <v>Summary of General Depreciation by Factor.NA9</v>
          </cell>
          <cell r="S2367">
            <v>0</v>
          </cell>
        </row>
        <row r="2368">
          <cell r="R2368" t="str">
            <v>Summary of General Depreciation by Factor.NA10</v>
          </cell>
          <cell r="S2368">
            <v>0</v>
          </cell>
        </row>
        <row r="2369">
          <cell r="R2369" t="str">
            <v>Summary of General Depreciation by Factor.NA11</v>
          </cell>
          <cell r="S2369">
            <v>0</v>
          </cell>
        </row>
        <row r="2370">
          <cell r="R2370" t="str">
            <v>Total General Depreciation by Factor.NA</v>
          </cell>
          <cell r="S2370">
            <v>-138992113.21738684</v>
          </cell>
        </row>
        <row r="2371">
          <cell r="R2371" t="str">
            <v>Total General Depreciation by Factor.NA1</v>
          </cell>
          <cell r="S2371">
            <v>0</v>
          </cell>
        </row>
        <row r="2372">
          <cell r="R2372" t="str">
            <v>Total General Depreciation by Factor.NA2</v>
          </cell>
          <cell r="S2372">
            <v>0</v>
          </cell>
        </row>
        <row r="2373">
          <cell r="R2373" t="str">
            <v>Total Accum Depreciation - Plant In Service.NA</v>
          </cell>
          <cell r="S2373">
            <v>-2253750290.2266059</v>
          </cell>
        </row>
        <row r="2374">
          <cell r="R2374" t="str">
            <v>111SP.NA</v>
          </cell>
          <cell r="S2374">
            <v>0</v>
          </cell>
        </row>
        <row r="2375">
          <cell r="R2375" t="str">
            <v>111SP.SG</v>
          </cell>
          <cell r="S2375">
            <v>0</v>
          </cell>
        </row>
        <row r="2376">
          <cell r="R2376" t="str">
            <v>111SP.SG1</v>
          </cell>
          <cell r="S2376">
            <v>0</v>
          </cell>
        </row>
        <row r="2377">
          <cell r="R2377" t="str">
            <v>111SP.NA1</v>
          </cell>
          <cell r="S2377">
            <v>0</v>
          </cell>
        </row>
        <row r="2378">
          <cell r="R2378" t="str">
            <v>111SP.NA2</v>
          </cell>
          <cell r="S2378">
            <v>0</v>
          </cell>
        </row>
        <row r="2379">
          <cell r="R2379" t="str">
            <v>111SP.NA3</v>
          </cell>
          <cell r="S2379">
            <v>0</v>
          </cell>
        </row>
        <row r="2380">
          <cell r="R2380" t="str">
            <v>111GP.NA</v>
          </cell>
          <cell r="S2380">
            <v>0</v>
          </cell>
        </row>
        <row r="2381">
          <cell r="R2381" t="str">
            <v>111GP.S</v>
          </cell>
          <cell r="S2381">
            <v>-3923888.6469230773</v>
          </cell>
        </row>
        <row r="2382">
          <cell r="R2382" t="str">
            <v>111GP.CN</v>
          </cell>
          <cell r="S2382">
            <v>-949098.09214263945</v>
          </cell>
        </row>
        <row r="2383">
          <cell r="R2383" t="str">
            <v>111GP.SG</v>
          </cell>
          <cell r="S2383">
            <v>-6034.613393818745</v>
          </cell>
        </row>
        <row r="2384">
          <cell r="R2384" t="str">
            <v>111GP.SO</v>
          </cell>
          <cell r="S2384">
            <v>-3298334.1156212064</v>
          </cell>
        </row>
        <row r="2385">
          <cell r="R2385" t="str">
            <v>111GP.SE</v>
          </cell>
          <cell r="S2385">
            <v>0</v>
          </cell>
        </row>
        <row r="2386">
          <cell r="R2386" t="str">
            <v>111GP.NA1</v>
          </cell>
          <cell r="S2386">
            <v>-8177355.4680807423</v>
          </cell>
        </row>
        <row r="2387">
          <cell r="R2387" t="str">
            <v>111GP.NA2</v>
          </cell>
          <cell r="S2387">
            <v>0</v>
          </cell>
        </row>
        <row r="2388">
          <cell r="R2388" t="str">
            <v>111GP.NA3</v>
          </cell>
          <cell r="S2388">
            <v>0</v>
          </cell>
        </row>
        <row r="2389">
          <cell r="R2389" t="str">
            <v>111HP.NA</v>
          </cell>
          <cell r="S2389">
            <v>0</v>
          </cell>
        </row>
        <row r="2390">
          <cell r="R2390" t="str">
            <v>111HP.SG</v>
          </cell>
          <cell r="S2390">
            <v>0</v>
          </cell>
        </row>
        <row r="2391">
          <cell r="R2391" t="str">
            <v>111HP.SG1</v>
          </cell>
          <cell r="S2391">
            <v>0</v>
          </cell>
        </row>
        <row r="2392">
          <cell r="R2392" t="str">
            <v>111HP.SG2</v>
          </cell>
          <cell r="S2392">
            <v>-188478.19880881332</v>
          </cell>
        </row>
        <row r="2393">
          <cell r="R2393" t="str">
            <v>111HP.SG3</v>
          </cell>
          <cell r="S2393">
            <v>0</v>
          </cell>
        </row>
        <row r="2394">
          <cell r="R2394" t="str">
            <v>111HP.NA1</v>
          </cell>
          <cell r="S2394">
            <v>-188478.19880881332</v>
          </cell>
        </row>
        <row r="2395">
          <cell r="R2395" t="str">
            <v>111HP.NA2</v>
          </cell>
          <cell r="S2395">
            <v>0</v>
          </cell>
        </row>
        <row r="2396">
          <cell r="R2396" t="str">
            <v>111HP.NA3</v>
          </cell>
          <cell r="S2396">
            <v>0</v>
          </cell>
        </row>
        <row r="2397">
          <cell r="R2397" t="str">
            <v>111IP.NA</v>
          </cell>
          <cell r="S2397">
            <v>0</v>
          </cell>
        </row>
        <row r="2398">
          <cell r="R2398" t="str">
            <v>111IP.S</v>
          </cell>
          <cell r="S2398">
            <v>-77035.575384615295</v>
          </cell>
        </row>
        <row r="2399">
          <cell r="R2399" t="str">
            <v>111IP.SG</v>
          </cell>
          <cell r="S2399">
            <v>0</v>
          </cell>
        </row>
        <row r="2400">
          <cell r="R2400" t="str">
            <v>111IP.SG1</v>
          </cell>
          <cell r="S2400">
            <v>-98513.325004409562</v>
          </cell>
        </row>
        <row r="2401">
          <cell r="R2401" t="str">
            <v>111IP.SE</v>
          </cell>
          <cell r="S2401">
            <v>-517595.00323309604</v>
          </cell>
        </row>
        <row r="2402">
          <cell r="R2402" t="str">
            <v>111IP.SG2</v>
          </cell>
          <cell r="S2402">
            <v>-14792598.153834485</v>
          </cell>
        </row>
        <row r="2403">
          <cell r="R2403" t="str">
            <v>111IP.SG3</v>
          </cell>
          <cell r="S2403">
            <v>-10399414.02544089</v>
          </cell>
        </row>
        <row r="2404">
          <cell r="R2404" t="str">
            <v>111IP.SG4</v>
          </cell>
          <cell r="S2404">
            <v>-1043066.4044507015</v>
          </cell>
        </row>
        <row r="2405">
          <cell r="R2405" t="str">
            <v>111IP.CN</v>
          </cell>
          <cell r="S2405">
            <v>-33209843.683411863</v>
          </cell>
        </row>
        <row r="2406">
          <cell r="R2406" t="str">
            <v>111IP.SG5</v>
          </cell>
          <cell r="S2406">
            <v>0</v>
          </cell>
        </row>
        <row r="2407">
          <cell r="R2407" t="str">
            <v>111IP.SG6</v>
          </cell>
          <cell r="S2407">
            <v>-121104.89831589078</v>
          </cell>
        </row>
        <row r="2408">
          <cell r="R2408" t="str">
            <v>111IP.SO</v>
          </cell>
          <cell r="S2408">
            <v>-72755029.518361568</v>
          </cell>
        </row>
        <row r="2409">
          <cell r="R2409" t="str">
            <v>111IP.NA1</v>
          </cell>
          <cell r="S2409">
            <v>-133014200.58743753</v>
          </cell>
        </row>
        <row r="2410">
          <cell r="R2410" t="str">
            <v>111IP.NA2</v>
          </cell>
          <cell r="S2410">
            <v>0</v>
          </cell>
        </row>
        <row r="2411">
          <cell r="R2411" t="str">
            <v>111IP.OTH</v>
          </cell>
          <cell r="S2411">
            <v>0</v>
          </cell>
        </row>
        <row r="2412">
          <cell r="R2412" t="str">
            <v>111IP.NA3</v>
          </cell>
          <cell r="S2412">
            <v>-133014200.58743753</v>
          </cell>
        </row>
        <row r="2413">
          <cell r="R2413" t="str">
            <v>111IP.NA4</v>
          </cell>
          <cell r="S2413">
            <v>0</v>
          </cell>
        </row>
        <row r="2414">
          <cell r="R2414" t="str">
            <v>111390.NA</v>
          </cell>
          <cell r="S2414">
            <v>0</v>
          </cell>
        </row>
        <row r="2415">
          <cell r="R2415" t="str">
            <v>111390.S</v>
          </cell>
          <cell r="S2415">
            <v>-56725.7646153846</v>
          </cell>
        </row>
        <row r="2416">
          <cell r="R2416" t="str">
            <v>111390.SG</v>
          </cell>
          <cell r="S2416">
            <v>123303.75718722276</v>
          </cell>
        </row>
        <row r="2417">
          <cell r="R2417" t="str">
            <v>111390.SO</v>
          </cell>
          <cell r="S2417">
            <v>2333394.5471923118</v>
          </cell>
        </row>
        <row r="2418">
          <cell r="R2418" t="str">
            <v>111390.NA1</v>
          </cell>
          <cell r="S2418">
            <v>2399972.53976415</v>
          </cell>
        </row>
        <row r="2419">
          <cell r="R2419" t="str">
            <v>111390.NA2</v>
          </cell>
          <cell r="S2419">
            <v>0</v>
          </cell>
        </row>
        <row r="2420">
          <cell r="R2420" t="str">
            <v>111390.NA3</v>
          </cell>
          <cell r="S2420">
            <v>-2399972.53976415</v>
          </cell>
        </row>
        <row r="2421">
          <cell r="R2421" t="str">
            <v>111390.NA4</v>
          </cell>
          <cell r="S2421">
            <v>0</v>
          </cell>
        </row>
        <row r="2422">
          <cell r="R2422" t="str">
            <v>Total Accum Provision for Amortization.NA</v>
          </cell>
          <cell r="S2422">
            <v>-141380034.25432706</v>
          </cell>
        </row>
        <row r="2423">
          <cell r="R2423" t="str">
            <v>Total Accum Provision for Amortization.NA1</v>
          </cell>
          <cell r="S2423">
            <v>0</v>
          </cell>
        </row>
        <row r="2424">
          <cell r="R2424" t="str">
            <v>Total Accum Provision for Amortization.NA2</v>
          </cell>
          <cell r="S2424">
            <v>0</v>
          </cell>
        </row>
        <row r="2425">
          <cell r="R2425" t="str">
            <v>Total Accum Provision for Amortization.NA3</v>
          </cell>
          <cell r="S2425">
            <v>0</v>
          </cell>
        </row>
        <row r="2426">
          <cell r="R2426" t="str">
            <v>Total Accum Provision for Amortization.NA4</v>
          </cell>
          <cell r="S2426">
            <v>0</v>
          </cell>
        </row>
        <row r="2427">
          <cell r="R2427" t="str">
            <v>Summary of Amortization by Factor.NA</v>
          </cell>
          <cell r="S2427">
            <v>0</v>
          </cell>
        </row>
        <row r="2428">
          <cell r="R2428" t="str">
            <v>Summary of Amortization by Factor.NA1</v>
          </cell>
          <cell r="S2428">
            <v>-4057649.9869230771</v>
          </cell>
        </row>
        <row r="2429">
          <cell r="R2429" t="str">
            <v>Summary of Amortization by Factor.NA2</v>
          </cell>
          <cell r="S2429">
            <v>0</v>
          </cell>
        </row>
        <row r="2430">
          <cell r="R2430" t="str">
            <v>Summary of Amortization by Factor.NA3</v>
          </cell>
          <cell r="S2430">
            <v>0</v>
          </cell>
        </row>
        <row r="2431">
          <cell r="R2431" t="str">
            <v>Summary of Amortization by Factor.NA4</v>
          </cell>
          <cell r="S2431">
            <v>-517595.00323309604</v>
          </cell>
        </row>
        <row r="2432">
          <cell r="R2432" t="str">
            <v>Summary of Amortization by Factor.NA5</v>
          </cell>
          <cell r="S2432">
            <v>-73719969.086790472</v>
          </cell>
        </row>
        <row r="2433">
          <cell r="R2433" t="str">
            <v>Summary of Amortization by Factor.NA6</v>
          </cell>
          <cell r="S2433">
            <v>-34158941.775554501</v>
          </cell>
        </row>
        <row r="2434">
          <cell r="R2434" t="str">
            <v>Summary of Amortization by Factor.NA7</v>
          </cell>
          <cell r="S2434">
            <v>0</v>
          </cell>
        </row>
      </sheetData>
      <sheetData sheetId="3" refreshError="1"/>
      <sheetData sheetId="4">
        <row r="5">
          <cell r="B5" t="str">
            <v>Production</v>
          </cell>
          <cell r="C5" t="str">
            <v>Transmission</v>
          </cell>
          <cell r="D5" t="str">
            <v>Distribution</v>
          </cell>
          <cell r="E5" t="str">
            <v>Retail</v>
          </cell>
          <cell r="F5" t="str">
            <v>Misc</v>
          </cell>
          <cell r="G5" t="str">
            <v>TOT</v>
          </cell>
        </row>
        <row r="6">
          <cell r="A6" t="str">
            <v>ACCMDIT</v>
          </cell>
          <cell r="B6">
            <v>0.50439453065686046</v>
          </cell>
          <cell r="C6">
            <v>0.24882965808202531</v>
          </cell>
          <cell r="D6">
            <v>0.24687982625311733</v>
          </cell>
          <cell r="E6">
            <v>-1.0401499200313088E-4</v>
          </cell>
          <cell r="F6">
            <v>0</v>
          </cell>
          <cell r="G6">
            <v>1</v>
          </cell>
        </row>
        <row r="7">
          <cell r="A7" t="str">
            <v>BOOKDEPR</v>
          </cell>
          <cell r="B7">
            <v>0.52818828360564796</v>
          </cell>
          <cell r="C7">
            <v>0.17584365630358914</v>
          </cell>
          <cell r="D7">
            <v>0.29333260076379991</v>
          </cell>
          <cell r="E7">
            <v>2.6354593269629326E-3</v>
          </cell>
          <cell r="F7">
            <v>0</v>
          </cell>
          <cell r="G7">
            <v>0.99999999999999989</v>
          </cell>
        </row>
        <row r="8">
          <cell r="A8" t="str">
            <v>COM_EQ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CUST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</row>
        <row r="10">
          <cell r="A10" t="str">
            <v>DDS2</v>
          </cell>
          <cell r="B10">
            <v>0.85542877550425989</v>
          </cell>
          <cell r="C10">
            <v>1.1210193036860688E-2</v>
          </cell>
          <cell r="D10">
            <v>1.442432074529139E-2</v>
          </cell>
          <cell r="E10">
            <v>0.15776818760619563</v>
          </cell>
          <cell r="F10">
            <v>-3.8831476892607436E-2</v>
          </cell>
          <cell r="G10">
            <v>1.0000000000000002</v>
          </cell>
        </row>
        <row r="11">
          <cell r="A11" t="str">
            <v>DDS6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DDSO2</v>
          </cell>
          <cell r="B12">
            <v>0.13901108522299063</v>
          </cell>
          <cell r="C12">
            <v>4.6337028407663551E-2</v>
          </cell>
          <cell r="D12">
            <v>0.27802217044598126</v>
          </cell>
          <cell r="E12">
            <v>0</v>
          </cell>
          <cell r="F12">
            <v>0.53662971592336461</v>
          </cell>
          <cell r="G12">
            <v>1</v>
          </cell>
        </row>
        <row r="13">
          <cell r="A13" t="str">
            <v>DDSO6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</row>
        <row r="14">
          <cell r="A14" t="str">
            <v>DEFSG</v>
          </cell>
          <cell r="B14">
            <v>0.72907228767519017</v>
          </cell>
          <cell r="C14">
            <v>0.27092771232480983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DMSC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</row>
        <row r="16">
          <cell r="A16" t="str">
            <v>DPW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A17" t="str">
            <v>ESD</v>
          </cell>
          <cell r="B17">
            <v>0.3</v>
          </cell>
          <cell r="C17">
            <v>0.1</v>
          </cell>
          <cell r="D17">
            <v>0.6</v>
          </cell>
          <cell r="E17">
            <v>0</v>
          </cell>
          <cell r="F17">
            <v>0</v>
          </cell>
          <cell r="G17">
            <v>1</v>
          </cell>
        </row>
        <row r="18">
          <cell r="A18" t="str">
            <v>FERC</v>
          </cell>
          <cell r="B18">
            <v>0.52233666206893237</v>
          </cell>
          <cell r="C18">
            <v>0.47766333793106763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G</v>
          </cell>
          <cell r="B19">
            <v>0.2260100671684443</v>
          </cell>
          <cell r="C19">
            <v>0.31619785595673816</v>
          </cell>
          <cell r="D19">
            <v>0.43590328970159703</v>
          </cell>
          <cell r="E19">
            <v>2.1888787173220417E-2</v>
          </cell>
          <cell r="F19">
            <v>0</v>
          </cell>
          <cell r="G19">
            <v>0.99999999999999989</v>
          </cell>
        </row>
        <row r="20">
          <cell r="A20" t="str">
            <v>G-DGP</v>
          </cell>
          <cell r="B20">
            <v>0.69712876692486192</v>
          </cell>
          <cell r="C20">
            <v>0.30287123307513802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G-DGU</v>
          </cell>
          <cell r="B21">
            <v>0.69712876692486192</v>
          </cell>
          <cell r="C21">
            <v>0.30287123307513802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GP</v>
          </cell>
          <cell r="B22">
            <v>0.49959188980619645</v>
          </cell>
          <cell r="C22">
            <v>0.22609641857856191</v>
          </cell>
          <cell r="D22">
            <v>0.26816692418170962</v>
          </cell>
          <cell r="E22">
            <v>6.1447674335319523E-3</v>
          </cell>
          <cell r="F22">
            <v>0</v>
          </cell>
          <cell r="G22">
            <v>1</v>
          </cell>
        </row>
        <row r="23">
          <cell r="A23" t="str">
            <v>G-SG</v>
          </cell>
          <cell r="B23">
            <v>0.48160002389405576</v>
          </cell>
          <cell r="C23">
            <v>0.51839997610594424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G-SITUS</v>
          </cell>
          <cell r="B24">
            <v>0</v>
          </cell>
          <cell r="C24">
            <v>0.28151619403368622</v>
          </cell>
          <cell r="D24">
            <v>0.71848380596631378</v>
          </cell>
          <cell r="E24">
            <v>0</v>
          </cell>
          <cell r="F24">
            <v>0</v>
          </cell>
          <cell r="G24">
            <v>1</v>
          </cell>
        </row>
        <row r="25">
          <cell r="A25" t="str">
            <v>I</v>
          </cell>
          <cell r="B25">
            <v>0.53998707351808606</v>
          </cell>
          <cell r="C25">
            <v>0.15386434637984731</v>
          </cell>
          <cell r="D25">
            <v>0.14399500993831293</v>
          </cell>
          <cell r="E25">
            <v>0.16215357016375356</v>
          </cell>
          <cell r="F25">
            <v>0</v>
          </cell>
          <cell r="G25">
            <v>0.99999999999999978</v>
          </cell>
        </row>
        <row r="26">
          <cell r="A26" t="str">
            <v>I-DGP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I-DGU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A28" t="str">
            <v>I-SG</v>
          </cell>
          <cell r="B28">
            <v>0.85151006596114365</v>
          </cell>
          <cell r="C28">
            <v>0.14848993403885644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I-SITUS</v>
          </cell>
          <cell r="B29">
            <v>1.5651651888977533E-2</v>
          </cell>
          <cell r="C29">
            <v>0.46532220748626302</v>
          </cell>
          <cell r="D29">
            <v>0.51902614062475938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LABOR</v>
          </cell>
          <cell r="B30">
            <v>0.45335219290970558</v>
          </cell>
          <cell r="C30">
            <v>7.1868670968525381E-2</v>
          </cell>
          <cell r="D30">
            <v>0.33123699454750549</v>
          </cell>
          <cell r="E30">
            <v>0.14354214157426357</v>
          </cell>
          <cell r="F30">
            <v>0</v>
          </cell>
          <cell r="G30">
            <v>1</v>
          </cell>
        </row>
        <row r="31">
          <cell r="A31" t="str">
            <v>MSS</v>
          </cell>
          <cell r="B31">
            <v>0.88571749641381736</v>
          </cell>
          <cell r="C31">
            <v>5.9394239375457009E-3</v>
          </cell>
          <cell r="D31">
            <v>0.10834307964863696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OTHDGP</v>
          </cell>
          <cell r="B32">
            <v>0.45284408892423755</v>
          </cell>
          <cell r="C32">
            <v>0.54715591107576234</v>
          </cell>
          <cell r="D32">
            <v>0</v>
          </cell>
          <cell r="E32">
            <v>0</v>
          </cell>
          <cell r="F32">
            <v>0</v>
          </cell>
          <cell r="G32">
            <v>0.99999999999999989</v>
          </cell>
        </row>
        <row r="33">
          <cell r="A33" t="str">
            <v>OTHDGU</v>
          </cell>
          <cell r="B33">
            <v>0.45284408892423755</v>
          </cell>
          <cell r="C33">
            <v>0.54715591107576234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OTHSE</v>
          </cell>
          <cell r="B34">
            <v>0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OTHSG</v>
          </cell>
          <cell r="B35">
            <v>0.45284408892423755</v>
          </cell>
          <cell r="C35">
            <v>0.54715591107576234</v>
          </cell>
          <cell r="D35">
            <v>0</v>
          </cell>
          <cell r="E35">
            <v>0</v>
          </cell>
          <cell r="F35">
            <v>0</v>
          </cell>
          <cell r="G35">
            <v>0.99999999999999989</v>
          </cell>
        </row>
        <row r="36">
          <cell r="A36" t="str">
            <v>OTHSGR</v>
          </cell>
          <cell r="B36">
            <v>0.45284408892423755</v>
          </cell>
          <cell r="C36">
            <v>0.54715591107576234</v>
          </cell>
          <cell r="D36">
            <v>0</v>
          </cell>
          <cell r="E36">
            <v>0</v>
          </cell>
          <cell r="F36">
            <v>0</v>
          </cell>
          <cell r="G36">
            <v>0.99999999999999989</v>
          </cell>
        </row>
        <row r="37">
          <cell r="A37" t="str">
            <v>OTHSITUS</v>
          </cell>
          <cell r="B37">
            <v>-0.91798374881682698</v>
          </cell>
          <cell r="C37">
            <v>0</v>
          </cell>
          <cell r="D37">
            <v>0</v>
          </cell>
          <cell r="E37">
            <v>0</v>
          </cell>
          <cell r="F37">
            <v>1.9179837488168268</v>
          </cell>
          <cell r="G37">
            <v>0.99999999999999978</v>
          </cell>
        </row>
        <row r="38">
          <cell r="A38" t="str">
            <v>OTHSO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</row>
        <row r="39">
          <cell r="A39" t="str">
            <v>P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SCHMA</v>
          </cell>
          <cell r="B40">
            <v>0.47174576202078411</v>
          </cell>
          <cell r="C40">
            <v>0.21091472829240293</v>
          </cell>
          <cell r="D40">
            <v>0.31105700829363492</v>
          </cell>
          <cell r="E40">
            <v>9.8135733891313841E-4</v>
          </cell>
          <cell r="F40">
            <v>5.3011440542645571E-3</v>
          </cell>
          <cell r="G40">
            <v>0.99999999999999956</v>
          </cell>
        </row>
        <row r="41">
          <cell r="A41" t="str">
            <v>SCHMAF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SCHMAP</v>
          </cell>
          <cell r="B42">
            <v>-0.75795932537237365</v>
          </cell>
          <cell r="C42">
            <v>0.78527391140388569</v>
          </cell>
          <cell r="D42">
            <v>0.95685566479011586</v>
          </cell>
          <cell r="E42">
            <v>1.5829749178372498E-2</v>
          </cell>
          <cell r="F42">
            <v>0</v>
          </cell>
          <cell r="G42">
            <v>1.0000000000000004</v>
          </cell>
        </row>
        <row r="43">
          <cell r="A43" t="str">
            <v>SCHMAP-SO</v>
          </cell>
          <cell r="B43">
            <v>0.49963268147253687</v>
          </cell>
          <cell r="C43">
            <v>0.22911315901967289</v>
          </cell>
          <cell r="D43">
            <v>0.27125419764111125</v>
          </cell>
          <cell r="E43">
            <v>-3.8133320858214488E-8</v>
          </cell>
          <cell r="F43">
            <v>0</v>
          </cell>
          <cell r="G43">
            <v>1</v>
          </cell>
        </row>
        <row r="44">
          <cell r="A44" t="str">
            <v>SCHMAT</v>
          </cell>
          <cell r="B44">
            <v>0.47219501598182834</v>
          </cell>
          <cell r="C44">
            <v>0.21070489494234179</v>
          </cell>
          <cell r="D44">
            <v>0.31082107562372696</v>
          </cell>
          <cell r="E44">
            <v>9.7593270587111828E-4</v>
          </cell>
          <cell r="F44">
            <v>5.3030807462314845E-3</v>
          </cell>
          <cell r="G44">
            <v>0.99999999999999978</v>
          </cell>
        </row>
        <row r="45">
          <cell r="A45" t="str">
            <v>SCHMAT-GPS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SCHMAT-SE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SCHMAT-SITUS</v>
          </cell>
          <cell r="B47">
            <v>0.85661566903082975</v>
          </cell>
          <cell r="C47">
            <v>7.2037652181307116E-2</v>
          </cell>
          <cell r="D47">
            <v>0.14590200849538232</v>
          </cell>
          <cell r="E47">
            <v>5.3490084142608797E-3</v>
          </cell>
          <cell r="F47">
            <v>-7.9904338121780036E-2</v>
          </cell>
          <cell r="G47">
            <v>1</v>
          </cell>
        </row>
        <row r="48">
          <cell r="A48" t="str">
            <v>SCHMAT-SNP</v>
          </cell>
          <cell r="B48">
            <v>0.49963158785184331</v>
          </cell>
          <cell r="C48">
            <v>0.2290331249822315</v>
          </cell>
          <cell r="D48">
            <v>0.27117234949373559</v>
          </cell>
          <cell r="E48">
            <v>1.6293767218971753E-4</v>
          </cell>
          <cell r="F48">
            <v>0</v>
          </cell>
          <cell r="G48">
            <v>1.0000000000000002</v>
          </cell>
        </row>
        <row r="49">
          <cell r="A49" t="str">
            <v>SCHMAT-SO</v>
          </cell>
          <cell r="B49">
            <v>0.44543698762527317</v>
          </cell>
          <cell r="C49">
            <v>4.4975644524334231E-2</v>
          </cell>
          <cell r="D49">
            <v>0.34149566220188782</v>
          </cell>
          <cell r="E49">
            <v>0.16809170564850481</v>
          </cell>
          <cell r="F49">
            <v>0</v>
          </cell>
          <cell r="G49">
            <v>1</v>
          </cell>
        </row>
        <row r="50">
          <cell r="A50" t="str">
            <v>SCHMD</v>
          </cell>
          <cell r="B50">
            <v>0.45923393643128724</v>
          </cell>
          <cell r="C50">
            <v>0.29885477056257814</v>
          </cell>
          <cell r="D50">
            <v>0.22443062267622949</v>
          </cell>
          <cell r="E50">
            <v>1.1170675782311459E-3</v>
          </cell>
          <cell r="F50">
            <v>1.6363602751674179E-2</v>
          </cell>
          <cell r="G50">
            <v>1.0000000000000002</v>
          </cell>
        </row>
        <row r="51">
          <cell r="A51" t="str">
            <v>SCHMDF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SCHMDP</v>
          </cell>
          <cell r="B52">
            <v>0.8623094899288325</v>
          </cell>
          <cell r="C52">
            <v>0.10367631354286036</v>
          </cell>
          <cell r="D52">
            <v>6.6698255312296548E-2</v>
          </cell>
          <cell r="E52">
            <v>-3.2684058783989375E-2</v>
          </cell>
          <cell r="F52">
            <v>0</v>
          </cell>
          <cell r="G52">
            <v>1</v>
          </cell>
        </row>
        <row r="53">
          <cell r="A53" t="str">
            <v>SCHMDP-SO</v>
          </cell>
          <cell r="B53">
            <v>0.45335219290970558</v>
          </cell>
          <cell r="C53">
            <v>7.1868670968525381E-2</v>
          </cell>
          <cell r="D53">
            <v>0.33123699454750549</v>
          </cell>
          <cell r="E53">
            <v>0.14354214157426357</v>
          </cell>
          <cell r="F53">
            <v>0</v>
          </cell>
          <cell r="G53">
            <v>1</v>
          </cell>
        </row>
        <row r="54">
          <cell r="A54" t="str">
            <v>SCHMDT</v>
          </cell>
          <cell r="B54">
            <v>0.45903580350046136</v>
          </cell>
          <cell r="C54">
            <v>0.29895071108635302</v>
          </cell>
          <cell r="D54">
            <v>0.22450815646849434</v>
          </cell>
          <cell r="E54">
            <v>1.1336826177026551E-3</v>
          </cell>
          <cell r="F54">
            <v>1.6371646326988849E-2</v>
          </cell>
          <cell r="G54">
            <v>1.0000000000000002</v>
          </cell>
        </row>
        <row r="55">
          <cell r="A55" t="str">
            <v>SCHMDT-GPS</v>
          </cell>
          <cell r="B55">
            <v>0.49963266917769278</v>
          </cell>
          <cell r="C55">
            <v>0.22911311724620584</v>
          </cell>
          <cell r="D55">
            <v>0.27125421357610152</v>
          </cell>
          <cell r="E55">
            <v>0</v>
          </cell>
          <cell r="F55">
            <v>0</v>
          </cell>
          <cell r="G55">
            <v>1.0000000000000002</v>
          </cell>
        </row>
        <row r="56">
          <cell r="A56" t="str">
            <v>SCHMDT-SG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SCHMDT-SITUS</v>
          </cell>
          <cell r="B57">
            <v>0.18951145219644078</v>
          </cell>
          <cell r="C57">
            <v>-0.12354218897933467</v>
          </cell>
          <cell r="D57">
            <v>-0.14640891898247038</v>
          </cell>
          <cell r="E57">
            <v>-1.8200807516633158E-3</v>
          </cell>
          <cell r="F57">
            <v>1.0822597365170277</v>
          </cell>
          <cell r="G57">
            <v>1</v>
          </cell>
        </row>
        <row r="58">
          <cell r="A58" t="str">
            <v>SCHMDT-SNP</v>
          </cell>
          <cell r="B58">
            <v>0.49963266917769278</v>
          </cell>
          <cell r="C58">
            <v>0.22911311724620581</v>
          </cell>
          <cell r="D58">
            <v>0.27125421357610152</v>
          </cell>
          <cell r="E58">
            <v>0</v>
          </cell>
          <cell r="F58">
            <v>0</v>
          </cell>
          <cell r="G58">
            <v>1.0000000000000002</v>
          </cell>
        </row>
        <row r="59">
          <cell r="A59" t="str">
            <v>SCHMDT-SO</v>
          </cell>
          <cell r="B59">
            <v>0.50434165600796499</v>
          </cell>
          <cell r="C59">
            <v>1.2952762775245843E-2</v>
          </cell>
          <cell r="D59">
            <v>0.23684702615101183</v>
          </cell>
          <cell r="E59">
            <v>0.24585855506577742</v>
          </cell>
          <cell r="F59">
            <v>0</v>
          </cell>
          <cell r="G59">
            <v>1</v>
          </cell>
        </row>
        <row r="60">
          <cell r="A60" t="str">
            <v>T</v>
          </cell>
          <cell r="B60">
            <v>0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TAXDEPR</v>
          </cell>
          <cell r="B61">
            <v>0.39509538323559351</v>
          </cell>
          <cell r="C61">
            <v>0.34886582064973848</v>
          </cell>
          <cell r="D61">
            <v>0.25216650829125364</v>
          </cell>
          <cell r="E61">
            <v>3.8722878234144702E-3</v>
          </cell>
          <cell r="F61">
            <v>0</v>
          </cell>
          <cell r="G61">
            <v>1.0000000000000002</v>
          </cell>
        </row>
        <row r="62">
          <cell r="A62" t="str">
            <v>TD</v>
          </cell>
          <cell r="B62">
            <v>0</v>
          </cell>
          <cell r="C62">
            <v>0.45788984038921893</v>
          </cell>
          <cell r="D62">
            <v>0.54211015961078102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CWC</v>
          </cell>
          <cell r="B63">
            <v>0.69234097534822014</v>
          </cell>
          <cell r="C63">
            <v>9.218694654893736E-2</v>
          </cell>
          <cell r="D63">
            <v>0.13715263548266157</v>
          </cell>
          <cell r="E63">
            <v>3.966637987077537E-2</v>
          </cell>
          <cell r="F63">
            <v>3.8653062749405429E-2</v>
          </cell>
          <cell r="G63">
            <v>0.99999999999999978</v>
          </cell>
        </row>
        <row r="64">
          <cell r="A64" t="str">
            <v>DITEXP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FIT</v>
          </cell>
          <cell r="B65">
            <v>-7.7013130038945707</v>
          </cell>
          <cell r="C65">
            <v>1.9520155084873207</v>
          </cell>
          <cell r="D65">
            <v>6.9100382193439405</v>
          </cell>
          <cell r="E65">
            <v>-0.29981851620427646</v>
          </cell>
          <cell r="F65">
            <v>0.13907779226759839</v>
          </cell>
          <cell r="G65">
            <v>1.0000000000000127</v>
          </cell>
        </row>
        <row r="66">
          <cell r="A66" t="str">
            <v>IBT</v>
          </cell>
          <cell r="B66">
            <v>-0.33219363183715694</v>
          </cell>
          <cell r="C66">
            <v>0.29885864679161095</v>
          </cell>
          <cell r="D66">
            <v>1.0579448075757216</v>
          </cell>
          <cell r="E66">
            <v>-4.5902993929241492E-2</v>
          </cell>
          <cell r="F66">
            <v>2.1293171399067914E-2</v>
          </cell>
          <cell r="G66">
            <v>1.000000000000002</v>
          </cell>
        </row>
        <row r="67">
          <cell r="A67" t="str">
            <v>NONE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NUTIL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PT</v>
          </cell>
          <cell r="B69">
            <v>0.68107778524754803</v>
          </cell>
          <cell r="C69">
            <v>0.31892221475245197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PTD</v>
          </cell>
          <cell r="B70">
            <v>0.47346350936693476</v>
          </cell>
          <cell r="C70">
            <v>0.22170453108654634</v>
          </cell>
          <cell r="D70">
            <v>0.30483195954651898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REVREQ</v>
          </cell>
          <cell r="B71">
            <v>0.63443939990124099</v>
          </cell>
          <cell r="C71">
            <v>0.14551233698083962</v>
          </cell>
          <cell r="D71">
            <v>0.16986993758631633</v>
          </cell>
          <cell r="E71">
            <v>2.6263140528786824E-2</v>
          </cell>
          <cell r="F71">
            <v>2.3915185002816249E-2</v>
          </cell>
          <cell r="G71">
            <v>1</v>
          </cell>
        </row>
        <row r="72">
          <cell r="A72" t="str">
            <v>SIT</v>
          </cell>
          <cell r="B72">
            <v>-0.33219363183715694</v>
          </cell>
          <cell r="C72">
            <v>0.29885864679161095</v>
          </cell>
          <cell r="D72">
            <v>1.0579448075757216</v>
          </cell>
          <cell r="E72">
            <v>-4.5902993929241492E-2</v>
          </cell>
          <cell r="F72">
            <v>2.1293171399067914E-2</v>
          </cell>
          <cell r="G72">
            <v>1.000000000000002</v>
          </cell>
        </row>
        <row r="73">
          <cell r="A73" t="str">
            <v>STEP_UP</v>
          </cell>
          <cell r="B73">
            <v>7.9654312392376359E-2</v>
          </cell>
          <cell r="C73">
            <v>0.92034568760762359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>
        <row r="7">
          <cell r="N7" t="str">
            <v>Year</v>
          </cell>
          <cell r="O7" t="str">
            <v>COB</v>
          </cell>
          <cell r="P7" t="str">
            <v>Mead</v>
          </cell>
          <cell r="Q7" t="str">
            <v>Mona</v>
          </cell>
          <cell r="R7" t="str">
            <v>Mid C</v>
          </cell>
          <cell r="S7" t="str">
            <v>NOB</v>
          </cell>
        </row>
        <row r="8">
          <cell r="N8">
            <v>2012</v>
          </cell>
          <cell r="O8">
            <v>999</v>
          </cell>
          <cell r="P8">
            <v>999</v>
          </cell>
          <cell r="Q8">
            <v>999</v>
          </cell>
          <cell r="R8">
            <v>999</v>
          </cell>
          <cell r="S8">
            <v>999</v>
          </cell>
        </row>
        <row r="9">
          <cell r="N9">
            <v>2013</v>
          </cell>
          <cell r="O9">
            <v>46.75</v>
          </cell>
          <cell r="P9">
            <v>49.25</v>
          </cell>
          <cell r="Q9">
            <v>50.08</v>
          </cell>
          <cell r="R9">
            <v>42.25</v>
          </cell>
          <cell r="S9">
            <v>51.16</v>
          </cell>
        </row>
        <row r="10">
          <cell r="N10">
            <v>2014</v>
          </cell>
          <cell r="O10">
            <v>48.25</v>
          </cell>
          <cell r="P10">
            <v>49</v>
          </cell>
          <cell r="Q10">
            <v>49.83</v>
          </cell>
          <cell r="R10">
            <v>42.19</v>
          </cell>
          <cell r="S10">
            <v>51.56</v>
          </cell>
        </row>
        <row r="11">
          <cell r="N11">
            <v>2015</v>
          </cell>
          <cell r="O11">
            <v>50.5</v>
          </cell>
          <cell r="P11">
            <v>51</v>
          </cell>
          <cell r="Q11">
            <v>51.83</v>
          </cell>
          <cell r="R11">
            <v>44.69</v>
          </cell>
          <cell r="S11">
            <v>53.87</v>
          </cell>
        </row>
        <row r="12">
          <cell r="N12">
            <v>2016</v>
          </cell>
          <cell r="O12">
            <v>52.5</v>
          </cell>
          <cell r="P12">
            <v>52.75</v>
          </cell>
          <cell r="Q12">
            <v>53.58</v>
          </cell>
          <cell r="R12">
            <v>46.69</v>
          </cell>
          <cell r="S12">
            <v>55.7</v>
          </cell>
        </row>
        <row r="13">
          <cell r="N13">
            <v>2017</v>
          </cell>
          <cell r="O13">
            <v>54.65</v>
          </cell>
          <cell r="P13">
            <v>54.75</v>
          </cell>
          <cell r="Q13">
            <v>55.58</v>
          </cell>
          <cell r="R13">
            <v>49.34</v>
          </cell>
          <cell r="S13">
            <v>57.73</v>
          </cell>
        </row>
        <row r="14">
          <cell r="N14">
            <v>2018</v>
          </cell>
          <cell r="O14">
            <v>57.15</v>
          </cell>
          <cell r="P14">
            <v>57</v>
          </cell>
          <cell r="Q14">
            <v>57.83</v>
          </cell>
          <cell r="R14">
            <v>51.84</v>
          </cell>
          <cell r="S14">
            <v>60.04</v>
          </cell>
        </row>
        <row r="15">
          <cell r="N15">
            <v>2019</v>
          </cell>
          <cell r="O15">
            <v>58.6</v>
          </cell>
          <cell r="P15">
            <v>63.29</v>
          </cell>
          <cell r="Q15">
            <v>64.12</v>
          </cell>
          <cell r="R15">
            <v>56.7</v>
          </cell>
          <cell r="S15">
            <v>64.84</v>
          </cell>
        </row>
        <row r="16">
          <cell r="N16">
            <v>2020</v>
          </cell>
          <cell r="O16">
            <v>60.06</v>
          </cell>
          <cell r="P16">
            <v>69.569999999999993</v>
          </cell>
          <cell r="Q16">
            <v>70.400000000000006</v>
          </cell>
          <cell r="R16">
            <v>61.56</v>
          </cell>
          <cell r="S16">
            <v>69.7</v>
          </cell>
        </row>
        <row r="17">
          <cell r="N17">
            <v>2021</v>
          </cell>
          <cell r="O17">
            <v>63.82</v>
          </cell>
          <cell r="P17">
            <v>72.709999999999994</v>
          </cell>
          <cell r="Q17">
            <v>73.55</v>
          </cell>
          <cell r="R17">
            <v>65.290000000000006</v>
          </cell>
          <cell r="S17">
            <v>73.430000000000007</v>
          </cell>
        </row>
        <row r="18">
          <cell r="N18">
            <v>2022</v>
          </cell>
          <cell r="O18">
            <v>69.63</v>
          </cell>
          <cell r="P18">
            <v>79.7</v>
          </cell>
          <cell r="Q18">
            <v>80.53</v>
          </cell>
          <cell r="R18">
            <v>68.8</v>
          </cell>
          <cell r="S18">
            <v>76.94</v>
          </cell>
        </row>
        <row r="19">
          <cell r="N19">
            <v>2023</v>
          </cell>
          <cell r="O19">
            <v>75.5</v>
          </cell>
          <cell r="P19">
            <v>85.6</v>
          </cell>
          <cell r="Q19">
            <v>86.44</v>
          </cell>
          <cell r="R19">
            <v>75.03</v>
          </cell>
          <cell r="S19">
            <v>83.17</v>
          </cell>
        </row>
        <row r="20">
          <cell r="N20">
            <v>2024</v>
          </cell>
          <cell r="O20">
            <v>75.819999999999993</v>
          </cell>
          <cell r="P20">
            <v>86.41</v>
          </cell>
          <cell r="Q20">
            <v>87.24</v>
          </cell>
          <cell r="R20">
            <v>75.22</v>
          </cell>
          <cell r="S20">
            <v>83.36</v>
          </cell>
        </row>
        <row r="21">
          <cell r="N21">
            <v>2025</v>
          </cell>
          <cell r="O21">
            <v>75.849999999999994</v>
          </cell>
          <cell r="P21">
            <v>87</v>
          </cell>
          <cell r="Q21">
            <v>87.83</v>
          </cell>
          <cell r="R21">
            <v>75.39</v>
          </cell>
          <cell r="S21">
            <v>83.53</v>
          </cell>
        </row>
        <row r="22">
          <cell r="N22">
            <v>2026</v>
          </cell>
          <cell r="O22">
            <v>79.25</v>
          </cell>
          <cell r="P22">
            <v>90.16</v>
          </cell>
          <cell r="Q22">
            <v>91</v>
          </cell>
          <cell r="R22">
            <v>78.61</v>
          </cell>
          <cell r="S22">
            <v>86.75</v>
          </cell>
        </row>
        <row r="23">
          <cell r="N23">
            <v>2027</v>
          </cell>
          <cell r="O23">
            <v>81.3</v>
          </cell>
          <cell r="P23">
            <v>92.46</v>
          </cell>
          <cell r="Q23">
            <v>93.29</v>
          </cell>
          <cell r="R23">
            <v>80.63</v>
          </cell>
          <cell r="S23">
            <v>88.77</v>
          </cell>
        </row>
        <row r="24">
          <cell r="N24">
            <v>2028</v>
          </cell>
          <cell r="O24">
            <v>82.37</v>
          </cell>
          <cell r="P24">
            <v>93.15</v>
          </cell>
          <cell r="Q24">
            <v>93.99</v>
          </cell>
          <cell r="R24">
            <v>81.73</v>
          </cell>
          <cell r="S24">
            <v>89.87</v>
          </cell>
        </row>
        <row r="25">
          <cell r="N25">
            <v>2029</v>
          </cell>
          <cell r="O25">
            <v>85.71</v>
          </cell>
          <cell r="P25">
            <v>96.45</v>
          </cell>
          <cell r="Q25">
            <v>97.28</v>
          </cell>
          <cell r="R25">
            <v>85.07</v>
          </cell>
          <cell r="S25">
            <v>93.21</v>
          </cell>
        </row>
        <row r="26">
          <cell r="N26">
            <v>2030</v>
          </cell>
          <cell r="O26">
            <v>87.73</v>
          </cell>
          <cell r="P26">
            <v>98.45</v>
          </cell>
          <cell r="Q26">
            <v>99.29</v>
          </cell>
          <cell r="R26">
            <v>87.05</v>
          </cell>
          <cell r="S26">
            <v>95.19</v>
          </cell>
        </row>
        <row r="27">
          <cell r="N27">
            <v>2031</v>
          </cell>
          <cell r="O27">
            <v>90.46</v>
          </cell>
          <cell r="P27">
            <v>101.19</v>
          </cell>
          <cell r="Q27">
            <v>102.03</v>
          </cell>
          <cell r="R27">
            <v>89.61</v>
          </cell>
          <cell r="S27">
            <v>97.75</v>
          </cell>
        </row>
        <row r="28">
          <cell r="N28">
            <v>2032</v>
          </cell>
          <cell r="O28">
            <v>92.92</v>
          </cell>
          <cell r="P28">
            <v>103.79</v>
          </cell>
          <cell r="Q28">
            <v>104.63</v>
          </cell>
          <cell r="R28">
            <v>92.31</v>
          </cell>
          <cell r="S28">
            <v>100.45</v>
          </cell>
        </row>
        <row r="29">
          <cell r="N29">
            <v>2033</v>
          </cell>
          <cell r="O29">
            <v>94.79</v>
          </cell>
          <cell r="P29">
            <v>105.79</v>
          </cell>
          <cell r="Q29">
            <v>106.62</v>
          </cell>
          <cell r="R29">
            <v>94.05</v>
          </cell>
          <cell r="S29">
            <v>102.19</v>
          </cell>
        </row>
        <row r="30">
          <cell r="N30">
            <v>2034</v>
          </cell>
          <cell r="O30">
            <v>96.43</v>
          </cell>
          <cell r="P30">
            <v>107.84</v>
          </cell>
          <cell r="Q30">
            <v>108.67</v>
          </cell>
          <cell r="R30">
            <v>95.62</v>
          </cell>
          <cell r="S30">
            <v>103.76</v>
          </cell>
        </row>
        <row r="31">
          <cell r="N31">
            <v>2035</v>
          </cell>
          <cell r="O31">
            <v>98.6</v>
          </cell>
          <cell r="P31">
            <v>110.26</v>
          </cell>
          <cell r="Q31">
            <v>111.1</v>
          </cell>
          <cell r="R31">
            <v>97.95</v>
          </cell>
          <cell r="S31">
            <v>106.09</v>
          </cell>
        </row>
        <row r="32">
          <cell r="N32">
            <v>2036</v>
          </cell>
          <cell r="O32">
            <v>101</v>
          </cell>
          <cell r="P32">
            <v>111.75</v>
          </cell>
          <cell r="Q32">
            <v>112.58</v>
          </cell>
          <cell r="R32">
            <v>100.27</v>
          </cell>
          <cell r="S32">
            <v>108.41</v>
          </cell>
        </row>
        <row r="33">
          <cell r="N33">
            <v>2037</v>
          </cell>
          <cell r="O33">
            <v>102.98</v>
          </cell>
          <cell r="P33">
            <v>113.77</v>
          </cell>
          <cell r="Q33">
            <v>114.6</v>
          </cell>
          <cell r="R33">
            <v>102.47</v>
          </cell>
          <cell r="S33">
            <v>110.61</v>
          </cell>
        </row>
        <row r="34">
          <cell r="N34">
            <v>2038</v>
          </cell>
          <cell r="O34">
            <v>105.9</v>
          </cell>
          <cell r="P34">
            <v>116.72</v>
          </cell>
          <cell r="Q34">
            <v>117.56</v>
          </cell>
          <cell r="R34">
            <v>105.8</v>
          </cell>
          <cell r="S34">
            <v>113.94</v>
          </cell>
        </row>
        <row r="36">
          <cell r="N36" t="str">
            <v>Cost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N37" t="str">
            <v>Rank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BLN-1</v>
          </cell>
          <cell r="C2">
            <v>35064</v>
          </cell>
          <cell r="D2">
            <v>1448.367</v>
          </cell>
          <cell r="E2">
            <v>48</v>
          </cell>
          <cell r="F2">
            <v>15</v>
          </cell>
        </row>
        <row r="3">
          <cell r="B3" t="str">
            <v>BLN-2</v>
          </cell>
          <cell r="C3">
            <v>13852</v>
          </cell>
          <cell r="D3">
            <v>155.80000000000001</v>
          </cell>
          <cell r="E3">
            <v>18.962354551676935</v>
          </cell>
          <cell r="F3">
            <v>4</v>
          </cell>
        </row>
        <row r="4">
          <cell r="B4" t="str">
            <v>CHE-1</v>
          </cell>
          <cell r="C4">
            <v>7272</v>
          </cell>
          <cell r="D4">
            <v>528</v>
          </cell>
          <cell r="E4">
            <v>9.9548254620123195</v>
          </cell>
          <cell r="F4">
            <v>27</v>
          </cell>
        </row>
        <row r="5">
          <cell r="B5" t="str">
            <v>CHE-2</v>
          </cell>
          <cell r="C5">
            <v>7272</v>
          </cell>
          <cell r="D5">
            <v>385.75</v>
          </cell>
          <cell r="E5">
            <v>9.9548254620123195</v>
          </cell>
          <cell r="F5">
            <v>19</v>
          </cell>
        </row>
        <row r="6">
          <cell r="B6" t="str">
            <v>CHE-3</v>
          </cell>
          <cell r="C6">
            <v>7272</v>
          </cell>
          <cell r="D6">
            <v>528</v>
          </cell>
          <cell r="E6">
            <v>9.9548254620123195</v>
          </cell>
          <cell r="F6">
            <v>27</v>
          </cell>
        </row>
        <row r="7">
          <cell r="B7" t="str">
            <v>CHO-4</v>
          </cell>
          <cell r="C7">
            <v>35064</v>
          </cell>
          <cell r="D7">
            <v>1449.6659999999999</v>
          </cell>
          <cell r="E7">
            <v>48</v>
          </cell>
          <cell r="F7">
            <v>15</v>
          </cell>
        </row>
        <row r="8">
          <cell r="B8" t="str">
            <v>COL-3</v>
          </cell>
          <cell r="C8">
            <v>35064</v>
          </cell>
          <cell r="D8">
            <v>1180.05</v>
          </cell>
          <cell r="E8">
            <v>48</v>
          </cell>
          <cell r="F8">
            <v>12</v>
          </cell>
        </row>
        <row r="9">
          <cell r="B9" t="str">
            <v>COL-4</v>
          </cell>
          <cell r="C9">
            <v>35064</v>
          </cell>
          <cell r="D9">
            <v>2394.1329999999998</v>
          </cell>
          <cell r="E9">
            <v>48</v>
          </cell>
          <cell r="F9">
            <v>25</v>
          </cell>
        </row>
        <row r="10">
          <cell r="B10" t="str">
            <v>CRB-1</v>
          </cell>
          <cell r="C10">
            <v>35064</v>
          </cell>
          <cell r="D10">
            <v>1021.482</v>
          </cell>
          <cell r="E10">
            <v>48</v>
          </cell>
          <cell r="F10">
            <v>11</v>
          </cell>
        </row>
        <row r="11">
          <cell r="B11" t="str">
            <v>CRB-2</v>
          </cell>
          <cell r="C11">
            <v>35064</v>
          </cell>
          <cell r="D11">
            <v>1533.415</v>
          </cell>
          <cell r="E11">
            <v>48</v>
          </cell>
          <cell r="F11">
            <v>16</v>
          </cell>
        </row>
        <row r="12">
          <cell r="B12" t="str">
            <v>CRG-1</v>
          </cell>
          <cell r="C12">
            <v>35064</v>
          </cell>
          <cell r="D12">
            <v>420.05</v>
          </cell>
          <cell r="E12">
            <v>48</v>
          </cell>
          <cell r="F12">
            <v>4</v>
          </cell>
        </row>
        <row r="13">
          <cell r="B13" t="str">
            <v>CRG-2</v>
          </cell>
          <cell r="C13">
            <v>35064</v>
          </cell>
          <cell r="D13">
            <v>513.5</v>
          </cell>
          <cell r="E13">
            <v>48</v>
          </cell>
          <cell r="F13">
            <v>5</v>
          </cell>
        </row>
        <row r="14">
          <cell r="B14" t="str">
            <v>CUR-1</v>
          </cell>
          <cell r="C14">
            <v>35064</v>
          </cell>
          <cell r="D14">
            <v>240.36699999999999</v>
          </cell>
          <cell r="E14">
            <v>48</v>
          </cell>
          <cell r="F14">
            <v>3</v>
          </cell>
        </row>
        <row r="15">
          <cell r="B15" t="str">
            <v>CUR-2</v>
          </cell>
          <cell r="C15">
            <v>35064</v>
          </cell>
          <cell r="D15">
            <v>578.53300000000002</v>
          </cell>
          <cell r="E15">
            <v>48</v>
          </cell>
          <cell r="F15">
            <v>6</v>
          </cell>
        </row>
        <row r="16">
          <cell r="B16" t="str">
            <v>CUR-3</v>
          </cell>
          <cell r="C16">
            <v>28727</v>
          </cell>
          <cell r="D16">
            <v>103.56699999999999</v>
          </cell>
          <cell r="E16">
            <v>39.325119780971939</v>
          </cell>
          <cell r="F16">
            <v>1.3169999999999999</v>
          </cell>
        </row>
        <row r="17">
          <cell r="B17" t="str">
            <v>DJ-1</v>
          </cell>
          <cell r="C17">
            <v>35064</v>
          </cell>
          <cell r="D17">
            <v>965.33299999999997</v>
          </cell>
          <cell r="E17">
            <v>48</v>
          </cell>
          <cell r="F17">
            <v>10</v>
          </cell>
        </row>
        <row r="18">
          <cell r="B18" t="str">
            <v>DJ-2</v>
          </cell>
          <cell r="C18">
            <v>35064</v>
          </cell>
          <cell r="D18">
            <v>1966.2159999999999</v>
          </cell>
          <cell r="E18">
            <v>48</v>
          </cell>
          <cell r="F18">
            <v>20</v>
          </cell>
        </row>
        <row r="19">
          <cell r="B19" t="str">
            <v>DJ-3</v>
          </cell>
          <cell r="C19">
            <v>35064</v>
          </cell>
          <cell r="D19">
            <v>0</v>
          </cell>
          <cell r="E19">
            <v>48</v>
          </cell>
          <cell r="F19">
            <v>0</v>
          </cell>
        </row>
        <row r="20">
          <cell r="B20" t="str">
            <v>DJ-4</v>
          </cell>
          <cell r="C20">
            <v>35064</v>
          </cell>
          <cell r="D20">
            <v>2179.9</v>
          </cell>
          <cell r="E20">
            <v>48</v>
          </cell>
          <cell r="F20">
            <v>23</v>
          </cell>
        </row>
        <row r="21">
          <cell r="B21" t="str">
            <v>GAD-1</v>
          </cell>
          <cell r="C21">
            <v>35064</v>
          </cell>
          <cell r="D21">
            <v>0</v>
          </cell>
          <cell r="E21">
            <v>48</v>
          </cell>
          <cell r="F21">
            <v>0</v>
          </cell>
        </row>
        <row r="22">
          <cell r="B22" t="str">
            <v>GAD-2</v>
          </cell>
          <cell r="C22">
            <v>35064</v>
          </cell>
          <cell r="D22">
            <v>2.0830000000000002</v>
          </cell>
          <cell r="E22">
            <v>48</v>
          </cell>
          <cell r="F22">
            <v>0</v>
          </cell>
        </row>
        <row r="23">
          <cell r="B23" t="str">
            <v>GAD-3</v>
          </cell>
          <cell r="C23">
            <v>35064</v>
          </cell>
          <cell r="D23">
            <v>0.5</v>
          </cell>
          <cell r="E23">
            <v>48</v>
          </cell>
          <cell r="F23">
            <v>0</v>
          </cell>
        </row>
        <row r="24">
          <cell r="B24" t="str">
            <v>GAD-4</v>
          </cell>
          <cell r="C24">
            <v>35064</v>
          </cell>
          <cell r="D24">
            <v>27.4</v>
          </cell>
          <cell r="E24">
            <v>48</v>
          </cell>
          <cell r="F24">
            <v>0</v>
          </cell>
        </row>
        <row r="25">
          <cell r="B25" t="str">
            <v>GAD-5</v>
          </cell>
          <cell r="C25">
            <v>35064</v>
          </cell>
          <cell r="D25">
            <v>29.617999999999999</v>
          </cell>
          <cell r="E25">
            <v>48</v>
          </cell>
          <cell r="F25">
            <v>0</v>
          </cell>
        </row>
        <row r="26">
          <cell r="B26" t="str">
            <v>GAD-6</v>
          </cell>
          <cell r="C26">
            <v>35064</v>
          </cell>
          <cell r="D26">
            <v>95</v>
          </cell>
          <cell r="E26">
            <v>48</v>
          </cell>
          <cell r="F26">
            <v>1</v>
          </cell>
        </row>
        <row r="27">
          <cell r="B27" t="str">
            <v>HDN-1</v>
          </cell>
          <cell r="C27">
            <v>35064</v>
          </cell>
          <cell r="D27">
            <v>2240.8159999999998</v>
          </cell>
          <cell r="E27">
            <v>48</v>
          </cell>
          <cell r="F27">
            <v>23</v>
          </cell>
        </row>
        <row r="28">
          <cell r="B28" t="str">
            <v>HDN-2</v>
          </cell>
          <cell r="C28">
            <v>35064</v>
          </cell>
          <cell r="D28">
            <v>1104.0840000000001</v>
          </cell>
          <cell r="E28">
            <v>48</v>
          </cell>
          <cell r="F28">
            <v>12</v>
          </cell>
        </row>
        <row r="29">
          <cell r="B29" t="str">
            <v>HRM-1</v>
          </cell>
          <cell r="C29">
            <v>35064</v>
          </cell>
          <cell r="D29">
            <v>2028.049</v>
          </cell>
          <cell r="E29">
            <v>48</v>
          </cell>
          <cell r="F29">
            <v>21</v>
          </cell>
        </row>
        <row r="30">
          <cell r="B30" t="str">
            <v>HRM-2</v>
          </cell>
          <cell r="C30">
            <v>35064</v>
          </cell>
          <cell r="D30">
            <v>1279.9829999999999</v>
          </cell>
          <cell r="E30">
            <v>48</v>
          </cell>
          <cell r="F30">
            <v>13</v>
          </cell>
        </row>
        <row r="31">
          <cell r="B31" t="str">
            <v>HTG-1</v>
          </cell>
          <cell r="C31">
            <v>35064</v>
          </cell>
          <cell r="D31">
            <v>1195.7670000000001</v>
          </cell>
          <cell r="E31">
            <v>48</v>
          </cell>
          <cell r="F31">
            <v>12</v>
          </cell>
        </row>
        <row r="32">
          <cell r="B32" t="str">
            <v>HTG-2</v>
          </cell>
          <cell r="C32">
            <v>35064</v>
          </cell>
          <cell r="D32">
            <v>1537.383</v>
          </cell>
          <cell r="E32">
            <v>48</v>
          </cell>
          <cell r="F32">
            <v>16</v>
          </cell>
        </row>
        <row r="33">
          <cell r="B33" t="str">
            <v>HTR-1</v>
          </cell>
          <cell r="C33">
            <v>35064</v>
          </cell>
          <cell r="D33">
            <v>0</v>
          </cell>
          <cell r="E33">
            <v>48</v>
          </cell>
          <cell r="F33">
            <v>0</v>
          </cell>
        </row>
        <row r="34">
          <cell r="B34" t="str">
            <v>HTR-2</v>
          </cell>
          <cell r="C34">
            <v>35064</v>
          </cell>
          <cell r="D34">
            <v>886.43299999999999</v>
          </cell>
          <cell r="E34">
            <v>48</v>
          </cell>
          <cell r="F34">
            <v>9</v>
          </cell>
        </row>
        <row r="35">
          <cell r="B35" t="str">
            <v>HTR-3</v>
          </cell>
          <cell r="C35">
            <v>35064</v>
          </cell>
          <cell r="D35">
            <v>1343.1669999999999</v>
          </cell>
          <cell r="E35">
            <v>48</v>
          </cell>
          <cell r="F35">
            <v>14</v>
          </cell>
        </row>
        <row r="36">
          <cell r="B36" t="str">
            <v>JB-1</v>
          </cell>
          <cell r="C36">
            <v>35064</v>
          </cell>
          <cell r="D36">
            <v>1027.7840000000001</v>
          </cell>
          <cell r="E36">
            <v>48</v>
          </cell>
          <cell r="F36">
            <v>11</v>
          </cell>
        </row>
        <row r="37">
          <cell r="B37" t="str">
            <v>JB-2</v>
          </cell>
          <cell r="C37">
            <v>35064</v>
          </cell>
          <cell r="D37">
            <v>1813.2339999999999</v>
          </cell>
          <cell r="E37">
            <v>48</v>
          </cell>
          <cell r="F37">
            <v>19</v>
          </cell>
        </row>
        <row r="38">
          <cell r="B38" t="str">
            <v>JB-3</v>
          </cell>
          <cell r="C38">
            <v>35064</v>
          </cell>
          <cell r="D38">
            <v>1487.25</v>
          </cell>
          <cell r="E38">
            <v>48</v>
          </cell>
          <cell r="F38">
            <v>15</v>
          </cell>
        </row>
        <row r="39">
          <cell r="B39" t="str">
            <v>JB-4</v>
          </cell>
          <cell r="C39">
            <v>35064</v>
          </cell>
          <cell r="D39">
            <v>1930.7159999999999</v>
          </cell>
          <cell r="E39">
            <v>48</v>
          </cell>
          <cell r="F39">
            <v>20</v>
          </cell>
        </row>
        <row r="40">
          <cell r="B40" t="str">
            <v>LMT-1</v>
          </cell>
          <cell r="C40">
            <v>35064</v>
          </cell>
          <cell r="D40">
            <v>1629.3330000000001</v>
          </cell>
          <cell r="E40">
            <v>48</v>
          </cell>
          <cell r="F40">
            <v>17</v>
          </cell>
        </row>
        <row r="41">
          <cell r="B41" t="str">
            <v>LS-1</v>
          </cell>
          <cell r="C41">
            <v>15889</v>
          </cell>
          <cell r="D41">
            <v>573.93299999999999</v>
          </cell>
          <cell r="E41">
            <v>21.750855578370977</v>
          </cell>
          <cell r="F41">
            <v>13</v>
          </cell>
        </row>
        <row r="42">
          <cell r="B42" t="str">
            <v>LS-2</v>
          </cell>
          <cell r="C42">
            <v>15889</v>
          </cell>
          <cell r="D42">
            <v>574.86699999999996</v>
          </cell>
          <cell r="E42">
            <v>21.750855578370977</v>
          </cell>
          <cell r="F42">
            <v>13</v>
          </cell>
        </row>
        <row r="43">
          <cell r="B43" t="str">
            <v>LS-3</v>
          </cell>
          <cell r="C43">
            <v>15889</v>
          </cell>
          <cell r="D43">
            <v>594.01700000000005</v>
          </cell>
          <cell r="E43">
            <v>21.750855578370977</v>
          </cell>
          <cell r="F43">
            <v>13.66</v>
          </cell>
        </row>
        <row r="44">
          <cell r="B44" t="str">
            <v>NTN-1</v>
          </cell>
          <cell r="C44">
            <v>35064</v>
          </cell>
          <cell r="D44">
            <v>839.73400000000004</v>
          </cell>
          <cell r="E44">
            <v>48</v>
          </cell>
          <cell r="F44">
            <v>9</v>
          </cell>
        </row>
        <row r="45">
          <cell r="B45" t="str">
            <v>NTN-2</v>
          </cell>
          <cell r="C45">
            <v>35064</v>
          </cell>
          <cell r="D45">
            <v>1353.8330000000001</v>
          </cell>
          <cell r="E45">
            <v>48</v>
          </cell>
          <cell r="F45">
            <v>14</v>
          </cell>
        </row>
        <row r="46">
          <cell r="B46" t="str">
            <v>NTN-3</v>
          </cell>
          <cell r="C46">
            <v>35064</v>
          </cell>
          <cell r="D46">
            <v>1879.133</v>
          </cell>
          <cell r="E46">
            <v>48</v>
          </cell>
          <cell r="F46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 t="str">
            <v>BLN-1</v>
          </cell>
          <cell r="F4">
            <v>315.08299999999997</v>
          </cell>
        </row>
        <row r="5">
          <cell r="E5" t="str">
            <v>BLN-2</v>
          </cell>
          <cell r="F5">
            <v>146</v>
          </cell>
        </row>
        <row r="6">
          <cell r="E6" t="str">
            <v>CHO-4</v>
          </cell>
          <cell r="F6">
            <v>18104.733</v>
          </cell>
        </row>
        <row r="7">
          <cell r="E7" t="str">
            <v>CRB-1</v>
          </cell>
          <cell r="F7">
            <v>459.25</v>
          </cell>
        </row>
        <row r="8">
          <cell r="E8" t="str">
            <v>CRB-2</v>
          </cell>
          <cell r="F8">
            <v>1830.5</v>
          </cell>
        </row>
        <row r="9">
          <cell r="E9" t="str">
            <v>DJ-1</v>
          </cell>
          <cell r="F9">
            <v>1562</v>
          </cell>
        </row>
        <row r="10">
          <cell r="E10" t="str">
            <v>DJ-2</v>
          </cell>
          <cell r="F10">
            <v>1820.2660000000001</v>
          </cell>
        </row>
        <row r="11">
          <cell r="E11" t="str">
            <v>DJ-3</v>
          </cell>
          <cell r="F11">
            <v>8644</v>
          </cell>
        </row>
        <row r="12">
          <cell r="E12" t="str">
            <v>DJ-4</v>
          </cell>
          <cell r="F12">
            <v>22632</v>
          </cell>
        </row>
        <row r="13">
          <cell r="E13" t="str">
            <v>GAD-1</v>
          </cell>
          <cell r="F13">
            <v>96219</v>
          </cell>
        </row>
        <row r="14">
          <cell r="E14" t="str">
            <v>GAD-2</v>
          </cell>
          <cell r="F14">
            <v>191060.15</v>
          </cell>
        </row>
        <row r="15">
          <cell r="E15" t="str">
            <v>GAD-3</v>
          </cell>
          <cell r="F15">
            <v>317129.5</v>
          </cell>
        </row>
        <row r="16">
          <cell r="E16" t="str">
            <v>HTG-1</v>
          </cell>
          <cell r="F16">
            <v>27916.15</v>
          </cell>
        </row>
        <row r="17">
          <cell r="E17" t="str">
            <v>HTG-2</v>
          </cell>
          <cell r="F17">
            <v>25690.05</v>
          </cell>
        </row>
        <row r="18">
          <cell r="E18" t="str">
            <v>HTR-1</v>
          </cell>
          <cell r="F18">
            <v>7797.5</v>
          </cell>
        </row>
        <row r="19">
          <cell r="E19" t="str">
            <v>HTR-2</v>
          </cell>
          <cell r="F19">
            <v>9969.8330000000005</v>
          </cell>
        </row>
        <row r="20">
          <cell r="E20" t="str">
            <v>HTR-3</v>
          </cell>
          <cell r="F20">
            <v>7670</v>
          </cell>
        </row>
        <row r="21">
          <cell r="E21" t="str">
            <v>JB-1</v>
          </cell>
          <cell r="F21">
            <v>26496.532999999999</v>
          </cell>
        </row>
        <row r="22">
          <cell r="E22" t="str">
            <v>JB-2</v>
          </cell>
          <cell r="F22">
            <v>22340.783000000003</v>
          </cell>
        </row>
        <row r="23">
          <cell r="E23" t="str">
            <v>JB-3</v>
          </cell>
          <cell r="F23">
            <v>22452.367000000002</v>
          </cell>
        </row>
        <row r="24">
          <cell r="E24" t="str">
            <v>JB-4</v>
          </cell>
          <cell r="F24">
            <v>25991.617000000002</v>
          </cell>
        </row>
        <row r="25">
          <cell r="E25" t="str">
            <v>NTN-1</v>
          </cell>
          <cell r="F25">
            <v>730</v>
          </cell>
        </row>
        <row r="26">
          <cell r="E26" t="str">
            <v>NTN-2</v>
          </cell>
          <cell r="F26">
            <v>4928</v>
          </cell>
        </row>
        <row r="27">
          <cell r="E27" t="str">
            <v>NTN-3</v>
          </cell>
          <cell r="F27">
            <v>10423</v>
          </cell>
        </row>
        <row r="28">
          <cell r="E28" t="str">
            <v>WYO-1</v>
          </cell>
          <cell r="F28">
            <v>32758.933000000001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3025.0413250027254</v>
          </cell>
          <cell r="P46">
            <v>744.49554563902848</v>
          </cell>
        </row>
        <row r="47">
          <cell r="O47">
            <v>3904.3023870961438</v>
          </cell>
          <cell r="P47">
            <v>844.88293115036322</v>
          </cell>
        </row>
        <row r="48">
          <cell r="O48">
            <v>3655.1897547943126</v>
          </cell>
          <cell r="P48">
            <v>730.2564597816322</v>
          </cell>
        </row>
        <row r="49">
          <cell r="O49">
            <v>4277.4096388797607</v>
          </cell>
          <cell r="P49">
            <v>784.80606826231292</v>
          </cell>
        </row>
        <row r="50">
          <cell r="O50">
            <v>4279.8120594610527</v>
          </cell>
          <cell r="P50">
            <v>1176.0972457535763</v>
          </cell>
        </row>
        <row r="51">
          <cell r="O51">
            <v>5114.9181008181349</v>
          </cell>
          <cell r="P51">
            <v>0</v>
          </cell>
        </row>
        <row r="52">
          <cell r="O52">
            <v>4512.543831076423</v>
          </cell>
          <cell r="P52">
            <v>774.36468203911932</v>
          </cell>
        </row>
        <row r="53">
          <cell r="O53">
            <v>5039.2226854993696</v>
          </cell>
          <cell r="P53">
            <v>339.26122832933311</v>
          </cell>
        </row>
        <row r="54">
          <cell r="O54">
            <v>5061.7082349139218</v>
          </cell>
          <cell r="P54">
            <v>377.29917088717667</v>
          </cell>
        </row>
        <row r="55">
          <cell r="O55">
            <v>3882.5762077571931</v>
          </cell>
          <cell r="P55">
            <v>898.22770798323859</v>
          </cell>
        </row>
        <row r="56">
          <cell r="O56">
            <v>4565.0188347113644</v>
          </cell>
          <cell r="P56">
            <v>857.09047648054752</v>
          </cell>
        </row>
        <row r="57">
          <cell r="O57">
            <v>6720.6512756509828</v>
          </cell>
          <cell r="P57">
            <v>832.73633203599547</v>
          </cell>
        </row>
      </sheetData>
      <sheetData sheetId="25">
        <row r="66">
          <cell r="H66">
            <v>5219</v>
          </cell>
        </row>
        <row r="67">
          <cell r="H67">
            <v>5703</v>
          </cell>
        </row>
        <row r="68">
          <cell r="H68">
            <v>7580</v>
          </cell>
        </row>
        <row r="69">
          <cell r="H69">
            <v>8174</v>
          </cell>
        </row>
        <row r="70">
          <cell r="H70">
            <v>7582</v>
          </cell>
        </row>
        <row r="71">
          <cell r="H71">
            <v>8396</v>
          </cell>
        </row>
        <row r="72">
          <cell r="H72">
            <v>6758</v>
          </cell>
        </row>
        <row r="73">
          <cell r="H73">
            <v>7054</v>
          </cell>
        </row>
        <row r="74">
          <cell r="H74">
            <v>7504</v>
          </cell>
        </row>
        <row r="75">
          <cell r="H75">
            <v>6912</v>
          </cell>
        </row>
        <row r="76">
          <cell r="H76">
            <v>8399</v>
          </cell>
        </row>
        <row r="77">
          <cell r="H77">
            <v>6833</v>
          </cell>
        </row>
      </sheetData>
      <sheetData sheetId="26"/>
      <sheetData sheetId="2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>
        <row r="2">
          <cell r="C2">
            <v>41640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63 Page 1"/>
      <sheetName val="Exhibit 63 Page 2"/>
      <sheetName val="Exhibit 64"/>
      <sheetName val="Exhibit 64 Page 5"/>
      <sheetName val="Exhibit 65"/>
      <sheetName val="BACKUP====&gt;"/>
      <sheetName val="Exh 64 (Network)"/>
      <sheetName val="Rate Base for Network Upgrades"/>
      <sheetName val="Exh 64 (Trans)"/>
      <sheetName val="NPC and Cost Rollup (Trans)"/>
      <sheetName val="Rate Base for Transmission"/>
      <sheetName val="Exh 64 (Wind)"/>
      <sheetName val="NPC and Cost Rollup (Wind)"/>
      <sheetName val="Rate Base for Wind"/>
      <sheetName val="NPC Savin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6">
          <cell r="B6">
            <v>0.12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39813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2"/>
  <sheetViews>
    <sheetView tabSelected="1" view="pageBreakPreview" zoomScale="75" zoomScaleNormal="75" zoomScaleSheetLayoutView="75" workbookViewId="0">
      <selection activeCell="K15" sqref="K15"/>
    </sheetView>
  </sheetViews>
  <sheetFormatPr defaultColWidth="9" defaultRowHeight="15.75"/>
  <cols>
    <col min="1" max="1" width="4.625" style="128" customWidth="1"/>
    <col min="2" max="2" width="0.625" style="128" customWidth="1"/>
    <col min="3" max="3" width="39.375" style="128" customWidth="1"/>
    <col min="4" max="4" width="0.625" style="134" customWidth="1"/>
    <col min="5" max="5" width="7.125" style="128" bestFit="1" customWidth="1"/>
    <col min="6" max="6" width="0.625" style="134" customWidth="1"/>
    <col min="7" max="7" width="10.625" style="134" bestFit="1" customWidth="1"/>
    <col min="8" max="8" width="0.625" style="134" customWidth="1"/>
    <col min="9" max="9" width="12.125" style="134" bestFit="1" customWidth="1"/>
    <col min="10" max="10" width="0.625" style="134" customWidth="1"/>
    <col min="11" max="11" width="11.375" style="134" bestFit="1" customWidth="1"/>
    <col min="12" max="12" width="0.625" style="134" customWidth="1"/>
    <col min="13" max="13" width="11" style="134" bestFit="1" customWidth="1"/>
    <col min="14" max="14" width="0.625" style="134" customWidth="1"/>
    <col min="15" max="15" width="6.125" style="135" bestFit="1" customWidth="1"/>
    <col min="16" max="16" width="0.625" style="134" customWidth="1"/>
    <col min="17" max="17" width="9.125" style="128" customWidth="1"/>
    <col min="18" max="18" width="1.125" style="128" customWidth="1"/>
    <col min="19" max="19" width="9.125" style="128" customWidth="1"/>
    <col min="20" max="20" width="0.875" style="365" customWidth="1"/>
    <col min="21" max="21" width="9.125" style="128" customWidth="1"/>
    <col min="22" max="22" width="1.125" style="128" customWidth="1"/>
    <col min="23" max="23" width="9.125" style="128" customWidth="1"/>
    <col min="24" max="24" width="5.625" style="128" customWidth="1"/>
    <col min="25" max="25" width="11.625" style="128" bestFit="1" customWidth="1"/>
    <col min="26" max="16384" width="9" style="128"/>
  </cols>
  <sheetData>
    <row r="1" spans="1:25">
      <c r="A1" s="124" t="s">
        <v>197</v>
      </c>
      <c r="B1" s="124"/>
      <c r="C1" s="124"/>
      <c r="D1" s="125"/>
      <c r="E1" s="124"/>
      <c r="F1" s="125"/>
      <c r="G1" s="125"/>
      <c r="H1" s="125"/>
      <c r="I1" s="125"/>
      <c r="J1" s="125"/>
      <c r="K1" s="126"/>
      <c r="L1" s="125"/>
      <c r="M1" s="126"/>
      <c r="N1" s="125"/>
      <c r="O1" s="127"/>
      <c r="P1" s="125"/>
      <c r="Q1" s="131"/>
      <c r="R1" s="131"/>
      <c r="S1" s="131"/>
      <c r="T1" s="131"/>
      <c r="U1" s="131"/>
      <c r="V1" s="131"/>
      <c r="W1" s="131"/>
    </row>
    <row r="2" spans="1:25" s="17" customFormat="1">
      <c r="A2" s="124" t="s">
        <v>121</v>
      </c>
      <c r="B2" s="129"/>
      <c r="C2" s="129"/>
      <c r="D2" s="129"/>
      <c r="E2" s="129"/>
      <c r="F2" s="129"/>
      <c r="G2" s="240"/>
      <c r="H2" s="129"/>
      <c r="I2" s="129"/>
      <c r="J2" s="129"/>
      <c r="K2" s="129"/>
      <c r="L2" s="129"/>
      <c r="M2" s="129"/>
      <c r="N2" s="129"/>
      <c r="O2" s="130"/>
      <c r="P2" s="129"/>
      <c r="Q2" s="129"/>
      <c r="R2" s="129"/>
      <c r="S2" s="129"/>
      <c r="T2" s="129"/>
      <c r="U2" s="129"/>
      <c r="V2" s="129"/>
      <c r="W2" s="129"/>
    </row>
    <row r="3" spans="1:25" s="17" customFormat="1">
      <c r="A3" s="39" t="s">
        <v>168</v>
      </c>
      <c r="B3" s="129"/>
      <c r="C3" s="129"/>
      <c r="D3" s="129"/>
      <c r="E3" s="129"/>
      <c r="F3" s="129"/>
      <c r="G3" s="240"/>
      <c r="H3" s="129"/>
      <c r="I3" s="129"/>
      <c r="J3" s="129"/>
      <c r="K3" s="129"/>
      <c r="L3" s="129"/>
      <c r="M3" s="129"/>
      <c r="N3" s="129"/>
      <c r="O3" s="130"/>
      <c r="P3" s="129"/>
      <c r="Q3" s="129"/>
      <c r="R3" s="129"/>
      <c r="S3" s="129"/>
      <c r="T3" s="129"/>
      <c r="U3" s="129"/>
      <c r="V3" s="129"/>
      <c r="W3" s="129"/>
    </row>
    <row r="4" spans="1:25" s="17" customFormat="1">
      <c r="A4" s="124" t="s">
        <v>122</v>
      </c>
      <c r="B4" s="129"/>
      <c r="C4" s="129"/>
      <c r="D4" s="129"/>
      <c r="E4" s="129"/>
      <c r="F4" s="129"/>
      <c r="G4" s="240"/>
      <c r="H4" s="129"/>
      <c r="I4" s="129"/>
      <c r="J4" s="129"/>
      <c r="K4" s="129"/>
      <c r="L4" s="129"/>
      <c r="M4" s="129"/>
      <c r="N4" s="129"/>
      <c r="O4" s="130"/>
      <c r="P4" s="129"/>
      <c r="Q4" s="129"/>
      <c r="R4" s="129"/>
      <c r="S4" s="129"/>
      <c r="T4" s="129"/>
      <c r="U4" s="129"/>
      <c r="V4" s="129"/>
      <c r="W4" s="129"/>
    </row>
    <row r="5" spans="1:25" s="17" customFormat="1" ht="16.5">
      <c r="A5" s="202" t="s">
        <v>330</v>
      </c>
      <c r="B5" s="129"/>
      <c r="C5" s="129"/>
      <c r="D5" s="129"/>
      <c r="E5" s="129"/>
      <c r="F5" s="129"/>
      <c r="G5" s="240"/>
      <c r="H5" s="129"/>
      <c r="I5" s="129"/>
      <c r="J5" s="129"/>
      <c r="K5" s="129"/>
      <c r="L5" s="129"/>
      <c r="M5" s="129"/>
      <c r="N5" s="129"/>
      <c r="O5" s="130"/>
      <c r="P5" s="129"/>
      <c r="Q5" s="129"/>
      <c r="R5" s="129"/>
      <c r="S5" s="129"/>
      <c r="T5" s="129"/>
      <c r="U5" s="129"/>
      <c r="V5" s="129"/>
      <c r="W5" s="129"/>
    </row>
    <row r="6" spans="1:25">
      <c r="A6" s="124" t="s">
        <v>331</v>
      </c>
      <c r="B6" s="124"/>
      <c r="C6" s="124"/>
      <c r="D6" s="125"/>
      <c r="E6" s="124"/>
      <c r="F6" s="125"/>
      <c r="G6" s="125"/>
      <c r="H6" s="125"/>
      <c r="I6" s="125"/>
      <c r="J6" s="125"/>
      <c r="K6" s="126"/>
      <c r="L6" s="125"/>
      <c r="M6" s="126"/>
      <c r="N6" s="125"/>
      <c r="O6" s="127"/>
      <c r="P6" s="125"/>
      <c r="Q6" s="131"/>
      <c r="R6" s="131"/>
      <c r="S6" s="131"/>
      <c r="T6" s="131"/>
      <c r="U6" s="131"/>
      <c r="V6" s="131"/>
      <c r="W6" s="131"/>
    </row>
    <row r="7" spans="1:25" ht="10.5" customHeight="1">
      <c r="A7" s="124"/>
      <c r="B7" s="124"/>
      <c r="C7" s="124"/>
      <c r="D7" s="124"/>
      <c r="E7" s="124"/>
      <c r="F7" s="125"/>
      <c r="G7" s="124"/>
      <c r="H7" s="125"/>
      <c r="I7" s="125"/>
      <c r="J7" s="125"/>
      <c r="K7" s="125"/>
      <c r="L7" s="125"/>
      <c r="M7" s="126"/>
      <c r="N7" s="125"/>
      <c r="O7" s="126"/>
      <c r="P7" s="125"/>
      <c r="Q7" s="127"/>
      <c r="R7" s="127"/>
      <c r="S7" s="127"/>
      <c r="T7" s="366"/>
      <c r="U7" s="127"/>
      <c r="V7" s="127"/>
      <c r="W7" s="127"/>
      <c r="X7" s="125"/>
    </row>
    <row r="8" spans="1:25">
      <c r="D8" s="132"/>
      <c r="F8" s="132"/>
      <c r="G8" s="133"/>
      <c r="H8" s="132"/>
      <c r="J8" s="132"/>
      <c r="L8" s="132"/>
      <c r="P8" s="132"/>
    </row>
    <row r="9" spans="1:25">
      <c r="D9" s="133"/>
      <c r="E9" s="136"/>
      <c r="F9" s="133"/>
      <c r="G9" s="133" t="s">
        <v>198</v>
      </c>
      <c r="H9" s="133"/>
      <c r="I9" s="133"/>
      <c r="J9" s="133"/>
      <c r="K9" s="137" t="s">
        <v>183</v>
      </c>
      <c r="L9" s="35"/>
      <c r="M9" s="137" t="s">
        <v>184</v>
      </c>
      <c r="N9" s="342"/>
      <c r="O9" s="343"/>
      <c r="P9" s="363"/>
      <c r="Q9" s="137" t="s">
        <v>369</v>
      </c>
      <c r="R9" s="342"/>
      <c r="S9" s="343"/>
      <c r="T9" s="367"/>
      <c r="U9" s="137" t="s">
        <v>370</v>
      </c>
      <c r="V9" s="342"/>
      <c r="W9" s="343"/>
    </row>
    <row r="10" spans="1:25" s="139" customFormat="1">
      <c r="A10" s="139" t="s">
        <v>123</v>
      </c>
      <c r="D10" s="133"/>
      <c r="E10" s="136" t="s">
        <v>124</v>
      </c>
      <c r="F10" s="133"/>
      <c r="G10" s="140" t="s">
        <v>23</v>
      </c>
      <c r="H10" s="133"/>
      <c r="I10" s="133" t="s">
        <v>199</v>
      </c>
      <c r="J10" s="140"/>
      <c r="K10" s="137" t="s">
        <v>2</v>
      </c>
      <c r="L10" s="38"/>
      <c r="M10" s="137" t="s">
        <v>365</v>
      </c>
      <c r="N10" s="137"/>
      <c r="O10" s="138"/>
      <c r="P10" s="38"/>
      <c r="Q10" s="137" t="s">
        <v>368</v>
      </c>
      <c r="R10" s="137"/>
      <c r="S10" s="138"/>
      <c r="T10" s="368"/>
      <c r="U10" s="137" t="s">
        <v>125</v>
      </c>
      <c r="V10" s="137"/>
      <c r="W10" s="138"/>
    </row>
    <row r="11" spans="1:25" s="139" customFormat="1">
      <c r="A11" s="139" t="s">
        <v>126</v>
      </c>
      <c r="C11" s="136" t="s">
        <v>127</v>
      </c>
      <c r="E11" s="141" t="s">
        <v>126</v>
      </c>
      <c r="G11" s="142" t="s">
        <v>128</v>
      </c>
      <c r="I11" s="142" t="s">
        <v>128</v>
      </c>
      <c r="K11" s="37" t="s">
        <v>129</v>
      </c>
      <c r="L11" s="38"/>
      <c r="M11" s="37" t="s">
        <v>129</v>
      </c>
      <c r="N11" s="38"/>
      <c r="O11" s="143" t="s">
        <v>200</v>
      </c>
      <c r="P11" s="38"/>
      <c r="Q11" s="37" t="s">
        <v>129</v>
      </c>
      <c r="R11" s="38"/>
      <c r="S11" s="143" t="s">
        <v>200</v>
      </c>
      <c r="T11" s="364"/>
      <c r="U11" s="37" t="s">
        <v>129</v>
      </c>
      <c r="V11" s="38"/>
      <c r="W11" s="143" t="s">
        <v>200</v>
      </c>
    </row>
    <row r="12" spans="1:25" s="139" customFormat="1">
      <c r="C12" s="18">
        <v>-1</v>
      </c>
      <c r="D12" s="19"/>
      <c r="E12" s="18">
        <f>MIN($A12:D12)-1</f>
        <v>-2</v>
      </c>
      <c r="F12" s="19"/>
      <c r="G12" s="19">
        <f>MIN($A12:F12)-1</f>
        <v>-3</v>
      </c>
      <c r="H12" s="19"/>
      <c r="I12" s="18">
        <f>MIN($A12:H12)-1</f>
        <v>-4</v>
      </c>
      <c r="J12" s="19"/>
      <c r="K12" s="18">
        <f>MIN($A12:J12)-1</f>
        <v>-5</v>
      </c>
      <c r="L12" s="19"/>
      <c r="M12" s="18">
        <f>MIN($A12:L12)-1</f>
        <v>-6</v>
      </c>
      <c r="N12" s="19"/>
      <c r="O12" s="18">
        <f>MIN($A12:N12)-1</f>
        <v>-7</v>
      </c>
      <c r="P12" s="19"/>
      <c r="Q12" s="18">
        <f>MIN($A12:P12)-1</f>
        <v>-8</v>
      </c>
      <c r="R12" s="19"/>
      <c r="S12" s="18">
        <f>MIN($A12:R12)-1</f>
        <v>-9</v>
      </c>
      <c r="T12" s="18"/>
      <c r="U12" s="18">
        <f>MIN($A12:T12)-1</f>
        <v>-10</v>
      </c>
      <c r="V12" s="19"/>
      <c r="W12" s="18">
        <f>MIN($A12:V12)-1</f>
        <v>-11</v>
      </c>
      <c r="Y12" s="136" t="s">
        <v>363</v>
      </c>
    </row>
    <row r="13" spans="1:25" s="139" customFormat="1">
      <c r="D13" s="144"/>
      <c r="F13" s="144"/>
      <c r="G13" s="144"/>
      <c r="H13" s="144"/>
      <c r="I13" s="144"/>
      <c r="J13" s="144"/>
      <c r="K13" s="144"/>
      <c r="L13" s="144"/>
      <c r="M13" s="144"/>
      <c r="N13" s="38"/>
      <c r="O13" s="344" t="str">
        <f>"(" &amp; -M12 &amp; ")/(" &amp; -K12 &amp; ")"</f>
        <v>(6)/(5)</v>
      </c>
      <c r="P13" s="144"/>
      <c r="Q13" s="144"/>
      <c r="R13" s="38"/>
      <c r="S13" s="344" t="str">
        <f>"(" &amp; -Q12 &amp; ")/(" &amp; -K12 &amp; ")"</f>
        <v>(8)/(5)</v>
      </c>
      <c r="T13" s="344"/>
      <c r="U13" s="133" t="str">
        <f>"(" &amp; -M12 &amp; ")+(" &amp; -Q12 &amp; ")"</f>
        <v>(6)+(8)</v>
      </c>
      <c r="V13" s="38"/>
      <c r="W13" s="344" t="str">
        <f>"(" &amp; -U12 &amp; ")/(" &amp; -K12 &amp; ")"</f>
        <v>(10)/(5)</v>
      </c>
      <c r="Y13" s="136" t="s">
        <v>364</v>
      </c>
    </row>
    <row r="14" spans="1:25">
      <c r="C14" s="139" t="s">
        <v>130</v>
      </c>
      <c r="Q14" s="134"/>
      <c r="R14" s="134"/>
      <c r="S14" s="135"/>
      <c r="T14" s="366"/>
      <c r="U14" s="134"/>
      <c r="V14" s="134"/>
      <c r="W14" s="135"/>
      <c r="Y14" s="136" t="s">
        <v>174</v>
      </c>
    </row>
    <row r="15" spans="1:25">
      <c r="A15" s="128">
        <v>1</v>
      </c>
      <c r="C15" s="128" t="s">
        <v>130</v>
      </c>
      <c r="E15" s="145" t="s">
        <v>131</v>
      </c>
      <c r="G15" s="20">
        <v>857245</v>
      </c>
      <c r="I15" s="20">
        <v>6776607.1933199447</v>
      </c>
      <c r="J15" s="22"/>
      <c r="K15" s="21">
        <f>SUM('Exhibit-RMP(RMM-3) pg 3-21'!G28,'Exhibit-RMP(RMM-3) pg 3-21'!G90,'Exhibit-RMP(RMM-3) pg 3-21'!G111,'Exhibit-RMP(RMM-3) pg 3-21'!G132)/1000</f>
        <v>749388.55500000005</v>
      </c>
      <c r="L15" s="22"/>
      <c r="M15" s="21">
        <f>SUM('Exhibit-RMP(RMM-3) pg 3-21'!O28,'Exhibit-RMP(RMM-3) pg 3-21'!O90,'Exhibit-RMP(RMM-3) pg 3-21'!O111,'Exhibit-RMP(RMM-3) pg 3-21'!O132)/1000</f>
        <v>3989</v>
      </c>
      <c r="N15" s="22"/>
      <c r="O15" s="146">
        <f>M15/K15</f>
        <v>5.3230063007834432E-3</v>
      </c>
      <c r="P15" s="22"/>
      <c r="Q15" s="21">
        <f>-SUM('Exhibit-RMP(RMM-3) pg 3-21'!K28,'Exhibit-RMP(RMM-3) pg 3-21'!K90,'Exhibit-RMP(RMM-3) pg 3-21'!K111,'Exhibit-RMP(RMM-3) pg 3-21'!K132)/1000</f>
        <v>-3802.944</v>
      </c>
      <c r="R15" s="22"/>
      <c r="S15" s="146">
        <f>Q15/K15</f>
        <v>-5.0747292237469516E-3</v>
      </c>
      <c r="T15" s="369"/>
      <c r="U15" s="21">
        <f>M15+Q15</f>
        <v>186.05600000000004</v>
      </c>
      <c r="V15" s="22"/>
      <c r="W15" s="146">
        <f>U15/K15</f>
        <v>2.4827707703649148E-4</v>
      </c>
      <c r="Y15" s="354">
        <f>M15-'Exhibit-RMP(RMM-3) page 2'!K15</f>
        <v>-4.301051290030955E-2</v>
      </c>
    </row>
    <row r="16" spans="1:25">
      <c r="A16" s="128">
        <f>MAX(A$14:A15)+1</f>
        <v>2</v>
      </c>
      <c r="C16" s="128" t="s">
        <v>132</v>
      </c>
      <c r="E16" s="152" t="s">
        <v>342</v>
      </c>
      <c r="G16" s="20">
        <v>623</v>
      </c>
      <c r="I16" s="20">
        <v>6392.1840452160832</v>
      </c>
      <c r="J16" s="22"/>
      <c r="K16" s="21">
        <f>SUM('Exhibit-RMP(RMM-3) pg 3-21'!G49,'Exhibit-RMP(RMM-3) pg 3-21'!G69)/1000</f>
        <v>618.27700000000004</v>
      </c>
      <c r="L16" s="22"/>
      <c r="M16" s="21">
        <f>SUM('Exhibit-RMP(RMM-3) pg 3-21'!O49,'Exhibit-RMP(RMM-3) pg 3-21'!O69)/1000</f>
        <v>3.335</v>
      </c>
      <c r="N16" s="22"/>
      <c r="O16" s="146">
        <f t="shared" ref="O16:O18" si="0">M16/K16</f>
        <v>5.3940224203714512E-3</v>
      </c>
      <c r="P16" s="22"/>
      <c r="Q16" s="21">
        <f>-SUM('Exhibit-RMP(RMM-3) pg 3-21'!K49,'Exhibit-RMP(RMM-3) pg 3-21'!K69)/1000</f>
        <v>-3.18</v>
      </c>
      <c r="R16" s="22"/>
      <c r="S16" s="146">
        <f>Q16/K16</f>
        <v>-5.1433257261712792E-3</v>
      </c>
      <c r="T16" s="369"/>
      <c r="U16" s="21">
        <f>M16+Q16</f>
        <v>0.1549999999999998</v>
      </c>
      <c r="V16" s="22"/>
      <c r="W16" s="146">
        <f>U16/K16</f>
        <v>2.5069669420017208E-4</v>
      </c>
      <c r="Y16" s="354">
        <f>M16-'Exhibit-RMP(RMM-3) page 2'!K16</f>
        <v>4.3872147892777935E-2</v>
      </c>
    </row>
    <row r="17" spans="1:29">
      <c r="A17" s="128">
        <f>MAX(A$14:A16)+1</f>
        <v>3</v>
      </c>
      <c r="C17" s="147" t="s">
        <v>133</v>
      </c>
      <c r="E17" s="148" t="s">
        <v>134</v>
      </c>
      <c r="G17" s="164"/>
      <c r="I17" s="149"/>
      <c r="J17" s="22"/>
      <c r="K17" s="23">
        <f>'Exhibit-RMP(RMM-3) pg 3-21'!G766/1000</f>
        <v>6.7950900000000622</v>
      </c>
      <c r="L17" s="22"/>
      <c r="M17" s="23"/>
      <c r="N17" s="22"/>
      <c r="O17" s="150"/>
      <c r="P17" s="22"/>
      <c r="Q17" s="23"/>
      <c r="R17" s="22"/>
      <c r="S17" s="150"/>
      <c r="T17" s="370"/>
      <c r="U17" s="23"/>
      <c r="V17" s="22"/>
      <c r="W17" s="150"/>
      <c r="Y17" s="354">
        <f>M17-'Exhibit-RMP(RMM-3) page 2'!K17</f>
        <v>0</v>
      </c>
    </row>
    <row r="18" spans="1:29">
      <c r="A18" s="128">
        <f>MAX(A$14:A17)+1</f>
        <v>4</v>
      </c>
      <c r="C18" s="139" t="s">
        <v>135</v>
      </c>
      <c r="G18" s="20">
        <v>857868</v>
      </c>
      <c r="I18" s="20">
        <v>6782999.3773651607</v>
      </c>
      <c r="J18" s="22"/>
      <c r="K18" s="21">
        <f>SUM(K15:K17)</f>
        <v>750013.62709000008</v>
      </c>
      <c r="L18" s="22"/>
      <c r="M18" s="21">
        <f>SUM(M15:M17)</f>
        <v>3992.335</v>
      </c>
      <c r="N18" s="22"/>
      <c r="O18" s="146">
        <f t="shared" si="0"/>
        <v>5.3230166170313174E-3</v>
      </c>
      <c r="P18" s="22"/>
      <c r="Q18" s="21">
        <f>SUM(Q15:Q17)</f>
        <v>-3806.1239999999998</v>
      </c>
      <c r="R18" s="22"/>
      <c r="S18" s="146">
        <f>Q18/K18</f>
        <v>-5.07473979475212E-3</v>
      </c>
      <c r="T18" s="369"/>
      <c r="U18" s="21">
        <f>M18+Q18</f>
        <v>186.21100000000024</v>
      </c>
      <c r="V18" s="22"/>
      <c r="W18" s="146">
        <f>U18/K18</f>
        <v>2.482768222791975E-4</v>
      </c>
      <c r="Y18" s="354">
        <f>M18-'Exhibit-RMP(RMM-3) page 2'!K18</f>
        <v>8.6163499236135976E-4</v>
      </c>
    </row>
    <row r="19" spans="1:29" ht="24.95" customHeight="1">
      <c r="C19" s="139" t="s">
        <v>136</v>
      </c>
      <c r="G19" s="20"/>
      <c r="I19" s="20"/>
      <c r="J19" s="22"/>
      <c r="K19" s="21"/>
      <c r="L19" s="22"/>
      <c r="M19" s="21"/>
      <c r="N19" s="22"/>
      <c r="O19" s="146"/>
      <c r="P19" s="22"/>
      <c r="Q19" s="21"/>
      <c r="R19" s="22"/>
      <c r="S19" s="146"/>
      <c r="T19" s="369"/>
      <c r="U19" s="21"/>
      <c r="V19" s="22"/>
      <c r="W19" s="146"/>
      <c r="Y19" s="354">
        <f>M19-'Exhibit-RMP(RMM-3) page 2'!K19</f>
        <v>0</v>
      </c>
    </row>
    <row r="20" spans="1:29">
      <c r="A20" s="128">
        <f>MAX(A$14:A19)+1</f>
        <v>5</v>
      </c>
      <c r="C20" s="128" t="s">
        <v>137</v>
      </c>
      <c r="E20" s="151">
        <v>6</v>
      </c>
      <c r="G20" s="20">
        <f>13514+16</f>
        <v>13530</v>
      </c>
      <c r="I20" s="20">
        <f>5786326.15829769+3380.691</f>
        <v>5789706.8492976893</v>
      </c>
      <c r="J20" s="22"/>
      <c r="K20" s="21">
        <f>SUM('Exhibit-RMP(RMM-3) pg 3-21'!G196,-'Exhibit-RMP(RMM-3) pg 3-21'!G208,'Exhibit-RMP(RMM-3) pg 3-21'!G222,-'Exhibit-RMP(RMM-3) pg 3-21'!G233,'Exhibit-RMP(RMM-3) pg 3-21'!G247,-'Exhibit-RMP(RMM-3) pg 3-21'!G258,'Exhibit-RMP(RMM-3) pg 3-21'!G146,'Exhibit-RMP(RMM-3) pg 3-21'!G158,'Exhibit-RMP(RMM-3) pg 3-21'!G170)/1000+SUM('Exhibit-RMP(RMM-3) pg 3-21'!G272,-'Exhibit-RMP(RMM-3) pg 3-21'!G283,'Exhibit-RMP(RMM-3) pg 3-21'!G182)/1000</f>
        <v>476830.033</v>
      </c>
      <c r="L20" s="22"/>
      <c r="M20" s="21">
        <f>SUM('Exhibit-RMP(RMM-3) pg 3-21'!O196,-'Exhibit-RMP(RMM-3) pg 3-21'!O208,'Exhibit-RMP(RMM-3) pg 3-21'!O222,-'Exhibit-RMP(RMM-3) pg 3-21'!O233,'Exhibit-RMP(RMM-3) pg 3-21'!O247,-'Exhibit-RMP(RMM-3) pg 3-21'!O258,'Exhibit-RMP(RMM-3) pg 3-21'!O146,'Exhibit-RMP(RMM-3) pg 3-21'!O158,'Exhibit-RMP(RMM-3) pg 3-21'!O170)/1000+SUM('Exhibit-RMP(RMM-3) pg 3-21'!O272,-'Exhibit-RMP(RMM-3) pg 3-21'!O283,'Exhibit-RMP(RMM-3) pg 3-21'!O182)/1000</f>
        <v>2538.1910000000003</v>
      </c>
      <c r="N20" s="22"/>
      <c r="O20" s="146">
        <f t="shared" ref="O20:O38" si="1">M20/K20</f>
        <v>5.3230518724478081E-3</v>
      </c>
      <c r="P20" s="22"/>
      <c r="Q20" s="21">
        <f>-SUM('Exhibit-RMP(RMM-3) pg 3-21'!K196,-'Exhibit-RMP(RMM-3) pg 3-21'!K208,'Exhibit-RMP(RMM-3) pg 3-21'!K222,-'Exhibit-RMP(RMM-3) pg 3-21'!K233,'Exhibit-RMP(RMM-3) pg 3-21'!K247,-'Exhibit-RMP(RMM-3) pg 3-21'!K258,'Exhibit-RMP(RMM-3) pg 3-21'!K146,'Exhibit-RMP(RMM-3) pg 3-21'!K158,'Exhibit-RMP(RMM-3) pg 3-21'!K170)/1000-SUM('Exhibit-RMP(RMM-3) pg 3-21'!K272,-'Exhibit-RMP(RMM-3) pg 3-21'!K283,'Exhibit-RMP(RMM-3) pg 3-21'!K182)/1000</f>
        <v>-2577.6770000000001</v>
      </c>
      <c r="R20" s="22"/>
      <c r="S20" s="146">
        <f t="shared" ref="S20:S38" si="2">Q20/K20</f>
        <v>-5.405861253710083E-3</v>
      </c>
      <c r="T20" s="369"/>
      <c r="U20" s="21">
        <f t="shared" ref="U20:U36" si="3">M20+Q20</f>
        <v>-39.485999999999876</v>
      </c>
      <c r="V20" s="22"/>
      <c r="W20" s="146">
        <f t="shared" ref="W20:W38" si="4">U20/K20</f>
        <v>-8.2809381262274382E-5</v>
      </c>
      <c r="Y20" s="354">
        <f>M20-'Exhibit-RMP(RMM-3) page 2'!K20</f>
        <v>-5.6373122492914263E-3</v>
      </c>
    </row>
    <row r="21" spans="1:29">
      <c r="A21" s="128">
        <f>MAX(A$14:A20)+1</f>
        <v>6</v>
      </c>
      <c r="C21" s="128" t="s">
        <v>138</v>
      </c>
      <c r="E21" s="152" t="s">
        <v>139</v>
      </c>
      <c r="G21" s="153">
        <f>2806+ROUND('Exhibit-RMP(RMM-3) pg 3-21'!C518/12,0)</f>
        <v>2807</v>
      </c>
      <c r="I21" s="153">
        <f>404017.650225809+'Exhibit-RMP(RMM-3) pg 3-21'!C528/1000</f>
        <v>404256.108225809</v>
      </c>
      <c r="J21" s="22"/>
      <c r="K21" s="23">
        <f>SUM('Exhibit-RMP(RMM-3) pg 3-21'!G298,'Exhibit-RMP(RMM-3) pg 3-21'!G311,'Exhibit-RMP(RMM-3) pg 3-21'!G528)/1000</f>
        <v>47103.563999999998</v>
      </c>
      <c r="L21" s="22"/>
      <c r="M21" s="23">
        <f>SUM('Exhibit-RMP(RMM-3) pg 3-21'!O298,'Exhibit-RMP(RMM-3) pg 3-21'!O311,'Exhibit-RMP(RMM-3) pg 3-21'!O528)/1000</f>
        <v>250.73599999999999</v>
      </c>
      <c r="N21" s="22"/>
      <c r="O21" s="150">
        <f t="shared" si="1"/>
        <v>5.3230791623325993E-3</v>
      </c>
      <c r="P21" s="22"/>
      <c r="Q21" s="23">
        <f>-SUM('Exhibit-RMP(RMM-3) pg 3-21'!K298,'Exhibit-RMP(RMM-3) pg 3-21'!K311,'Exhibit-RMP(RMM-3) pg 3-21'!K528)/1000</f>
        <v>-253.78399999999999</v>
      </c>
      <c r="R21" s="22"/>
      <c r="S21" s="150">
        <f t="shared" si="2"/>
        <v>-5.3877876417164523E-3</v>
      </c>
      <c r="T21" s="370"/>
      <c r="U21" s="23">
        <f t="shared" si="3"/>
        <v>-3.0480000000000018</v>
      </c>
      <c r="V21" s="22"/>
      <c r="W21" s="150">
        <f t="shared" si="4"/>
        <v>-6.4708479383853039E-5</v>
      </c>
      <c r="Y21" s="354">
        <f>M21-'Exhibit-RMP(RMM-3) page 2'!K21</f>
        <v>7.2857001791248877E-4</v>
      </c>
    </row>
    <row r="22" spans="1:29">
      <c r="A22" s="128">
        <f>MAX(A$14:A21)+1</f>
        <v>7</v>
      </c>
      <c r="C22" s="154" t="s">
        <v>140</v>
      </c>
      <c r="G22" s="20">
        <f>SUM(G20:G21)</f>
        <v>16337</v>
      </c>
      <c r="I22" s="20">
        <f>SUM(I20:I21)</f>
        <v>6193962.9575234987</v>
      </c>
      <c r="J22" s="22"/>
      <c r="K22" s="21">
        <f>SUM(K20:K21)</f>
        <v>523933.59700000001</v>
      </c>
      <c r="L22" s="22"/>
      <c r="M22" s="21">
        <f>SUM(M20:M21)</f>
        <v>2788.9270000000001</v>
      </c>
      <c r="N22" s="22"/>
      <c r="O22" s="146">
        <f t="shared" si="1"/>
        <v>5.3230543259091666E-3</v>
      </c>
      <c r="P22" s="22"/>
      <c r="Q22" s="21">
        <f>SUM(Q20:Q21)</f>
        <v>-2831.4610000000002</v>
      </c>
      <c r="R22" s="22"/>
      <c r="S22" s="146">
        <f t="shared" si="2"/>
        <v>-5.4042363692893705E-3</v>
      </c>
      <c r="T22" s="369"/>
      <c r="U22" s="21">
        <f t="shared" si="3"/>
        <v>-42.534000000000106</v>
      </c>
      <c r="V22" s="22"/>
      <c r="W22" s="146">
        <f t="shared" si="4"/>
        <v>-8.1182043380203587E-5</v>
      </c>
      <c r="Y22" s="354">
        <f>M22-'Exhibit-RMP(RMM-3) page 2'!K22</f>
        <v>-4.9087422316915763E-3</v>
      </c>
    </row>
    <row r="23" spans="1:29" ht="21.95" customHeight="1">
      <c r="A23" s="128">
        <f>MAX(A$14:A22)+1</f>
        <v>8</v>
      </c>
      <c r="C23" s="147" t="s">
        <v>141</v>
      </c>
      <c r="E23" s="152">
        <v>8</v>
      </c>
      <c r="F23" s="20"/>
      <c r="G23" s="20">
        <v>249</v>
      </c>
      <c r="I23" s="20">
        <v>2020703.4442505348</v>
      </c>
      <c r="J23" s="22"/>
      <c r="K23" s="24">
        <f>SUM('Exhibit-RMP(RMM-3) pg 3-21'!G330,'Exhibit-RMP(RMM-3) pg 3-21'!G342)/1000</f>
        <v>148125.87700000001</v>
      </c>
      <c r="L23" s="22"/>
      <c r="M23" s="24">
        <f>SUM('Exhibit-RMP(RMM-3) pg 3-21'!O330,'Exhibit-RMP(RMM-3) pg 3-21'!O342)/1000</f>
        <v>788.48500000000001</v>
      </c>
      <c r="N23" s="22"/>
      <c r="O23" s="146">
        <f t="shared" si="1"/>
        <v>5.3230739690405338E-3</v>
      </c>
      <c r="P23" s="22"/>
      <c r="Q23" s="24">
        <f>-SUM('Exhibit-RMP(RMM-3) pg 3-21'!K330,'Exhibit-RMP(RMM-3) pg 3-21'!K342)/1000</f>
        <v>-798.73299999999995</v>
      </c>
      <c r="R23" s="22"/>
      <c r="S23" s="146">
        <f t="shared" si="2"/>
        <v>-5.3922583695487584E-3</v>
      </c>
      <c r="T23" s="369"/>
      <c r="U23" s="24">
        <f t="shared" si="3"/>
        <v>-10.247999999999934</v>
      </c>
      <c r="V23" s="22"/>
      <c r="W23" s="146">
        <f t="shared" si="4"/>
        <v>-6.9184400508224045E-5</v>
      </c>
      <c r="Y23" s="354">
        <f>M23-'Exhibit-RMP(RMM-3) page 2'!K23</f>
        <v>1.5218623552755162E-3</v>
      </c>
    </row>
    <row r="24" spans="1:29" ht="21.95" customHeight="1">
      <c r="A24" s="128">
        <f>MAX(A$14:A23)+1</f>
        <v>9</v>
      </c>
      <c r="C24" s="128" t="s">
        <v>142</v>
      </c>
      <c r="E24" s="128">
        <v>9</v>
      </c>
      <c r="G24" s="20">
        <f>156+ROUND('Exhibit-RMP(RMM-3) pg 3-21'!C530/12,0)</f>
        <v>158</v>
      </c>
      <c r="I24" s="20">
        <f>4847331.95430513+'Exhibit-RMP(RMM-3) pg 3-21'!C538/1000</f>
        <v>4848930.6083051302</v>
      </c>
      <c r="J24" s="22"/>
      <c r="K24" s="24">
        <f>SUM('Exhibit-RMP(RMM-3) pg 3-21'!G353,'Exhibit-RMP(RMM-3) pg 3-21'!G538)/1000</f>
        <v>273346.62900000002</v>
      </c>
      <c r="L24" s="22"/>
      <c r="M24" s="24">
        <f>SUM('Exhibit-RMP(RMM-3) pg 3-21'!O353,'Exhibit-RMP(RMM-3) pg 3-21'!O538)/1000</f>
        <v>1455.0419999999999</v>
      </c>
      <c r="N24" s="22"/>
      <c r="O24" s="146">
        <f t="shared" si="1"/>
        <v>5.3230654620584324E-3</v>
      </c>
      <c r="P24" s="22"/>
      <c r="Q24" s="24">
        <f>-SUM('Exhibit-RMP(RMM-3) pg 3-21'!K353,'Exhibit-RMP(RMM-3) pg 3-21'!K538)/1000</f>
        <v>-1473.3530000000001</v>
      </c>
      <c r="R24" s="22"/>
      <c r="S24" s="146">
        <f t="shared" si="2"/>
        <v>-5.3900536669870547E-3</v>
      </c>
      <c r="T24" s="369"/>
      <c r="U24" s="24">
        <f t="shared" si="3"/>
        <v>-18.311000000000149</v>
      </c>
      <c r="V24" s="22"/>
      <c r="W24" s="146">
        <f t="shared" si="4"/>
        <v>-6.6988204928622509E-5</v>
      </c>
      <c r="Y24" s="354">
        <f>M24-'Exhibit-RMP(RMM-3) page 2'!K24</f>
        <v>4.8303993230547349E-4</v>
      </c>
    </row>
    <row r="25" spans="1:29">
      <c r="A25" s="128">
        <f>MAX(A$14:A24)+1</f>
        <v>10</v>
      </c>
      <c r="C25" s="128" t="s">
        <v>143</v>
      </c>
      <c r="E25" s="152" t="s">
        <v>144</v>
      </c>
      <c r="G25" s="153">
        <v>9</v>
      </c>
      <c r="I25" s="153">
        <v>41940.288</v>
      </c>
      <c r="J25" s="22"/>
      <c r="K25" s="23">
        <f>'Exhibit-RMP(RMM-3) pg 3-21'!G364/1000</f>
        <v>2993.1880000000001</v>
      </c>
      <c r="L25" s="22"/>
      <c r="M25" s="23">
        <f>'Exhibit-RMP(RMM-3) pg 3-21'!O364/1000</f>
        <v>15.933</v>
      </c>
      <c r="N25" s="22"/>
      <c r="O25" s="150">
        <f t="shared" si="1"/>
        <v>5.3230869561150182E-3</v>
      </c>
      <c r="P25" s="22"/>
      <c r="Q25" s="23">
        <f>-'Exhibit-RMP(RMM-3) pg 3-21'!K364/1000</f>
        <v>-16.007999999999999</v>
      </c>
      <c r="R25" s="22"/>
      <c r="S25" s="150">
        <f t="shared" si="2"/>
        <v>-5.348143851973213E-3</v>
      </c>
      <c r="T25" s="370"/>
      <c r="U25" s="23">
        <f t="shared" si="3"/>
        <v>-7.4999999999999289E-2</v>
      </c>
      <c r="V25" s="22"/>
      <c r="W25" s="150">
        <f t="shared" si="4"/>
        <v>-2.5056895858195104E-5</v>
      </c>
      <c r="Y25" s="354">
        <f>M25-'Exhibit-RMP(RMM-3) page 2'!K25</f>
        <v>6.9625114454296977E-5</v>
      </c>
    </row>
    <row r="26" spans="1:29">
      <c r="A26" s="128">
        <f>MAX(A$14:A25)+1</f>
        <v>11</v>
      </c>
      <c r="C26" s="154" t="s">
        <v>145</v>
      </c>
      <c r="G26" s="20">
        <f>SUM(G24:G25)</f>
        <v>167</v>
      </c>
      <c r="I26" s="20">
        <f>SUM(I24:I25)</f>
        <v>4890870.8963051299</v>
      </c>
      <c r="J26" s="22"/>
      <c r="K26" s="21">
        <f>SUM(K24:K25)</f>
        <v>276339.81700000004</v>
      </c>
      <c r="L26" s="22"/>
      <c r="M26" s="21">
        <f>SUM(M24:M25)</f>
        <v>1470.9749999999999</v>
      </c>
      <c r="N26" s="22"/>
      <c r="O26" s="146">
        <f t="shared" si="1"/>
        <v>5.3230656948723377E-3</v>
      </c>
      <c r="P26" s="22"/>
      <c r="Q26" s="21">
        <f>SUM(Q24:Q25)</f>
        <v>-1489.3610000000001</v>
      </c>
      <c r="R26" s="22"/>
      <c r="S26" s="146">
        <f t="shared" si="2"/>
        <v>-5.3895997188128696E-3</v>
      </c>
      <c r="T26" s="369"/>
      <c r="U26" s="21">
        <f t="shared" si="3"/>
        <v>-18.386000000000195</v>
      </c>
      <c r="V26" s="22"/>
      <c r="W26" s="146">
        <f t="shared" si="4"/>
        <v>-6.6534023940531859E-5</v>
      </c>
      <c r="Y26" s="354">
        <f>M26-'Exhibit-RMP(RMM-3) page 2'!K26</f>
        <v>5.5266504682549566E-4</v>
      </c>
      <c r="AC26" s="70"/>
    </row>
    <row r="27" spans="1:29" ht="21.95" customHeight="1">
      <c r="A27" s="128">
        <f>MAX(A$14:A26)+1</f>
        <v>12</v>
      </c>
      <c r="C27" s="128" t="s">
        <v>146</v>
      </c>
      <c r="E27" s="152">
        <v>10</v>
      </c>
      <c r="G27" s="20">
        <v>3339</v>
      </c>
      <c r="I27" s="20">
        <v>206134.08558220015</v>
      </c>
      <c r="J27" s="22"/>
      <c r="K27" s="24">
        <f>SUM('Exhibit-RMP(RMM-3) pg 3-21'!G379,'Exhibit-RMP(RMM-3) pg 3-21'!G396)/1000</f>
        <v>16044.557000000001</v>
      </c>
      <c r="L27" s="22"/>
      <c r="M27" s="24">
        <f>SUM('Exhibit-RMP(RMM-3) pg 3-21'!O379,'Exhibit-RMP(RMM-3) pg 3-21'!O396)/1000</f>
        <v>84.873000000000005</v>
      </c>
      <c r="N27" s="22"/>
      <c r="O27" s="146">
        <f t="shared" si="1"/>
        <v>5.2898313116404522E-3</v>
      </c>
      <c r="P27" s="22"/>
      <c r="Q27" s="24">
        <f>-SUM('Exhibit-RMP(RMM-3) pg 3-21'!K379,'Exhibit-RMP(RMM-3) pg 3-21'!K396)/1000</f>
        <v>-85.844999999999999</v>
      </c>
      <c r="R27" s="22"/>
      <c r="S27" s="146">
        <f t="shared" si="2"/>
        <v>-5.3504126040999442E-3</v>
      </c>
      <c r="T27" s="369"/>
      <c r="U27" s="24">
        <f t="shared" si="3"/>
        <v>-0.9719999999999942</v>
      </c>
      <c r="V27" s="22"/>
      <c r="W27" s="146">
        <f t="shared" si="4"/>
        <v>-6.0581292459492287E-5</v>
      </c>
      <c r="Y27" s="354">
        <f>M27-'Exhibit-RMP(RMM-3) page 2'!K27</f>
        <v>-0.5331988678567825</v>
      </c>
    </row>
    <row r="28" spans="1:29">
      <c r="A28" s="128">
        <f>MAX(A$14:A27)+1</f>
        <v>13</v>
      </c>
      <c r="C28" s="128" t="s">
        <v>147</v>
      </c>
      <c r="E28" s="152" t="s">
        <v>148</v>
      </c>
      <c r="G28" s="153">
        <v>269</v>
      </c>
      <c r="I28" s="153">
        <v>24258.38713714117</v>
      </c>
      <c r="J28" s="22"/>
      <c r="K28" s="23">
        <f>'Exhibit-RMP(RMM-3) pg 3-21'!G411/1000</f>
        <v>1955.779</v>
      </c>
      <c r="L28" s="22"/>
      <c r="M28" s="23">
        <f>'Exhibit-RMP(RMM-3) pg 3-21'!O411/1000</f>
        <v>10.443</v>
      </c>
      <c r="N28" s="22"/>
      <c r="O28" s="150">
        <f t="shared" si="1"/>
        <v>5.3395603490987474E-3</v>
      </c>
      <c r="P28" s="22"/>
      <c r="Q28" s="23">
        <f>-'Exhibit-RMP(RMM-3) pg 3-21'!K411/1000</f>
        <v>-10.561</v>
      </c>
      <c r="R28" s="135">
        <f>O28+O90+O111+O132</f>
        <v>5.3395603490987474E-3</v>
      </c>
      <c r="S28" s="150">
        <f t="shared" si="2"/>
        <v>-5.3998943643428013E-3</v>
      </c>
      <c r="T28" s="370"/>
      <c r="U28" s="23">
        <f t="shared" si="3"/>
        <v>-0.11800000000000033</v>
      </c>
      <c r="V28" s="22"/>
      <c r="W28" s="150">
        <f t="shared" si="4"/>
        <v>-6.0334015244053817E-5</v>
      </c>
      <c r="Y28" s="354">
        <f>M28-'Exhibit-RMP(RMM-3) page 2'!K28</f>
        <v>0.53383846867898122</v>
      </c>
    </row>
    <row r="29" spans="1:29">
      <c r="A29" s="128">
        <f>MAX(A$14:A28)+1</f>
        <v>14</v>
      </c>
      <c r="C29" s="154" t="s">
        <v>149</v>
      </c>
      <c r="G29" s="20">
        <v>3608</v>
      </c>
      <c r="I29" s="20">
        <v>230392.47271934131</v>
      </c>
      <c r="J29" s="22"/>
      <c r="K29" s="21">
        <f>SUM(K27:K28)</f>
        <v>18000.335999999999</v>
      </c>
      <c r="L29" s="22"/>
      <c r="M29" s="21">
        <f>SUM(M27:M28)</f>
        <v>95.316000000000003</v>
      </c>
      <c r="N29" s="22"/>
      <c r="O29" s="146">
        <f t="shared" si="1"/>
        <v>5.2952344889562065E-3</v>
      </c>
      <c r="P29" s="22"/>
      <c r="Q29" s="21">
        <f>SUM(Q27:Q28)</f>
        <v>-96.406000000000006</v>
      </c>
      <c r="R29" s="22"/>
      <c r="S29" s="146">
        <f t="shared" si="2"/>
        <v>-5.3557889141624916E-3</v>
      </c>
      <c r="T29" s="369"/>
      <c r="U29" s="21">
        <f t="shared" si="3"/>
        <v>-1.0900000000000034</v>
      </c>
      <c r="V29" s="22"/>
      <c r="W29" s="146">
        <f t="shared" si="4"/>
        <v>-6.0554425206285231E-5</v>
      </c>
      <c r="Y29" s="354">
        <f>M29-'Exhibit-RMP(RMM-3) page 2'!K29</f>
        <v>6.3960082219693959E-4</v>
      </c>
    </row>
    <row r="30" spans="1:29">
      <c r="A30" s="128">
        <f>MAX(A$14:A29)+1</f>
        <v>15</v>
      </c>
      <c r="C30" s="128" t="s">
        <v>150</v>
      </c>
      <c r="E30" s="151">
        <v>23</v>
      </c>
      <c r="G30" s="20">
        <v>96230</v>
      </c>
      <c r="I30" s="20">
        <v>1404451.8584710199</v>
      </c>
      <c r="J30" s="22"/>
      <c r="K30" s="24">
        <f>SUM('Exhibit-RMP(RMM-3) pg 3-21'!G591,'Exhibit-RMP(RMM-3) pg 3-21'!G604,'Exhibit-RMP(RMM-3) pg 3-21'!G618)/1000</f>
        <v>138041.82800000001</v>
      </c>
      <c r="L30" s="22"/>
      <c r="M30" s="24">
        <f>SUM('Exhibit-RMP(RMM-3) pg 3-21'!O591,'Exhibit-RMP(RMM-3) pg 3-21'!O604,'Exhibit-RMP(RMM-3) pg 3-21'!O618)/1000</f>
        <v>734.80799999999999</v>
      </c>
      <c r="N30" s="22"/>
      <c r="O30" s="146">
        <f t="shared" si="1"/>
        <v>5.3230822182389528E-3</v>
      </c>
      <c r="P30" s="22"/>
      <c r="Q30" s="24">
        <f>-SUM('Exhibit-RMP(RMM-3) pg 3-21'!K591,'Exhibit-RMP(RMM-3) pg 3-21'!K604,'Exhibit-RMP(RMM-3) pg 3-21'!K618)/1000</f>
        <v>-733.65499999999997</v>
      </c>
      <c r="R30" s="22"/>
      <c r="S30" s="146">
        <f t="shared" si="2"/>
        <v>-5.3147296774424049E-3</v>
      </c>
      <c r="T30" s="369"/>
      <c r="U30" s="24">
        <f t="shared" si="3"/>
        <v>1.15300000000002</v>
      </c>
      <c r="V30" s="22"/>
      <c r="W30" s="146">
        <f t="shared" si="4"/>
        <v>8.352540796547696E-6</v>
      </c>
      <c r="Y30" s="354">
        <f>M30-'Exhibit-RMP(RMM-3) page 2'!K30</f>
        <v>2.556992101403921E-3</v>
      </c>
    </row>
    <row r="31" spans="1:29">
      <c r="A31" s="128">
        <f>MAX(A$14:A30)+1</f>
        <v>16</v>
      </c>
      <c r="C31" s="128" t="s">
        <v>151</v>
      </c>
      <c r="E31" s="128">
        <v>31</v>
      </c>
      <c r="G31" s="20">
        <v>7</v>
      </c>
      <c r="I31" s="20">
        <v>189259.14266666665</v>
      </c>
      <c r="J31" s="22"/>
      <c r="K31" s="24">
        <f>'Exhibit-RMP(RMM-3) pg 3-21'!G680/1000</f>
        <v>12590.477000000001</v>
      </c>
      <c r="L31" s="22"/>
      <c r="M31" s="24">
        <f>'Exhibit-RMP(RMM-3) pg 3-21'!O680/1000</f>
        <v>67.02</v>
      </c>
      <c r="N31" s="22"/>
      <c r="O31" s="146">
        <f t="shared" si="1"/>
        <v>5.3230707621323634E-3</v>
      </c>
      <c r="P31" s="22"/>
      <c r="Q31" s="24">
        <f>-'Exhibit-RMP(RMM-3) pg 3-21'!K680/1000</f>
        <v>-67.894999999999996</v>
      </c>
      <c r="R31" s="22"/>
      <c r="S31" s="146">
        <f t="shared" si="2"/>
        <v>-5.392567731945342E-3</v>
      </c>
      <c r="T31" s="369"/>
      <c r="U31" s="24">
        <f t="shared" si="3"/>
        <v>-0.875</v>
      </c>
      <c r="V31" s="22"/>
      <c r="W31" s="146">
        <f t="shared" si="4"/>
        <v>-6.9496969812978486E-5</v>
      </c>
      <c r="Y31" s="354">
        <f>M31-'Exhibit-RMP(RMM-3) page 2'!K31</f>
        <v>8.8979510181275145E-5</v>
      </c>
    </row>
    <row r="32" spans="1:29">
      <c r="A32" s="128">
        <f>MAX(A$14:A31)+1</f>
        <v>17</v>
      </c>
      <c r="C32" s="128" t="s">
        <v>347</v>
      </c>
      <c r="E32" s="128">
        <v>32</v>
      </c>
      <c r="G32" s="20">
        <v>3</v>
      </c>
      <c r="I32" s="20">
        <v>196649.98999999996</v>
      </c>
      <c r="J32" s="22"/>
      <c r="K32" s="24">
        <f>'Exhibit-RMP(RMM-3) pg 3-21'!G724/1000</f>
        <v>13353.13</v>
      </c>
      <c r="L32" s="22"/>
      <c r="M32" s="24">
        <f>'Exhibit-RMP(RMM-3) pg 3-21'!O724/1000</f>
        <v>18.457000000000001</v>
      </c>
      <c r="N32" s="22"/>
      <c r="O32" s="146">
        <f t="shared" si="1"/>
        <v>1.3822227447796885E-3</v>
      </c>
      <c r="P32" s="22"/>
      <c r="Q32" s="24">
        <f>-'Exhibit-RMP(RMM-3) pg 3-21'!K724/1000</f>
        <v>-18.832000000000001</v>
      </c>
      <c r="R32" s="22"/>
      <c r="S32" s="146">
        <f t="shared" si="2"/>
        <v>-1.4103060480950909E-3</v>
      </c>
      <c r="T32" s="369"/>
      <c r="U32" s="24">
        <f t="shared" si="3"/>
        <v>-0.375</v>
      </c>
      <c r="V32" s="22"/>
      <c r="W32" s="146">
        <f t="shared" si="4"/>
        <v>-2.8083303315402456E-5</v>
      </c>
      <c r="Y32" s="354">
        <f>M32-'Exhibit-RMP(RMM-3) page 2'!K32</f>
        <v>8.5743528757120657E-5</v>
      </c>
    </row>
    <row r="33" spans="1:25">
      <c r="A33" s="128">
        <f>MAX(A$14:A32)+1</f>
        <v>18</v>
      </c>
      <c r="C33" s="128" t="s">
        <v>348</v>
      </c>
      <c r="E33" s="128">
        <v>34</v>
      </c>
      <c r="G33" s="20">
        <v>1</v>
      </c>
      <c r="I33" s="20">
        <v>242230</v>
      </c>
      <c r="J33" s="22"/>
      <c r="K33" s="24">
        <f>'Exhibit-RMP(RMM-3) pg 3-21'!G730/1000</f>
        <v>13027.75819123467</v>
      </c>
      <c r="L33" s="22"/>
      <c r="M33" s="24">
        <f>'Exhibit-RMP(RMM-3) pg 3-21'!O730/1000</f>
        <v>0</v>
      </c>
      <c r="N33" s="22"/>
      <c r="O33" s="146">
        <f t="shared" si="1"/>
        <v>0</v>
      </c>
      <c r="P33" s="22"/>
      <c r="Q33" s="24">
        <f>-'Exhibit-RMP(RMM-3) pg 3-21'!K730/1000</f>
        <v>0</v>
      </c>
      <c r="R33" s="22"/>
      <c r="S33" s="146">
        <f t="shared" si="2"/>
        <v>0</v>
      </c>
      <c r="T33" s="369"/>
      <c r="U33" s="24">
        <f t="shared" si="3"/>
        <v>0</v>
      </c>
      <c r="V33" s="22"/>
      <c r="W33" s="146">
        <f t="shared" si="4"/>
        <v>0</v>
      </c>
      <c r="Y33" s="354">
        <f>M33-'Exhibit-RMP(RMM-3) page 2'!K33</f>
        <v>0</v>
      </c>
    </row>
    <row r="34" spans="1:25">
      <c r="A34" s="128">
        <f>MAX(A$14:A31)+1</f>
        <v>17</v>
      </c>
      <c r="C34" s="147" t="s">
        <v>152</v>
      </c>
      <c r="E34" s="152" t="s">
        <v>134</v>
      </c>
      <c r="G34" s="20">
        <v>1</v>
      </c>
      <c r="I34" s="20">
        <v>617100</v>
      </c>
      <c r="J34" s="22"/>
      <c r="K34" s="24">
        <f>'Exhibit-RMP(RMM-3) pg 3-21'!G741/1000</f>
        <v>31874.342000000001</v>
      </c>
      <c r="L34" s="22"/>
      <c r="M34" s="24">
        <f>'Exhibit-RMP(RMM-3) pg 3-21'!O741/1000</f>
        <v>0</v>
      </c>
      <c r="N34" s="22"/>
      <c r="O34" s="146">
        <f t="shared" si="1"/>
        <v>0</v>
      </c>
      <c r="P34" s="22"/>
      <c r="Q34" s="24">
        <f>-'Exhibit-RMP(RMM-3) pg 3-21'!K741/1000</f>
        <v>0</v>
      </c>
      <c r="R34" s="22"/>
      <c r="S34" s="146">
        <f t="shared" si="2"/>
        <v>0</v>
      </c>
      <c r="T34" s="369"/>
      <c r="U34" s="24">
        <f t="shared" si="3"/>
        <v>0</v>
      </c>
      <c r="V34" s="22"/>
      <c r="W34" s="146">
        <f t="shared" si="4"/>
        <v>0</v>
      </c>
      <c r="Y34" s="354">
        <f>M34-'Exhibit-RMP(RMM-3) page 2'!K34</f>
        <v>0</v>
      </c>
    </row>
    <row r="35" spans="1:25">
      <c r="A35" s="128">
        <f>MAX(A$14:A34)+1</f>
        <v>19</v>
      </c>
      <c r="C35" s="147" t="s">
        <v>153</v>
      </c>
      <c r="E35" s="152" t="s">
        <v>134</v>
      </c>
      <c r="G35" s="20">
        <v>1</v>
      </c>
      <c r="I35" s="20">
        <v>705455.54894656001</v>
      </c>
      <c r="J35" s="22"/>
      <c r="K35" s="24">
        <f>'Exhibit-RMP(RMM-3) pg 3-21'!G749/1000</f>
        <v>31979.111000000001</v>
      </c>
      <c r="L35" s="22"/>
      <c r="M35" s="24">
        <f>'Exhibit-RMP(RMM-3) pg 3-21'!O749/1000</f>
        <v>0</v>
      </c>
      <c r="N35" s="22"/>
      <c r="O35" s="146">
        <f t="shared" si="1"/>
        <v>0</v>
      </c>
      <c r="P35" s="22"/>
      <c r="Q35" s="24">
        <f>-'Exhibit-RMP(RMM-3) pg 3-21'!K749/1000</f>
        <v>0</v>
      </c>
      <c r="R35" s="22"/>
      <c r="S35" s="146">
        <f t="shared" si="2"/>
        <v>0</v>
      </c>
      <c r="T35" s="369"/>
      <c r="U35" s="24">
        <f t="shared" si="3"/>
        <v>0</v>
      </c>
      <c r="V35" s="22"/>
      <c r="W35" s="146">
        <f t="shared" si="4"/>
        <v>0</v>
      </c>
      <c r="Y35" s="354">
        <f>M35-'Exhibit-RMP(RMM-3) page 2'!K35</f>
        <v>0</v>
      </c>
    </row>
    <row r="36" spans="1:25">
      <c r="A36" s="128">
        <f>MAX(A$14:A35)+1</f>
        <v>20</v>
      </c>
      <c r="C36" s="147" t="s">
        <v>154</v>
      </c>
      <c r="E36" s="152" t="s">
        <v>134</v>
      </c>
      <c r="G36" s="20">
        <v>1</v>
      </c>
      <c r="I36" s="20">
        <v>1288626.1969999999</v>
      </c>
      <c r="J36" s="22"/>
      <c r="K36" s="24">
        <f>'Exhibit-RMP(RMM-3) pg 3-21'!G756/1000</f>
        <v>62957.593017309679</v>
      </c>
      <c r="L36" s="22"/>
      <c r="M36" s="24">
        <f>'Exhibit-RMP(RMM-3) pg 3-21'!O756/1000</f>
        <v>0</v>
      </c>
      <c r="N36" s="22"/>
      <c r="O36" s="146">
        <f t="shared" si="1"/>
        <v>0</v>
      </c>
      <c r="P36" s="22"/>
      <c r="Q36" s="24">
        <f>-'Exhibit-RMP(RMM-3) pg 3-21'!K756/1000</f>
        <v>0</v>
      </c>
      <c r="R36" s="22"/>
      <c r="S36" s="146">
        <f t="shared" si="2"/>
        <v>0</v>
      </c>
      <c r="T36" s="369"/>
      <c r="U36" s="24">
        <f t="shared" si="3"/>
        <v>0</v>
      </c>
      <c r="V36" s="22"/>
      <c r="W36" s="146">
        <f t="shared" si="4"/>
        <v>0</v>
      </c>
      <c r="Y36" s="354">
        <f>M36-'Exhibit-RMP(RMM-3) page 2'!K36</f>
        <v>0</v>
      </c>
    </row>
    <row r="37" spans="1:25">
      <c r="A37" s="128">
        <f>MAX(A$14:A36)+1</f>
        <v>21</v>
      </c>
      <c r="C37" s="147" t="s">
        <v>133</v>
      </c>
      <c r="E37" s="148" t="s">
        <v>134</v>
      </c>
      <c r="G37" s="164"/>
      <c r="I37" s="149"/>
      <c r="J37" s="22"/>
      <c r="K37" s="23">
        <f>SUM('Exhibit-RMP(RMM-3) pg 3-21'!G767,'Exhibit-RMP(RMM-3) pg 3-21'!G768,'Exhibit-RMP(RMM-3) pg 3-21'!G769)/1000</f>
        <v>4797.3367799999996</v>
      </c>
      <c r="L37" s="22"/>
      <c r="M37" s="23"/>
      <c r="N37" s="22"/>
      <c r="O37" s="150">
        <f t="shared" si="1"/>
        <v>0</v>
      </c>
      <c r="P37" s="22"/>
      <c r="Q37" s="23"/>
      <c r="R37" s="22"/>
      <c r="S37" s="150">
        <f t="shared" si="2"/>
        <v>0</v>
      </c>
      <c r="T37" s="370"/>
      <c r="U37" s="23"/>
      <c r="V37" s="22"/>
      <c r="W37" s="150">
        <f t="shared" si="4"/>
        <v>0</v>
      </c>
      <c r="Y37" s="354">
        <f>M37-'Exhibit-RMP(RMM-3) page 2'!K37</f>
        <v>0</v>
      </c>
    </row>
    <row r="38" spans="1:25">
      <c r="A38" s="128">
        <f>MAX(A$14:A37)+1</f>
        <v>22</v>
      </c>
      <c r="C38" s="139" t="s">
        <v>155</v>
      </c>
      <c r="G38" s="20">
        <v>116605</v>
      </c>
      <c r="I38" s="20">
        <v>17979702.507882744</v>
      </c>
      <c r="J38" s="22"/>
      <c r="K38" s="21">
        <f>SUM(K20:K21,K23:K25,K27:K28,K30:K37)</f>
        <v>1275021.2029885442</v>
      </c>
      <c r="L38" s="22"/>
      <c r="M38" s="21">
        <f>SUM(M20:M21,M23:M25,M27:M28,M30:M37)</f>
        <v>5963.9880000000003</v>
      </c>
      <c r="N38" s="22"/>
      <c r="O38" s="146">
        <f t="shared" si="1"/>
        <v>4.6775598601975447E-3</v>
      </c>
      <c r="P38" s="22"/>
      <c r="Q38" s="21">
        <f>SUM(Q20:Q21,Q23:Q25,Q27:Q28,Q30:Q37)</f>
        <v>-6036.3430000000008</v>
      </c>
      <c r="R38" s="22"/>
      <c r="S38" s="146">
        <f t="shared" si="2"/>
        <v>-4.7343079360965233E-3</v>
      </c>
      <c r="T38" s="369"/>
      <c r="U38" s="21">
        <f>M38+Q38</f>
        <v>-72.355000000000473</v>
      </c>
      <c r="V38" s="22"/>
      <c r="W38" s="146">
        <f t="shared" si="4"/>
        <v>-5.6748075898978257E-5</v>
      </c>
      <c r="Y38" s="354">
        <f>M38-'Exhibit-RMP(RMM-3) page 2'!K38</f>
        <v>5.371011338866083E-4</v>
      </c>
    </row>
    <row r="39" spans="1:25" ht="24.95" customHeight="1">
      <c r="C39" s="139" t="s">
        <v>156</v>
      </c>
      <c r="G39" s="20"/>
      <c r="I39" s="20"/>
      <c r="J39" s="22"/>
      <c r="K39" s="21"/>
      <c r="L39" s="22"/>
      <c r="M39" s="21"/>
      <c r="N39" s="22"/>
      <c r="O39" s="146"/>
      <c r="P39" s="22"/>
      <c r="Q39" s="21"/>
      <c r="R39" s="22"/>
      <c r="S39" s="146"/>
      <c r="T39" s="369"/>
      <c r="U39" s="21"/>
      <c r="V39" s="22"/>
      <c r="W39" s="146"/>
      <c r="Y39" s="354">
        <f>M39-'Exhibit-RMP(RMM-3) page 2'!K39</f>
        <v>0</v>
      </c>
    </row>
    <row r="40" spans="1:25">
      <c r="A40" s="128">
        <f>MAX(A$14:A39)+1</f>
        <v>23</v>
      </c>
      <c r="C40" s="128" t="s">
        <v>157</v>
      </c>
      <c r="E40" s="128">
        <v>7</v>
      </c>
      <c r="G40" s="20">
        <v>6491</v>
      </c>
      <c r="I40" s="20">
        <v>10497.984469308627</v>
      </c>
      <c r="J40" s="22"/>
      <c r="K40" s="24">
        <f>'Exhibit-RMP(RMM-3) pg 3-21'!G318/1000</f>
        <v>1383.2668705464662</v>
      </c>
      <c r="L40" s="22"/>
      <c r="M40" s="24">
        <f>'Exhibit-RMP(RMM-3) pg 3-21'!O318/1000</f>
        <v>7.3630000000000004</v>
      </c>
      <c r="N40" s="22"/>
      <c r="O40" s="146">
        <f t="shared" ref="O40:O49" si="5">M40/K40</f>
        <v>5.3229063435107152E-3</v>
      </c>
      <c r="P40" s="22"/>
      <c r="Q40" s="24">
        <f>-'Exhibit-RMP(RMM-3) pg 3-21'!K318/1000</f>
        <v>-7.47</v>
      </c>
      <c r="R40" s="22"/>
      <c r="S40" s="146">
        <f t="shared" ref="S40:S49" si="6">Q40/K40</f>
        <v>-5.4002594575614611E-3</v>
      </c>
      <c r="T40" s="369"/>
      <c r="U40" s="24">
        <f t="shared" ref="U40:U46" si="7">M40+Q40</f>
        <v>-0.10699999999999932</v>
      </c>
      <c r="V40" s="22"/>
      <c r="W40" s="146">
        <f t="shared" ref="W40:W49" si="8">U40/K40</f>
        <v>-7.735311405074601E-5</v>
      </c>
      <c r="Y40" s="354">
        <f>M40-'Exhibit-RMP(RMM-3) page 2'!K40</f>
        <v>-2.1765899858650073E-4</v>
      </c>
    </row>
    <row r="41" spans="1:25">
      <c r="A41" s="128">
        <f>MAX(A$14:A40)+1</f>
        <v>24</v>
      </c>
      <c r="C41" s="128" t="s">
        <v>158</v>
      </c>
      <c r="E41" s="155">
        <v>11</v>
      </c>
      <c r="G41" s="20">
        <v>715</v>
      </c>
      <c r="I41" s="20">
        <v>13572.50823362934</v>
      </c>
      <c r="J41" s="22"/>
      <c r="K41" s="24">
        <f>'Exhibit-RMP(RMM-3) pg 3-21'!G433/1000</f>
        <v>3759.4048698993784</v>
      </c>
      <c r="L41" s="22"/>
      <c r="M41" s="24">
        <f>'Exhibit-RMP(RMM-3) pg 3-21'!O433/1000</f>
        <v>20.012</v>
      </c>
      <c r="N41" s="22"/>
      <c r="O41" s="146">
        <f t="shared" si="5"/>
        <v>5.3231829751115975E-3</v>
      </c>
      <c r="P41" s="22"/>
      <c r="Q41" s="24">
        <f>-'Exhibit-RMP(RMM-3) pg 3-21'!K433/1000</f>
        <v>-20.302</v>
      </c>
      <c r="R41" s="22"/>
      <c r="S41" s="146">
        <f t="shared" si="6"/>
        <v>-5.4003228443291846E-3</v>
      </c>
      <c r="T41" s="369"/>
      <c r="U41" s="24">
        <f t="shared" si="7"/>
        <v>-0.28999999999999915</v>
      </c>
      <c r="V41" s="22"/>
      <c r="W41" s="146">
        <f t="shared" si="8"/>
        <v>-7.7139869217587387E-5</v>
      </c>
      <c r="Y41" s="354">
        <f>M41-'Exhibit-RMP(RMM-3) page 2'!K41</f>
        <v>4.4842251390520005E-4</v>
      </c>
    </row>
    <row r="42" spans="1:25">
      <c r="A42" s="128">
        <f>MAX(A$14:A41)+1</f>
        <v>25</v>
      </c>
      <c r="C42" s="128" t="s">
        <v>159</v>
      </c>
      <c r="E42" s="155">
        <v>12</v>
      </c>
      <c r="G42" s="20">
        <v>1229</v>
      </c>
      <c r="I42" s="156">
        <v>26868.87420437079</v>
      </c>
      <c r="J42" s="22"/>
      <c r="K42" s="24">
        <f>'Exhibit-RMP(RMM-3) pg 3-21'!G501/1000</f>
        <v>1384.8784946300007</v>
      </c>
      <c r="L42" s="22"/>
      <c r="M42" s="24">
        <f>'Exhibit-RMP(RMM-3) pg 3-21'!O501/1000</f>
        <v>7.3719999999999999</v>
      </c>
      <c r="N42" s="22"/>
      <c r="O42" s="146">
        <f t="shared" si="5"/>
        <v>5.3232106849702976E-3</v>
      </c>
      <c r="P42" s="22"/>
      <c r="Q42" s="24">
        <f>-'Exhibit-RMP(RMM-3) pg 3-21'!K501/1000</f>
        <v>-7.4809999999999999</v>
      </c>
      <c r="R42" s="22"/>
      <c r="S42" s="146">
        <f t="shared" si="6"/>
        <v>-5.4019179509309269E-3</v>
      </c>
      <c r="T42" s="369"/>
      <c r="U42" s="24">
        <f t="shared" si="7"/>
        <v>-0.10899999999999999</v>
      </c>
      <c r="V42" s="22"/>
      <c r="W42" s="146">
        <f t="shared" si="8"/>
        <v>-7.870726596062973E-5</v>
      </c>
      <c r="Y42" s="354">
        <f>M42-'Exhibit-RMP(RMM-3) page 2'!K42</f>
        <v>2.0356335248372659E-4</v>
      </c>
    </row>
    <row r="43" spans="1:25" s="157" customFormat="1">
      <c r="A43" s="157">
        <f>MAX(A$14:A42)+1</f>
        <v>26</v>
      </c>
      <c r="C43" s="157" t="s">
        <v>160</v>
      </c>
      <c r="D43" s="158"/>
      <c r="E43" s="157">
        <v>15</v>
      </c>
      <c r="F43" s="158"/>
      <c r="G43" s="159">
        <v>637</v>
      </c>
      <c r="H43" s="158"/>
      <c r="I43" s="159">
        <v>15963.151062719233</v>
      </c>
      <c r="J43" s="25"/>
      <c r="K43" s="24">
        <f>'Exhibit-RMP(RMM-3) pg 3-21'!G509/1000</f>
        <v>781.11300000000006</v>
      </c>
      <c r="L43" s="25"/>
      <c r="M43" s="24">
        <f>'Exhibit-RMP(RMM-3) pg 3-21'!O509/1000</f>
        <v>4.1580000000000004</v>
      </c>
      <c r="N43" s="25"/>
      <c r="O43" s="160">
        <f t="shared" si="5"/>
        <v>5.3231734716999973E-3</v>
      </c>
      <c r="P43" s="25"/>
      <c r="Q43" s="24">
        <f>-'Exhibit-RMP(RMM-3) pg 3-21'!K509/1000</f>
        <v>-4.0460000000000003</v>
      </c>
      <c r="R43" s="25"/>
      <c r="S43" s="160">
        <f t="shared" si="6"/>
        <v>-5.179788327681142E-3</v>
      </c>
      <c r="T43" s="371"/>
      <c r="U43" s="24">
        <f t="shared" si="7"/>
        <v>0.1120000000000001</v>
      </c>
      <c r="V43" s="25"/>
      <c r="W43" s="160">
        <f t="shared" si="8"/>
        <v>1.4338514401885527E-4</v>
      </c>
      <c r="Y43" s="354">
        <f>M43-'Exhibit-RMP(RMM-3) page 2'!K43</f>
        <v>8.5748065950852492E-5</v>
      </c>
    </row>
    <row r="44" spans="1:25">
      <c r="A44" s="128">
        <f>MAX(A$14:A43)+1</f>
        <v>27</v>
      </c>
      <c r="C44" s="128" t="s">
        <v>161</v>
      </c>
      <c r="E44" s="128">
        <v>15</v>
      </c>
      <c r="G44" s="153">
        <v>2734</v>
      </c>
      <c r="I44" s="153">
        <v>7776.3704443165416</v>
      </c>
      <c r="J44" s="22"/>
      <c r="K44" s="23">
        <f>'Exhibit-RMP(RMM-3) pg 3-21'!G514/1000</f>
        <v>802.61</v>
      </c>
      <c r="L44" s="22"/>
      <c r="M44" s="23">
        <f>'Exhibit-RMP(RMM-3) pg 3-21'!O514/1000</f>
        <v>4.2720000000000002</v>
      </c>
      <c r="N44" s="22"/>
      <c r="O44" s="150">
        <f t="shared" si="5"/>
        <v>5.3226349036269178E-3</v>
      </c>
      <c r="P44" s="22"/>
      <c r="Q44" s="23">
        <f>-'Exhibit-RMP(RMM-3) pg 3-21'!K514/1000</f>
        <v>-4.4169999999999998</v>
      </c>
      <c r="R44" s="22"/>
      <c r="S44" s="150">
        <f t="shared" si="6"/>
        <v>-5.5032954984363513E-3</v>
      </c>
      <c r="T44" s="370"/>
      <c r="U44" s="23">
        <f t="shared" si="7"/>
        <v>-0.14499999999999957</v>
      </c>
      <c r="V44" s="22"/>
      <c r="W44" s="150">
        <f t="shared" si="8"/>
        <v>-1.8066059480943369E-4</v>
      </c>
      <c r="Y44" s="354">
        <f>M44-'Exhibit-RMP(RMM-3) page 2'!K44</f>
        <v>-3.4415218385408508E-4</v>
      </c>
    </row>
    <row r="45" spans="1:25">
      <c r="A45" s="128">
        <f>MAX(A$14:A44)+1</f>
        <v>28</v>
      </c>
      <c r="C45" s="154" t="s">
        <v>162</v>
      </c>
      <c r="D45" s="26"/>
      <c r="F45" s="26"/>
      <c r="G45" s="20">
        <v>11806</v>
      </c>
      <c r="H45" s="26"/>
      <c r="I45" s="20">
        <v>74678.888414344532</v>
      </c>
      <c r="J45" s="21"/>
      <c r="K45" s="21">
        <f>SUM(K40:K44)</f>
        <v>8111.2732350758452</v>
      </c>
      <c r="L45" s="21"/>
      <c r="M45" s="21">
        <f>SUM(M40:M44)</f>
        <v>43.177</v>
      </c>
      <c r="N45" s="21"/>
      <c r="O45" s="146">
        <f t="shared" si="5"/>
        <v>5.3230853835977664E-3</v>
      </c>
      <c r="P45" s="21"/>
      <c r="Q45" s="21">
        <f>SUM(Q40:Q44)</f>
        <v>-43.716000000000001</v>
      </c>
      <c r="R45" s="21"/>
      <c r="S45" s="146">
        <f t="shared" si="6"/>
        <v>-5.3895361101827348E-3</v>
      </c>
      <c r="T45" s="369"/>
      <c r="U45" s="21">
        <f t="shared" si="7"/>
        <v>-0.53900000000000148</v>
      </c>
      <c r="V45" s="21"/>
      <c r="W45" s="146">
        <f t="shared" si="8"/>
        <v>-6.6450726584968938E-5</v>
      </c>
      <c r="Y45" s="354">
        <f>M45-'Exhibit-RMP(RMM-3) page 2'!K45</f>
        <v>1.7592274989652879E-4</v>
      </c>
    </row>
    <row r="46" spans="1:25" ht="21.95" customHeight="1">
      <c r="A46" s="128">
        <f>MAX(A$14:A45)+1</f>
        <v>29</v>
      </c>
      <c r="C46" s="147" t="s">
        <v>163</v>
      </c>
      <c r="E46" s="152" t="s">
        <v>134</v>
      </c>
      <c r="G46" s="20">
        <v>4</v>
      </c>
      <c r="I46" s="20">
        <v>7.3869999999999996</v>
      </c>
      <c r="J46" s="22"/>
      <c r="K46" s="24">
        <f>'Exhibit-RMP(RMM-3) pg 3-21'!G763/1000</f>
        <v>0.55700000000000005</v>
      </c>
      <c r="L46" s="22"/>
      <c r="M46" s="24">
        <f>'Exhibit-RMP(RMM-3) pg 3-21'!O763/1000</f>
        <v>0</v>
      </c>
      <c r="N46" s="22"/>
      <c r="O46" s="146">
        <f t="shared" si="5"/>
        <v>0</v>
      </c>
      <c r="P46" s="22"/>
      <c r="Q46" s="24">
        <f>-'Exhibit-RMP(RMM-3) pg 3-21'!K763/1000</f>
        <v>0</v>
      </c>
      <c r="R46" s="22"/>
      <c r="S46" s="146">
        <f t="shared" si="6"/>
        <v>0</v>
      </c>
      <c r="T46" s="369"/>
      <c r="U46" s="24">
        <f t="shared" si="7"/>
        <v>0</v>
      </c>
      <c r="V46" s="22"/>
      <c r="W46" s="146">
        <f t="shared" si="8"/>
        <v>0</v>
      </c>
      <c r="Y46" s="354">
        <f>M46-'Exhibit-RMP(RMM-3) page 2'!K46</f>
        <v>0</v>
      </c>
    </row>
    <row r="47" spans="1:25">
      <c r="A47" s="128">
        <f>MAX(A$14:A46)+1</f>
        <v>30</v>
      </c>
      <c r="C47" s="147" t="s">
        <v>133</v>
      </c>
      <c r="D47" s="27"/>
      <c r="E47" s="148" t="s">
        <v>134</v>
      </c>
      <c r="F47" s="27"/>
      <c r="G47" s="161"/>
      <c r="H47" s="27"/>
      <c r="I47" s="161"/>
      <c r="J47" s="22"/>
      <c r="K47" s="23">
        <f>'Exhibit-RMP(RMM-3) pg 3-21'!G770/1000</f>
        <v>4.6550400000000005</v>
      </c>
      <c r="L47" s="22"/>
      <c r="M47" s="23"/>
      <c r="N47" s="22"/>
      <c r="O47" s="150">
        <f t="shared" si="5"/>
        <v>0</v>
      </c>
      <c r="P47" s="22"/>
      <c r="Q47" s="23"/>
      <c r="R47" s="22"/>
      <c r="S47" s="150">
        <f t="shared" si="6"/>
        <v>0</v>
      </c>
      <c r="T47" s="370"/>
      <c r="U47" s="23"/>
      <c r="V47" s="22"/>
      <c r="W47" s="150">
        <f t="shared" si="8"/>
        <v>0</v>
      </c>
      <c r="Y47" s="354">
        <f>M47-'Exhibit-RMP(RMM-3) page 2'!K47</f>
        <v>0</v>
      </c>
    </row>
    <row r="48" spans="1:25" ht="21.95" customHeight="1">
      <c r="A48" s="128">
        <f>MAX(A$14:A47)+1</f>
        <v>31</v>
      </c>
      <c r="C48" s="139" t="s">
        <v>164</v>
      </c>
      <c r="E48" s="157"/>
      <c r="G48" s="153">
        <v>11810</v>
      </c>
      <c r="I48" s="153">
        <v>74686.275414344535</v>
      </c>
      <c r="J48" s="22"/>
      <c r="K48" s="23">
        <f>SUM(K45:K47)</f>
        <v>8116.4852750758446</v>
      </c>
      <c r="L48" s="22"/>
      <c r="M48" s="23">
        <f>SUM(M45:M47)</f>
        <v>43.177</v>
      </c>
      <c r="N48" s="22"/>
      <c r="O48" s="150">
        <f t="shared" si="5"/>
        <v>5.3196671387537916E-3</v>
      </c>
      <c r="P48" s="22"/>
      <c r="Q48" s="23">
        <f>SUM(Q45:Q47)</f>
        <v>-43.716000000000001</v>
      </c>
      <c r="R48" s="22"/>
      <c r="S48" s="150">
        <f t="shared" si="6"/>
        <v>-5.3860751936855447E-3</v>
      </c>
      <c r="T48" s="370"/>
      <c r="U48" s="23">
        <f t="shared" ref="U48:U49" si="9">M48+Q48</f>
        <v>-0.53900000000000148</v>
      </c>
      <c r="V48" s="22"/>
      <c r="W48" s="150">
        <f t="shared" si="8"/>
        <v>-6.6408054931753053E-5</v>
      </c>
      <c r="Y48" s="354">
        <f>M48-'Exhibit-RMP(RMM-3) page 2'!K48</f>
        <v>1.7592274989652879E-4</v>
      </c>
    </row>
    <row r="49" spans="1:25" ht="24.95" customHeight="1" thickBot="1">
      <c r="A49" s="128">
        <f>MAX(A$14:A48)+1</f>
        <v>32</v>
      </c>
      <c r="C49" s="139" t="s">
        <v>165</v>
      </c>
      <c r="E49" s="157"/>
      <c r="G49" s="162">
        <v>986283</v>
      </c>
      <c r="I49" s="162">
        <v>24837388.160662249</v>
      </c>
      <c r="J49" s="22"/>
      <c r="K49" s="28">
        <f>K48+K38+K18</f>
        <v>2033151.3153536201</v>
      </c>
      <c r="L49" s="22"/>
      <c r="M49" s="28">
        <f>M48+M38+M18</f>
        <v>9999.5</v>
      </c>
      <c r="N49" s="22"/>
      <c r="O49" s="163">
        <f t="shared" si="5"/>
        <v>4.9182271503785324E-3</v>
      </c>
      <c r="P49" s="22"/>
      <c r="Q49" s="28">
        <f>Q48+Q38+Q18</f>
        <v>-9886.1830000000009</v>
      </c>
      <c r="R49" s="22"/>
      <c r="S49" s="163">
        <f t="shared" si="6"/>
        <v>-4.8624924890455215E-3</v>
      </c>
      <c r="T49" s="372"/>
      <c r="U49" s="28">
        <f t="shared" si="9"/>
        <v>113.3169999999991</v>
      </c>
      <c r="V49" s="22"/>
      <c r="W49" s="163">
        <f t="shared" si="8"/>
        <v>5.5734661333010624E-5</v>
      </c>
      <c r="Y49" s="354">
        <f>M49-'Exhibit-RMP(RMM-3) page 2'!K49</f>
        <v>1.5746588760521263E-3</v>
      </c>
    </row>
    <row r="50" spans="1:25" ht="16.5" thickTop="1">
      <c r="E50" s="157"/>
      <c r="X50" s="157"/>
    </row>
    <row r="51" spans="1:25">
      <c r="C51" s="147"/>
      <c r="G51" s="205"/>
    </row>
    <row r="52" spans="1:25">
      <c r="C52" s="147"/>
    </row>
  </sheetData>
  <printOptions horizontalCentered="1"/>
  <pageMargins left="0.5" right="0.5" top="1" bottom="0.5" header="0.5" footer="0.25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4"/>
  <sheetViews>
    <sheetView view="pageBreakPreview" topLeftCell="A36" zoomScale="75" zoomScaleNormal="70" zoomScaleSheetLayoutView="75" workbookViewId="0">
      <selection activeCell="K52" sqref="K52"/>
    </sheetView>
  </sheetViews>
  <sheetFormatPr defaultColWidth="9" defaultRowHeight="15.75"/>
  <cols>
    <col min="1" max="1" width="4.625" style="52" customWidth="1"/>
    <col min="2" max="2" width="0.625" style="52" customWidth="1"/>
    <col min="3" max="3" width="35.625" style="52" customWidth="1"/>
    <col min="4" max="4" width="0.625" style="54" customWidth="1"/>
    <col min="5" max="5" width="7.5" style="52" bestFit="1" customWidth="1"/>
    <col min="6" max="6" width="0.625" style="54" customWidth="1"/>
    <col min="7" max="7" width="15.125" style="54" customWidth="1"/>
    <col min="8" max="8" width="0.625" style="54" customWidth="1"/>
    <col min="9" max="9" width="15.125" style="54" customWidth="1"/>
    <col min="10" max="10" width="0.625" style="52" customWidth="1"/>
    <col min="11" max="11" width="11.375" style="54" bestFit="1" customWidth="1"/>
    <col min="12" max="12" width="0.625" style="54" customWidth="1"/>
    <col min="13" max="13" width="10.5" style="54" customWidth="1"/>
    <col min="14" max="16384" width="9" style="52"/>
  </cols>
  <sheetData>
    <row r="1" spans="1:13">
      <c r="A1" s="39" t="s">
        <v>174</v>
      </c>
      <c r="B1" s="39"/>
      <c r="C1" s="39"/>
      <c r="D1" s="50"/>
      <c r="E1" s="39"/>
      <c r="F1" s="50"/>
      <c r="G1" s="51"/>
      <c r="H1" s="50"/>
      <c r="I1" s="51"/>
      <c r="J1" s="53"/>
      <c r="K1" s="51"/>
      <c r="L1" s="51"/>
      <c r="M1" s="50"/>
    </row>
    <row r="2" spans="1:13" s="17" customFormat="1">
      <c r="A2" s="39" t="s">
        <v>121</v>
      </c>
      <c r="B2" s="39"/>
      <c r="C2" s="39"/>
      <c r="D2" s="50"/>
      <c r="E2" s="39"/>
      <c r="F2" s="50"/>
      <c r="G2" s="51"/>
      <c r="H2" s="50"/>
      <c r="I2" s="51"/>
      <c r="J2" s="53"/>
      <c r="K2" s="51"/>
      <c r="L2" s="51"/>
      <c r="M2" s="50"/>
    </row>
    <row r="3" spans="1:13" s="17" customFormat="1">
      <c r="A3" s="39" t="s">
        <v>168</v>
      </c>
      <c r="B3" s="39"/>
      <c r="C3" s="39"/>
      <c r="D3" s="50"/>
      <c r="E3" s="39"/>
      <c r="F3" s="50"/>
      <c r="G3" s="51"/>
      <c r="H3" s="50"/>
      <c r="I3" s="51"/>
      <c r="J3" s="53"/>
      <c r="K3" s="51"/>
      <c r="L3" s="51"/>
      <c r="M3" s="50"/>
    </row>
    <row r="4" spans="1:13" s="17" customFormat="1">
      <c r="A4" s="39" t="s">
        <v>122</v>
      </c>
      <c r="B4" s="39"/>
      <c r="C4" s="39"/>
      <c r="D4" s="50"/>
      <c r="E4" s="39"/>
      <c r="F4" s="50"/>
      <c r="G4" s="51"/>
      <c r="H4" s="50"/>
      <c r="I4" s="51"/>
      <c r="J4" s="53"/>
      <c r="K4" s="51"/>
      <c r="L4" s="51"/>
      <c r="M4" s="50"/>
    </row>
    <row r="5" spans="1:13" s="17" customFormat="1" ht="16.5">
      <c r="A5" s="202" t="s">
        <v>330</v>
      </c>
      <c r="B5" s="39"/>
      <c r="C5" s="39"/>
      <c r="D5" s="50"/>
      <c r="E5" s="39"/>
      <c r="F5" s="50"/>
      <c r="G5" s="51"/>
      <c r="H5" s="50"/>
      <c r="I5" s="51"/>
      <c r="J5" s="53"/>
      <c r="K5" s="51"/>
      <c r="L5" s="51"/>
      <c r="M5" s="50"/>
    </row>
    <row r="6" spans="1:13">
      <c r="A6" s="39" t="s">
        <v>331</v>
      </c>
      <c r="B6" s="39"/>
      <c r="C6" s="39"/>
      <c r="D6" s="50"/>
      <c r="E6" s="39"/>
      <c r="F6" s="50"/>
      <c r="G6" s="51"/>
      <c r="H6" s="50"/>
      <c r="I6" s="51"/>
      <c r="J6" s="53"/>
      <c r="K6" s="51"/>
      <c r="L6" s="51"/>
      <c r="M6" s="50"/>
    </row>
    <row r="7" spans="1:13">
      <c r="A7" s="39"/>
      <c r="B7" s="39"/>
      <c r="C7" s="39"/>
      <c r="D7" s="50"/>
      <c r="E7" s="39"/>
      <c r="F7" s="50"/>
      <c r="G7" s="51"/>
      <c r="H7" s="50"/>
      <c r="I7" s="51"/>
      <c r="K7" s="76"/>
      <c r="L7" s="76"/>
      <c r="M7" s="36"/>
    </row>
    <row r="8" spans="1:13">
      <c r="A8" s="39"/>
      <c r="B8" s="39"/>
      <c r="C8" s="39"/>
      <c r="D8" s="50"/>
      <c r="E8" s="39"/>
      <c r="F8" s="50"/>
      <c r="G8" s="50"/>
      <c r="H8" s="75"/>
      <c r="I8" s="50"/>
      <c r="K8" s="36"/>
      <c r="L8" s="36"/>
      <c r="M8" s="36"/>
    </row>
    <row r="9" spans="1:13">
      <c r="D9" s="35"/>
      <c r="E9" s="55"/>
      <c r="F9" s="35"/>
      <c r="G9" s="34" t="s">
        <v>173</v>
      </c>
      <c r="H9" s="35"/>
      <c r="I9" s="34" t="s">
        <v>184</v>
      </c>
      <c r="J9" s="65"/>
      <c r="K9" s="36"/>
      <c r="L9" s="36"/>
      <c r="M9" s="36"/>
    </row>
    <row r="10" spans="1:13" s="38" customFormat="1">
      <c r="A10" s="38" t="s">
        <v>123</v>
      </c>
      <c r="D10" s="35"/>
      <c r="E10" s="55" t="s">
        <v>124</v>
      </c>
      <c r="F10" s="35"/>
      <c r="G10" s="35" t="s">
        <v>169</v>
      </c>
      <c r="H10" s="34"/>
      <c r="I10" s="35" t="s">
        <v>169</v>
      </c>
      <c r="K10" s="137" t="s">
        <v>366</v>
      </c>
      <c r="L10" s="137"/>
      <c r="M10" s="137"/>
    </row>
    <row r="11" spans="1:13" s="38" customFormat="1">
      <c r="A11" s="187" t="s">
        <v>126</v>
      </c>
      <c r="C11" s="56" t="s">
        <v>127</v>
      </c>
      <c r="E11" s="56" t="s">
        <v>126</v>
      </c>
      <c r="G11" s="37" t="s">
        <v>129</v>
      </c>
      <c r="I11" s="37" t="s">
        <v>129</v>
      </c>
      <c r="K11" s="79" t="s">
        <v>129</v>
      </c>
      <c r="L11" s="175"/>
      <c r="M11" s="29" t="s">
        <v>166</v>
      </c>
    </row>
    <row r="12" spans="1:13" s="38" customFormat="1">
      <c r="C12" s="18">
        <v>-1</v>
      </c>
      <c r="D12" s="19"/>
      <c r="E12" s="18">
        <f>MIN($A12:D12)-1</f>
        <v>-2</v>
      </c>
      <c r="F12" s="19"/>
      <c r="G12" s="18">
        <f>MIN($A12:F12)-1</f>
        <v>-3</v>
      </c>
      <c r="H12" s="19"/>
      <c r="I12" s="18">
        <f>MIN($A12:H12)-1</f>
        <v>-4</v>
      </c>
      <c r="K12" s="18">
        <f>MIN($A12:J12)-1</f>
        <v>-5</v>
      </c>
      <c r="M12" s="18">
        <f>MIN($A12:L12)-1</f>
        <v>-6</v>
      </c>
    </row>
    <row r="13" spans="1:13" s="38" customFormat="1">
      <c r="D13" s="57"/>
      <c r="F13" s="57"/>
      <c r="G13" s="57"/>
      <c r="H13" s="57"/>
      <c r="I13" s="57"/>
      <c r="K13" s="35"/>
      <c r="L13" s="35"/>
      <c r="M13" s="57"/>
    </row>
    <row r="14" spans="1:13" ht="18.75" customHeight="1">
      <c r="C14" s="38" t="s">
        <v>130</v>
      </c>
    </row>
    <row r="15" spans="1:13">
      <c r="A15" s="52">
        <v>1</v>
      </c>
      <c r="C15" s="52" t="s">
        <v>130</v>
      </c>
      <c r="E15" s="58" t="s">
        <v>131</v>
      </c>
      <c r="G15" s="21">
        <f>'Exhibit-RMP(RMM-3) page 1'!K15</f>
        <v>749388.55500000005</v>
      </c>
      <c r="H15" s="22"/>
      <c r="I15" s="21">
        <f>G15+K15</f>
        <v>753377.598010513</v>
      </c>
      <c r="J15" s="183"/>
      <c r="K15" s="21">
        <f>G15/($G$49-$G$47-$G$46-$G$37-$G$17-$G$33-$G$34-$G$35-$G$36-'Exhibit-RMP(RMM-3) pg 3-21'!$G$712/1000)*$K$52</f>
        <v>3989.0430105129003</v>
      </c>
      <c r="L15" s="165"/>
      <c r="M15" s="30">
        <f>K15/$G15</f>
        <v>5.3230636949251247E-3</v>
      </c>
    </row>
    <row r="16" spans="1:13">
      <c r="A16" s="52">
        <f>MAX(A$14:A15)+1</f>
        <v>2</v>
      </c>
      <c r="C16" s="52" t="s">
        <v>132</v>
      </c>
      <c r="E16" s="59" t="s">
        <v>342</v>
      </c>
      <c r="G16" s="21">
        <f>'Exhibit-RMP(RMM-3) page 1'!K16</f>
        <v>618.27700000000004</v>
      </c>
      <c r="H16" s="22"/>
      <c r="I16" s="21">
        <f>G16+K16</f>
        <v>621.5681278521073</v>
      </c>
      <c r="J16" s="183"/>
      <c r="K16" s="21">
        <f>G16/($G$49-$G$47-$G$46-$G$37-$G$17-$G$33-$G$34-$G$35-$G$36-'Exhibit-RMP(RMM-3) pg 3-21'!$G$712/1000)*$K$52</f>
        <v>3.291127852107222</v>
      </c>
      <c r="L16" s="21"/>
      <c r="M16" s="80">
        <f>K16/$G16</f>
        <v>5.3230636949251255E-3</v>
      </c>
    </row>
    <row r="17" spans="1:18">
      <c r="A17" s="52">
        <f>MAX(A$14:A16)+1</f>
        <v>3</v>
      </c>
      <c r="C17" s="60" t="s">
        <v>133</v>
      </c>
      <c r="E17" s="61" t="s">
        <v>134</v>
      </c>
      <c r="G17" s="23">
        <f>'Exhibit-RMP(RMM-3) page 1'!K17</f>
        <v>6.7950900000000622</v>
      </c>
      <c r="H17" s="22"/>
      <c r="I17" s="23">
        <f>G17+K17</f>
        <v>6.7950900000000622</v>
      </c>
      <c r="J17" s="183"/>
      <c r="K17" s="23"/>
      <c r="L17" s="23"/>
      <c r="M17" s="81"/>
    </row>
    <row r="18" spans="1:18">
      <c r="A18" s="52">
        <f>MAX(A$14:A17)+1</f>
        <v>4</v>
      </c>
      <c r="C18" s="38" t="s">
        <v>135</v>
      </c>
      <c r="G18" s="21">
        <f>SUM(G15:G17)</f>
        <v>750013.62709000008</v>
      </c>
      <c r="H18" s="22"/>
      <c r="I18" s="21">
        <f>SUM(I15:I17)</f>
        <v>754005.96122836508</v>
      </c>
      <c r="J18" s="183"/>
      <c r="K18" s="21">
        <f>SUM(K15:K16)</f>
        <v>3992.3341383650077</v>
      </c>
      <c r="L18" s="21"/>
      <c r="M18" s="80">
        <f>K18/$G18</f>
        <v>5.3230154682055338E-3</v>
      </c>
    </row>
    <row r="19" spans="1:18" ht="24.75" customHeight="1">
      <c r="C19" s="38" t="s">
        <v>136</v>
      </c>
      <c r="G19" s="21"/>
      <c r="H19" s="22"/>
      <c r="I19" s="21"/>
      <c r="J19" s="183"/>
      <c r="K19" s="21"/>
      <c r="L19" s="62"/>
      <c r="M19" s="80"/>
    </row>
    <row r="20" spans="1:18">
      <c r="A20" s="52">
        <f>MAX(A$14:A19)+1</f>
        <v>5</v>
      </c>
      <c r="C20" s="52" t="s">
        <v>137</v>
      </c>
      <c r="E20" s="63">
        <v>6</v>
      </c>
      <c r="G20" s="21">
        <f>'Exhibit-RMP(RMM-3) page 1'!K20</f>
        <v>476830.033</v>
      </c>
      <c r="H20" s="22"/>
      <c r="I20" s="21">
        <f>G20+K20</f>
        <v>479368.22963731224</v>
      </c>
      <c r="J20" s="183"/>
      <c r="K20" s="21">
        <f>G20/($G$49-$G$47-$G$46-$G$37-$G$17-$G$33-$G$34-$G$35-$G$36-'Exhibit-RMP(RMM-3) pg 3-21'!$G$712/1000)*$K$52</f>
        <v>2538.1966373122495</v>
      </c>
      <c r="L20" s="165"/>
      <c r="M20" s="80">
        <f t="shared" ref="M20:M36" si="0">K20/$G20</f>
        <v>5.3230636949251255E-3</v>
      </c>
    </row>
    <row r="21" spans="1:18">
      <c r="A21" s="52">
        <f>MAX(A$14:A20)+1</f>
        <v>6</v>
      </c>
      <c r="C21" s="52" t="s">
        <v>138</v>
      </c>
      <c r="E21" s="59" t="s">
        <v>139</v>
      </c>
      <c r="G21" s="23">
        <f>'Exhibit-RMP(RMM-3) page 1'!K21</f>
        <v>47103.563999999998</v>
      </c>
      <c r="H21" s="22"/>
      <c r="I21" s="23">
        <f>G21+K21</f>
        <v>47354.299271429983</v>
      </c>
      <c r="J21" s="183"/>
      <c r="K21" s="23">
        <f>G21/($G$49-$G$47-$G$46-$G$37-$G$17-$G$33-$G$34-$G$35-$G$36-'Exhibit-RMP(RMM-3) pg 3-21'!$G$712/1000)*$K$52</f>
        <v>250.73527142998208</v>
      </c>
      <c r="L21" s="23"/>
      <c r="M21" s="81">
        <f t="shared" si="0"/>
        <v>5.3230636949251247E-3</v>
      </c>
    </row>
    <row r="22" spans="1:18">
      <c r="A22" s="52">
        <f>MAX(A$14:A21)+1</f>
        <v>7</v>
      </c>
      <c r="C22" s="64" t="s">
        <v>140</v>
      </c>
      <c r="G22" s="21">
        <f>SUM(G20:G21)</f>
        <v>523933.59700000001</v>
      </c>
      <c r="H22" s="22"/>
      <c r="I22" s="21">
        <f>SUM(I20:I21)</f>
        <v>526722.52890874224</v>
      </c>
      <c r="J22" s="183"/>
      <c r="K22" s="21">
        <f>SUM(K20:K21)</f>
        <v>2788.9319087422318</v>
      </c>
      <c r="L22" s="21"/>
      <c r="M22" s="80">
        <f t="shared" si="0"/>
        <v>5.3230636949251255E-3</v>
      </c>
    </row>
    <row r="23" spans="1:18" ht="23.1" customHeight="1">
      <c r="A23" s="52">
        <f>MAX(A$14:A22)+1</f>
        <v>8</v>
      </c>
      <c r="C23" s="60" t="s">
        <v>141</v>
      </c>
      <c r="E23" s="52">
        <v>8</v>
      </c>
      <c r="F23" s="20"/>
      <c r="G23" s="21">
        <f>'Exhibit-RMP(RMM-3) page 1'!K23</f>
        <v>148125.87700000001</v>
      </c>
      <c r="H23" s="22"/>
      <c r="I23" s="21">
        <f>G23+K23</f>
        <v>148914.36047813765</v>
      </c>
      <c r="J23" s="183"/>
      <c r="K23" s="21">
        <f>G23/($G$49-$G$47-$G$46-$G$37-$G$17-$G$33-$G$34-$G$35-$G$36-'Exhibit-RMP(RMM-3) pg 3-21'!$G$712/1000)*$K$52</f>
        <v>788.48347813764474</v>
      </c>
      <c r="L23" s="21"/>
      <c r="M23" s="80">
        <f>K23/$G23</f>
        <v>5.3230636949251255E-3</v>
      </c>
    </row>
    <row r="24" spans="1:18" ht="23.1" customHeight="1">
      <c r="A24" s="52">
        <f>MAX(A$14:A23)+1</f>
        <v>9</v>
      </c>
      <c r="C24" s="52" t="s">
        <v>142</v>
      </c>
      <c r="E24" s="52">
        <v>9</v>
      </c>
      <c r="G24" s="21">
        <f>'Exhibit-RMP(RMM-3) page 1'!K24</f>
        <v>273346.62900000002</v>
      </c>
      <c r="H24" s="22"/>
      <c r="I24" s="21">
        <f>G24+K24</f>
        <v>274801.67051696009</v>
      </c>
      <c r="J24" s="183"/>
      <c r="K24" s="21">
        <f>G24/($G$49-$G$47-$G$46-$G$37-$G$17-$G$33-$G$34-$G$35-$G$36-'Exhibit-RMP(RMM-3) pg 3-21'!$G$712/1000)*$K$52</f>
        <v>1455.0415169600676</v>
      </c>
      <c r="L24" s="21"/>
      <c r="M24" s="80">
        <f t="shared" si="0"/>
        <v>5.3230636949251255E-3</v>
      </c>
    </row>
    <row r="25" spans="1:18">
      <c r="A25" s="52">
        <f>MAX(A$14:A24)+1</f>
        <v>10</v>
      </c>
      <c r="C25" s="52" t="s">
        <v>143</v>
      </c>
      <c r="E25" s="59" t="s">
        <v>144</v>
      </c>
      <c r="G25" s="23">
        <f>'Exhibit-RMP(RMM-3) page 1'!K25</f>
        <v>2993.1880000000001</v>
      </c>
      <c r="H25" s="22"/>
      <c r="I25" s="23">
        <f>G25+K25</f>
        <v>3009.1209303748856</v>
      </c>
      <c r="J25" s="183"/>
      <c r="K25" s="23">
        <f>G25/($G$49-$G$47-$G$46-$G$37-$G$17-$G$33-$G$34-$G$35-$G$36-'Exhibit-RMP(RMM-3) pg 3-21'!$G$712/1000)*$K$52</f>
        <v>15.932930374885546</v>
      </c>
      <c r="L25" s="23"/>
      <c r="M25" s="81">
        <f t="shared" si="0"/>
        <v>5.3230636949251247E-3</v>
      </c>
    </row>
    <row r="26" spans="1:18">
      <c r="A26" s="52">
        <f>MAX(A$14:A25)+1</f>
        <v>11</v>
      </c>
      <c r="C26" s="64" t="s">
        <v>145</v>
      </c>
      <c r="G26" s="21">
        <f>SUM(G24:G25)</f>
        <v>276339.81700000004</v>
      </c>
      <c r="H26" s="22"/>
      <c r="I26" s="21">
        <f>SUM(I24:I25)</f>
        <v>277810.79144733498</v>
      </c>
      <c r="J26" s="183"/>
      <c r="K26" s="21">
        <f>SUM(K24:K25)</f>
        <v>1470.9744473349531</v>
      </c>
      <c r="L26" s="21"/>
      <c r="M26" s="80">
        <f t="shared" si="0"/>
        <v>5.3230636949251247E-3</v>
      </c>
    </row>
    <row r="27" spans="1:18" ht="23.1" customHeight="1">
      <c r="A27" s="52">
        <f>MAX(A$14:A26)+1</f>
        <v>12</v>
      </c>
      <c r="C27" s="52" t="s">
        <v>146</v>
      </c>
      <c r="E27" s="59">
        <v>10</v>
      </c>
      <c r="G27" s="21">
        <f>'Exhibit-RMP(RMM-3) page 1'!K27</f>
        <v>16044.557000000001</v>
      </c>
      <c r="H27" s="22"/>
      <c r="I27" s="21">
        <f>G27+K27</f>
        <v>16129.963198867857</v>
      </c>
      <c r="J27" s="183"/>
      <c r="K27" s="21">
        <f>G27/($G$49-$G$47-$G$46-$G$37-$G$17-$G$33-$G$34-$G$35-$G$36-'Exhibit-RMP(RMM-3) pg 3-21'!$G$712/1000)*$K$52</f>
        <v>85.406198867856787</v>
      </c>
      <c r="L27" s="21"/>
      <c r="M27" s="80">
        <f t="shared" si="0"/>
        <v>5.3230636949251255E-3</v>
      </c>
    </row>
    <row r="28" spans="1:18">
      <c r="A28" s="52">
        <f>MAX(A$14:A27)+1</f>
        <v>13</v>
      </c>
      <c r="C28" s="52" t="s">
        <v>147</v>
      </c>
      <c r="E28" s="59" t="s">
        <v>148</v>
      </c>
      <c r="G28" s="23">
        <f>'Exhibit-RMP(RMM-3) page 1'!K28</f>
        <v>1955.779</v>
      </c>
      <c r="H28" s="22"/>
      <c r="I28" s="23">
        <f>G28+K28</f>
        <v>1965.6881615313209</v>
      </c>
      <c r="J28" s="183"/>
      <c r="K28" s="23">
        <f>K29-K27</f>
        <v>9.9091615313210184</v>
      </c>
      <c r="L28" s="23"/>
      <c r="M28" s="81">
        <f t="shared" si="0"/>
        <v>5.066605956665359E-3</v>
      </c>
      <c r="R28" s="52">
        <f>O28+O90+O111+O132</f>
        <v>0</v>
      </c>
    </row>
    <row r="29" spans="1:18">
      <c r="A29" s="52">
        <f>MAX(A$14:A28)+1</f>
        <v>14</v>
      </c>
      <c r="C29" s="64" t="s">
        <v>149</v>
      </c>
      <c r="G29" s="21">
        <f>SUM(G27:G28)</f>
        <v>18000.335999999999</v>
      </c>
      <c r="H29" s="22"/>
      <c r="I29" s="21">
        <f>SUM(I27:I28)</f>
        <v>18095.651360399177</v>
      </c>
      <c r="J29" s="183"/>
      <c r="K29" s="21">
        <f>G29/($G$49-$G$47-$G$46-$G$37-$G$17-$G$33-$G$34-$G$35-$G$36-'Exhibit-RMP(RMM-3) pg 3-21'!G726/1000)*$K$52</f>
        <v>95.315360399177806</v>
      </c>
      <c r="L29" s="21"/>
      <c r="M29" s="80">
        <f t="shared" si="0"/>
        <v>5.2951989562404732E-3</v>
      </c>
    </row>
    <row r="30" spans="1:18">
      <c r="A30" s="52">
        <f>MAX(A$14:A29)+1</f>
        <v>15</v>
      </c>
      <c r="C30" s="52" t="s">
        <v>150</v>
      </c>
      <c r="E30" s="63">
        <v>23</v>
      </c>
      <c r="G30" s="21">
        <f>'Exhibit-RMP(RMM-3) page 1'!K30</f>
        <v>138041.82800000001</v>
      </c>
      <c r="H30" s="22"/>
      <c r="I30" s="21">
        <f t="shared" ref="I30:I37" si="1">G30+K30</f>
        <v>138776.63344300792</v>
      </c>
      <c r="J30" s="183"/>
      <c r="K30" s="21">
        <f>G30/($G$49-$G$47-$G$46-$G$37-$G$17-$G$33-$G$34-$G$35-$G$36-'Exhibit-RMP(RMM-3) pg 3-21'!$G$712/1000)*$K$52</f>
        <v>734.80544300789859</v>
      </c>
      <c r="L30" s="21"/>
      <c r="M30" s="80">
        <f t="shared" si="0"/>
        <v>5.3230636949251247E-3</v>
      </c>
    </row>
    <row r="31" spans="1:18">
      <c r="A31" s="52">
        <f>MAX(A$14:A30)+1</f>
        <v>16</v>
      </c>
      <c r="C31" s="52" t="s">
        <v>151</v>
      </c>
      <c r="E31" s="52">
        <v>31</v>
      </c>
      <c r="G31" s="21">
        <f>'Exhibit-RMP(RMM-3) page 1'!K31</f>
        <v>12590.477000000001</v>
      </c>
      <c r="H31" s="22"/>
      <c r="I31" s="21">
        <f t="shared" si="1"/>
        <v>12657.496911020491</v>
      </c>
      <c r="J31" s="183"/>
      <c r="K31" s="21">
        <f>G31/($G$49-$G$47-$G$46-$G$37-$G$17-$G$33-$G$34-$G$35-$G$36-'Exhibit-RMP(RMM-3) pg 3-21'!$G$712/1000)*$K$52</f>
        <v>67.019911020489815</v>
      </c>
      <c r="L31" s="21"/>
      <c r="M31" s="80">
        <f t="shared" si="0"/>
        <v>5.3230636949251255E-3</v>
      </c>
    </row>
    <row r="32" spans="1:18">
      <c r="A32" s="52">
        <f>MAX(A$14:A31)+1</f>
        <v>17</v>
      </c>
      <c r="C32" s="52" t="s">
        <v>347</v>
      </c>
      <c r="E32" s="52">
        <v>32</v>
      </c>
      <c r="G32" s="21">
        <f>'Exhibit-RMP(RMM-3) page 1'!K32</f>
        <v>13353.13</v>
      </c>
      <c r="H32" s="22"/>
      <c r="I32" s="21">
        <f t="shared" si="1"/>
        <v>13371.58691425647</v>
      </c>
      <c r="J32" s="183"/>
      <c r="K32" s="21">
        <f>(G32-'Exhibit-RMP(RMM-3) pg 3-21'!G712/1000)/($G$49-$G$47-$G$46-$G$37-$G$17-$G$33-$G$34-$G$35-$G$36-'Exhibit-RMP(RMM-3) pg 3-21'!$G$712/1000)*$K$52</f>
        <v>18.456914256471244</v>
      </c>
      <c r="L32" s="21"/>
      <c r="M32" s="80">
        <f>K32/$G32</f>
        <v>1.382216323548954E-3</v>
      </c>
    </row>
    <row r="33" spans="1:14">
      <c r="A33" s="52">
        <f>MAX(A$14:A32)+1</f>
        <v>18</v>
      </c>
      <c r="C33" s="52" t="s">
        <v>348</v>
      </c>
      <c r="E33" s="52">
        <v>34</v>
      </c>
      <c r="G33" s="21">
        <f>'Exhibit-RMP(RMM-3) page 1'!K33</f>
        <v>13027.75819123467</v>
      </c>
      <c r="H33" s="22"/>
      <c r="I33" s="21">
        <f t="shared" si="1"/>
        <v>13027.75819123467</v>
      </c>
      <c r="J33" s="183"/>
      <c r="K33" s="210">
        <v>0</v>
      </c>
      <c r="L33" s="21"/>
      <c r="M33" s="80">
        <f t="shared" ref="M33" si="2">K33/$G33</f>
        <v>0</v>
      </c>
    </row>
    <row r="34" spans="1:14">
      <c r="A34" s="52">
        <f>MAX(A$14:A31)+1</f>
        <v>17</v>
      </c>
      <c r="C34" s="60" t="s">
        <v>152</v>
      </c>
      <c r="E34" s="59" t="s">
        <v>134</v>
      </c>
      <c r="G34" s="21">
        <f>'Exhibit-RMP(RMM-3) page 1'!K34</f>
        <v>31874.342000000001</v>
      </c>
      <c r="H34" s="22"/>
      <c r="I34" s="21">
        <f t="shared" si="1"/>
        <v>31874.342000000001</v>
      </c>
      <c r="J34" s="183"/>
      <c r="K34" s="210">
        <v>0</v>
      </c>
      <c r="L34" s="21"/>
      <c r="M34" s="80">
        <f t="shared" si="0"/>
        <v>0</v>
      </c>
    </row>
    <row r="35" spans="1:14">
      <c r="A35" s="52">
        <f>MAX(A$14:A34)+1</f>
        <v>19</v>
      </c>
      <c r="C35" s="60" t="s">
        <v>153</v>
      </c>
      <c r="E35" s="59" t="s">
        <v>134</v>
      </c>
      <c r="G35" s="21">
        <f>'Exhibit-RMP(RMM-3) page 1'!K35</f>
        <v>31979.111000000001</v>
      </c>
      <c r="H35" s="22"/>
      <c r="I35" s="21">
        <f t="shared" si="1"/>
        <v>31979.111000000001</v>
      </c>
      <c r="J35" s="183"/>
      <c r="K35" s="210">
        <v>0</v>
      </c>
      <c r="L35" s="21"/>
      <c r="M35" s="80">
        <f t="shared" si="0"/>
        <v>0</v>
      </c>
    </row>
    <row r="36" spans="1:14">
      <c r="A36" s="52">
        <f>MAX(A$14:A35)+1</f>
        <v>20</v>
      </c>
      <c r="C36" s="60" t="s">
        <v>154</v>
      </c>
      <c r="E36" s="59" t="s">
        <v>134</v>
      </c>
      <c r="G36" s="21">
        <f>'Exhibit-RMP(RMM-3) page 1'!K36</f>
        <v>62957.593017309679</v>
      </c>
      <c r="H36" s="22"/>
      <c r="I36" s="21">
        <f t="shared" si="1"/>
        <v>62957.593017309679</v>
      </c>
      <c r="J36" s="183"/>
      <c r="K36" s="210">
        <v>0</v>
      </c>
      <c r="L36" s="21"/>
      <c r="M36" s="80">
        <f t="shared" si="0"/>
        <v>0</v>
      </c>
    </row>
    <row r="37" spans="1:14">
      <c r="A37" s="52">
        <f>MAX(A$14:A36)+1</f>
        <v>21</v>
      </c>
      <c r="C37" s="60" t="s">
        <v>133</v>
      </c>
      <c r="E37" s="61" t="s">
        <v>134</v>
      </c>
      <c r="G37" s="23">
        <f>'Exhibit-RMP(RMM-3) page 1'!K37</f>
        <v>4797.3367799999996</v>
      </c>
      <c r="H37" s="22"/>
      <c r="I37" s="23">
        <f t="shared" si="1"/>
        <v>4797.3367799999996</v>
      </c>
      <c r="J37" s="183"/>
      <c r="K37" s="23"/>
      <c r="L37" s="23"/>
      <c r="M37" s="81"/>
    </row>
    <row r="38" spans="1:14">
      <c r="A38" s="52">
        <f>MAX(A$14:A37)+1</f>
        <v>22</v>
      </c>
      <c r="C38" s="38" t="s">
        <v>155</v>
      </c>
      <c r="G38" s="21">
        <f>SUM(G20:G21,G23:G25,G27:G28,G30:G37)</f>
        <v>1275021.2029885442</v>
      </c>
      <c r="H38" s="22"/>
      <c r="I38" s="21">
        <f>SUM(I20:I21,I23:I25,I27:I28,I30:I37)</f>
        <v>1280985.1904514432</v>
      </c>
      <c r="J38" s="183"/>
      <c r="K38" s="21">
        <f>SUM(K20:K21,K23:K25,K27:K28,K30:K37)</f>
        <v>5963.9874628988664</v>
      </c>
      <c r="L38" s="21"/>
      <c r="M38" s="80">
        <f>K38/$G38</f>
        <v>4.6775594389487588E-3</v>
      </c>
    </row>
    <row r="39" spans="1:14" ht="28.5" customHeight="1">
      <c r="C39" s="38" t="s">
        <v>156</v>
      </c>
      <c r="G39" s="21"/>
      <c r="H39" s="22"/>
      <c r="I39" s="21"/>
      <c r="J39" s="183"/>
      <c r="K39" s="21"/>
      <c r="L39" s="21"/>
      <c r="M39" s="80"/>
    </row>
    <row r="40" spans="1:14">
      <c r="A40" s="52">
        <f>MAX(A$14:A39)+1</f>
        <v>23</v>
      </c>
      <c r="C40" s="52" t="s">
        <v>157</v>
      </c>
      <c r="E40" s="52">
        <v>7</v>
      </c>
      <c r="G40" s="21">
        <f>'Exhibit-RMP(RMM-3) page 1'!K40</f>
        <v>1383.2668705464662</v>
      </c>
      <c r="H40" s="22"/>
      <c r="I40" s="21">
        <f>G40+K40</f>
        <v>1390.6300882054647</v>
      </c>
      <c r="J40" s="183"/>
      <c r="K40" s="21">
        <f>G40/($G$49-$G$47-$G$46-$G$37-$G$17-$G$33-$G$34-$G$35-$G$36-'Exhibit-RMP(RMM-3) pg 3-21'!$G$712/1000)*$K$52</f>
        <v>7.3632176589985869</v>
      </c>
      <c r="L40" s="21"/>
      <c r="M40" s="80">
        <f t="shared" ref="M40:M45" si="3">K40/$G40</f>
        <v>5.3230636949251247E-3</v>
      </c>
      <c r="N40" s="21"/>
    </row>
    <row r="41" spans="1:14">
      <c r="A41" s="52">
        <f>MAX(A$14:A40)+1</f>
        <v>24</v>
      </c>
      <c r="C41" s="52" t="s">
        <v>158</v>
      </c>
      <c r="E41" s="52">
        <v>11</v>
      </c>
      <c r="G41" s="21">
        <f>'Exhibit-RMP(RMM-3) page 1'!K41</f>
        <v>3759.4048698993784</v>
      </c>
      <c r="H41" s="22"/>
      <c r="I41" s="21">
        <f>G41+K41</f>
        <v>3779.4164214768643</v>
      </c>
      <c r="J41" s="183"/>
      <c r="K41" s="21">
        <f>G41/($G$49-$G$47-$G$46-$G$37-$G$17-$G$33-$G$34-$G$35-$G$36-'Exhibit-RMP(RMM-3) pg 3-21'!$G$712/1000)*$K$52</f>
        <v>20.011551577486095</v>
      </c>
      <c r="L41" s="21"/>
      <c r="M41" s="80">
        <f t="shared" si="3"/>
        <v>5.3230636949251255E-3</v>
      </c>
    </row>
    <row r="42" spans="1:14">
      <c r="A42" s="52">
        <f>MAX(A$14:A41)+1</f>
        <v>25</v>
      </c>
      <c r="C42" s="52" t="s">
        <v>159</v>
      </c>
      <c r="E42" s="52">
        <v>12</v>
      </c>
      <c r="G42" s="21">
        <f>'Exhibit-RMP(RMM-3) page 1'!K42</f>
        <v>1384.8784946300007</v>
      </c>
      <c r="H42" s="22"/>
      <c r="I42" s="21">
        <f>G42+K42</f>
        <v>1392.2502910666483</v>
      </c>
      <c r="J42" s="183"/>
      <c r="K42" s="21">
        <f>G42/($G$49-$G$47-$G$46-$G$37-$G$17-$G$33-$G$34-$G$35-$G$36-'Exhibit-RMP(RMM-3) pg 3-21'!$G$712/1000)*$K$52</f>
        <v>7.3717964366475162</v>
      </c>
      <c r="L42" s="21"/>
      <c r="M42" s="80">
        <f t="shared" si="3"/>
        <v>5.3230636949251247E-3</v>
      </c>
    </row>
    <row r="43" spans="1:14">
      <c r="A43" s="65">
        <f>MAX(A$14:A42)+1</f>
        <v>26</v>
      </c>
      <c r="B43" s="65"/>
      <c r="C43" s="65" t="s">
        <v>160</v>
      </c>
      <c r="D43" s="66"/>
      <c r="E43" s="65">
        <v>15</v>
      </c>
      <c r="F43" s="66"/>
      <c r="G43" s="24">
        <f>'Exhibit-RMP(RMM-3) page 1'!K43</f>
        <v>781.11300000000006</v>
      </c>
      <c r="H43" s="25"/>
      <c r="I43" s="24">
        <f>G43+K43</f>
        <v>785.27091425193407</v>
      </c>
      <c r="J43" s="183"/>
      <c r="K43" s="24">
        <f>G43/($G$49-$G$47-$G$46-$G$37-$G$17-$G$33-$G$34-$G$35-$G$36-'Exhibit-RMP(RMM-3) pg 3-21'!$G$712/1000)*$K$52</f>
        <v>4.1579142519340495</v>
      </c>
      <c r="L43" s="24"/>
      <c r="M43" s="82">
        <f t="shared" si="3"/>
        <v>5.3230636949251247E-3</v>
      </c>
    </row>
    <row r="44" spans="1:14">
      <c r="A44" s="52">
        <f>MAX(A$14:A43)+1</f>
        <v>27</v>
      </c>
      <c r="C44" s="52" t="s">
        <v>161</v>
      </c>
      <c r="E44" s="52">
        <v>15</v>
      </c>
      <c r="G44" s="23">
        <f>'Exhibit-RMP(RMM-3) page 1'!K44</f>
        <v>802.61</v>
      </c>
      <c r="H44" s="22"/>
      <c r="I44" s="23">
        <f>G44+K44</f>
        <v>806.88234415218392</v>
      </c>
      <c r="J44" s="183"/>
      <c r="K44" s="23">
        <f>G44/($G$49-$G$47-$G$46-$G$37-$G$17-$G$33-$G$34-$G$35-$G$36-'Exhibit-RMP(RMM-3) pg 3-21'!$G$712/1000)*$K$52</f>
        <v>4.2723441521838543</v>
      </c>
      <c r="L44" s="23"/>
      <c r="M44" s="81">
        <f t="shared" si="3"/>
        <v>5.3230636949251247E-3</v>
      </c>
    </row>
    <row r="45" spans="1:14">
      <c r="A45" s="52">
        <f>MAX(A$14:A44)+1</f>
        <v>28</v>
      </c>
      <c r="C45" s="64" t="s">
        <v>162</v>
      </c>
      <c r="D45" s="26"/>
      <c r="F45" s="26"/>
      <c r="G45" s="21">
        <f>SUM(G40:G44)</f>
        <v>8111.2732350758452</v>
      </c>
      <c r="H45" s="21"/>
      <c r="I45" s="21">
        <f>SUM(I40:I44)</f>
        <v>8154.450059153095</v>
      </c>
      <c r="J45" s="183"/>
      <c r="K45" s="21">
        <f>SUM(K40:K44)</f>
        <v>43.176824077250103</v>
      </c>
      <c r="L45" s="21"/>
      <c r="M45" s="80">
        <f t="shared" si="3"/>
        <v>5.3230636949251255E-3</v>
      </c>
    </row>
    <row r="46" spans="1:14" ht="23.1" customHeight="1">
      <c r="A46" s="52">
        <f>MAX(A$14:A45)+1</f>
        <v>29</v>
      </c>
      <c r="C46" s="60" t="s">
        <v>163</v>
      </c>
      <c r="E46" s="59" t="s">
        <v>134</v>
      </c>
      <c r="G46" s="21">
        <f>'Exhibit-RMP(RMM-3) page 1'!K46</f>
        <v>0.55700000000000005</v>
      </c>
      <c r="H46" s="22"/>
      <c r="I46" s="21">
        <f>G46+K46</f>
        <v>0.55700000000000005</v>
      </c>
      <c r="J46" s="183"/>
      <c r="K46" s="21"/>
      <c r="L46" s="21"/>
      <c r="M46" s="80"/>
    </row>
    <row r="47" spans="1:14">
      <c r="A47" s="52">
        <f>MAX(A$14:A46)+1</f>
        <v>30</v>
      </c>
      <c r="C47" s="60" t="s">
        <v>133</v>
      </c>
      <c r="D47" s="27"/>
      <c r="E47" s="61" t="s">
        <v>134</v>
      </c>
      <c r="F47" s="27"/>
      <c r="G47" s="23">
        <f>'Exhibit-RMP(RMM-3) page 1'!K47</f>
        <v>4.6550400000000005</v>
      </c>
      <c r="H47" s="22"/>
      <c r="I47" s="23">
        <f>'Exhibit-RMP(RMM-3) page 1'!M47</f>
        <v>0</v>
      </c>
      <c r="J47" s="183"/>
      <c r="K47" s="23"/>
      <c r="L47" s="23"/>
      <c r="M47" s="81"/>
    </row>
    <row r="48" spans="1:14">
      <c r="A48" s="52">
        <f>MAX(A$14:A47)+1</f>
        <v>31</v>
      </c>
      <c r="C48" s="38" t="s">
        <v>164</v>
      </c>
      <c r="E48" s="65"/>
      <c r="G48" s="23">
        <f>SUM(G45:G47)</f>
        <v>8116.4852750758446</v>
      </c>
      <c r="H48" s="22"/>
      <c r="I48" s="23">
        <f>SUM(I45:I47)</f>
        <v>8155.0070591530948</v>
      </c>
      <c r="J48" s="183"/>
      <c r="K48" s="23">
        <f>SUM(K45:K47)</f>
        <v>43.176824077250103</v>
      </c>
      <c r="L48" s="23"/>
      <c r="M48" s="81">
        <f>K48/$G48</f>
        <v>5.3196454640086358E-3</v>
      </c>
    </row>
    <row r="49" spans="1:13" ht="27.75" customHeight="1" thickBot="1">
      <c r="A49" s="52">
        <f>MAX(A$14:A48)+1</f>
        <v>32</v>
      </c>
      <c r="C49" s="38" t="s">
        <v>165</v>
      </c>
      <c r="E49" s="65"/>
      <c r="G49" s="28">
        <f>G18+G38+G48</f>
        <v>2033151.3153536201</v>
      </c>
      <c r="H49" s="22"/>
      <c r="I49" s="28">
        <f>I18+I38+I48</f>
        <v>2043146.1587389614</v>
      </c>
      <c r="J49" s="184"/>
      <c r="K49" s="77">
        <f>K18+K38+K48</f>
        <v>9999.4984253411239</v>
      </c>
      <c r="L49" s="77"/>
      <c r="M49" s="83">
        <f>K49/$G49</f>
        <v>4.9182263758868038E-3</v>
      </c>
    </row>
    <row r="50" spans="1:13" ht="9.75" customHeight="1" thickTop="1">
      <c r="C50" s="38"/>
      <c r="E50" s="65"/>
      <c r="G50" s="24"/>
      <c r="H50" s="22"/>
      <c r="I50" s="24"/>
      <c r="J50" s="78"/>
      <c r="K50" s="167"/>
      <c r="L50" s="167"/>
      <c r="M50" s="82"/>
    </row>
    <row r="51" spans="1:13">
      <c r="A51" s="65"/>
      <c r="B51" s="65"/>
      <c r="C51" s="65"/>
      <c r="D51" s="66"/>
    </row>
    <row r="52" spans="1:13">
      <c r="A52" s="350"/>
      <c r="B52" s="65"/>
      <c r="C52" s="65"/>
      <c r="D52" s="66"/>
      <c r="H52" s="87"/>
      <c r="J52" s="182"/>
      <c r="K52" s="201">
        <v>10000</v>
      </c>
    </row>
    <row r="53" spans="1:13">
      <c r="C53" s="179"/>
      <c r="H53" s="87"/>
      <c r="J53" s="176"/>
      <c r="K53" s="190"/>
    </row>
    <row r="54" spans="1:13">
      <c r="H54" s="87"/>
      <c r="J54" s="76"/>
      <c r="K54" s="174"/>
      <c r="L54" s="176"/>
      <c r="M54" s="191"/>
    </row>
    <row r="55" spans="1:13" s="54" customFormat="1">
      <c r="A55" s="52"/>
      <c r="B55" s="52"/>
      <c r="C55" s="52"/>
      <c r="E55" s="52"/>
      <c r="M55" s="59"/>
    </row>
    <row r="56" spans="1:13">
      <c r="E56" s="188"/>
      <c r="F56" s="87"/>
      <c r="G56" s="87"/>
      <c r="H56" s="87"/>
      <c r="I56" s="87"/>
    </row>
    <row r="57" spans="1:13">
      <c r="E57" s="188"/>
      <c r="F57" s="87"/>
      <c r="L57" s="173"/>
    </row>
    <row r="58" spans="1:13">
      <c r="E58" s="188"/>
      <c r="F58" s="87"/>
      <c r="L58" s="177"/>
    </row>
    <row r="59" spans="1:13">
      <c r="E59" s="188"/>
      <c r="F59" s="87"/>
      <c r="L59" s="178"/>
    </row>
    <row r="60" spans="1:13">
      <c r="E60" s="188"/>
      <c r="F60" s="87"/>
      <c r="G60" s="180"/>
      <c r="H60" s="87"/>
      <c r="I60" s="180"/>
      <c r="J60" s="181"/>
      <c r="K60" s="189"/>
    </row>
    <row r="61" spans="1:13">
      <c r="E61" s="188"/>
      <c r="F61" s="87"/>
      <c r="G61" s="180"/>
      <c r="H61" s="87"/>
      <c r="I61" s="180"/>
      <c r="J61" s="176"/>
      <c r="K61" s="178"/>
    </row>
    <row r="62" spans="1:13">
      <c r="E62" s="65"/>
      <c r="F62" s="66"/>
      <c r="G62" s="66"/>
      <c r="H62" s="66"/>
      <c r="I62" s="66"/>
      <c r="J62" s="76"/>
      <c r="K62" s="66"/>
    </row>
    <row r="63" spans="1:13">
      <c r="E63" s="65"/>
      <c r="F63" s="66"/>
      <c r="G63" s="66"/>
      <c r="H63" s="66"/>
      <c r="I63" s="66"/>
      <c r="J63" s="169"/>
      <c r="K63" s="173"/>
    </row>
    <row r="64" spans="1:13">
      <c r="E64" s="65"/>
      <c r="F64" s="66"/>
      <c r="G64" s="66"/>
      <c r="H64" s="66"/>
      <c r="I64" s="66"/>
      <c r="J64" s="170"/>
      <c r="K64" s="173"/>
    </row>
  </sheetData>
  <phoneticPr fontId="98" type="noConversion"/>
  <printOptions horizontalCentered="1"/>
  <pageMargins left="0.25" right="0.25" top="1" bottom="0.5" header="0.25" footer="0.25"/>
  <pageSetup scale="8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7"/>
  <sheetViews>
    <sheetView view="pageBreakPreview" zoomScale="75" zoomScaleNormal="90" zoomScaleSheetLayoutView="75" workbookViewId="0">
      <selection activeCell="G12" sqref="G12"/>
    </sheetView>
  </sheetViews>
  <sheetFormatPr defaultColWidth="9" defaultRowHeight="15.75"/>
  <cols>
    <col min="1" max="1" width="33.375" style="70" customWidth="1"/>
    <col min="2" max="2" width="0.625" style="70" customWidth="1"/>
    <col min="3" max="3" width="14.125" style="245" bestFit="1" customWidth="1"/>
    <col min="4" max="4" width="0.875" style="70" customWidth="1"/>
    <col min="5" max="5" width="8.125" style="70" bestFit="1" customWidth="1"/>
    <col min="6" max="6" width="1.625" style="70" bestFit="1" customWidth="1"/>
    <col min="7" max="7" width="14.125" style="43" customWidth="1"/>
    <col min="8" max="8" width="0.875" style="70" customWidth="1"/>
    <col min="9" max="9" width="8.875" style="42" customWidth="1"/>
    <col min="10" max="10" width="0.875" style="70" customWidth="1"/>
    <col min="11" max="11" width="11.625" style="42" bestFit="1" customWidth="1"/>
    <col min="12" max="12" width="0.875" style="70" customWidth="1"/>
    <col min="13" max="13" width="8.875" style="42" bestFit="1" customWidth="1"/>
    <col min="14" max="14" width="0.875" style="70" customWidth="1"/>
    <col min="15" max="15" width="15.375" style="43" customWidth="1"/>
    <col min="16" max="16" width="1.625" style="70" customWidth="1"/>
    <col min="17" max="17" width="13.625" style="244" customWidth="1"/>
    <col min="18" max="18" width="12.125" style="244" bestFit="1" customWidth="1"/>
    <col min="19" max="19" width="10.625" style="70" bestFit="1" customWidth="1"/>
    <col min="20" max="16384" width="9" style="70"/>
  </cols>
  <sheetData>
    <row r="1" spans="1:19" ht="18.75">
      <c r="A1" s="241" t="s">
        <v>0</v>
      </c>
      <c r="B1" s="68"/>
      <c r="C1" s="242"/>
      <c r="D1" s="68"/>
      <c r="E1" s="68"/>
      <c r="F1" s="68"/>
      <c r="G1" s="243"/>
      <c r="H1" s="68"/>
      <c r="I1" s="40"/>
      <c r="J1" s="68"/>
      <c r="K1" s="40"/>
      <c r="L1" s="68"/>
      <c r="M1" s="40"/>
      <c r="N1" s="68"/>
      <c r="O1" s="41"/>
    </row>
    <row r="2" spans="1:19" ht="18.75">
      <c r="A2" s="241" t="s">
        <v>201</v>
      </c>
      <c r="B2" s="68"/>
      <c r="C2" s="242"/>
      <c r="D2" s="68"/>
      <c r="E2" s="68"/>
      <c r="F2" s="68"/>
      <c r="G2" s="243"/>
      <c r="H2" s="68"/>
      <c r="I2" s="40"/>
      <c r="J2" s="68"/>
      <c r="K2" s="40"/>
      <c r="L2" s="68"/>
      <c r="M2" s="40"/>
      <c r="N2" s="68"/>
      <c r="O2" s="41"/>
    </row>
    <row r="3" spans="1:19" ht="18.75">
      <c r="A3" s="241" t="s">
        <v>330</v>
      </c>
      <c r="B3" s="68"/>
      <c r="C3" s="242"/>
      <c r="D3" s="68"/>
      <c r="E3" s="68"/>
      <c r="F3" s="68"/>
      <c r="G3" s="243"/>
      <c r="H3" s="68"/>
      <c r="I3" s="40"/>
      <c r="J3" s="68"/>
      <c r="K3" s="40"/>
      <c r="L3" s="68"/>
      <c r="M3" s="40"/>
      <c r="N3" s="68"/>
      <c r="O3" s="41"/>
    </row>
    <row r="4" spans="1:19" ht="18.75">
      <c r="A4" s="241" t="s">
        <v>331</v>
      </c>
      <c r="B4" s="68"/>
      <c r="C4" s="242"/>
      <c r="D4" s="68"/>
      <c r="E4" s="68"/>
      <c r="F4" s="68"/>
      <c r="G4" s="243"/>
      <c r="H4" s="68"/>
      <c r="I4" s="40"/>
      <c r="J4" s="68"/>
      <c r="K4" s="40"/>
      <c r="L4" s="68"/>
      <c r="M4" s="40"/>
      <c r="N4" s="68"/>
      <c r="O4" s="41"/>
    </row>
    <row r="5" spans="1:19" ht="18.75">
      <c r="I5" s="40"/>
      <c r="K5" s="40"/>
      <c r="M5" s="40"/>
      <c r="O5" s="41"/>
    </row>
    <row r="6" spans="1:19">
      <c r="E6" s="345" t="s">
        <v>173</v>
      </c>
      <c r="F6" s="346"/>
      <c r="G6" s="347"/>
      <c r="I6" s="382" t="s">
        <v>368</v>
      </c>
      <c r="J6" s="383"/>
      <c r="K6" s="384"/>
      <c r="M6" s="44" t="s">
        <v>367</v>
      </c>
      <c r="N6" s="84"/>
      <c r="O6" s="45"/>
    </row>
    <row r="7" spans="1:19">
      <c r="C7" s="4" t="s">
        <v>1</v>
      </c>
      <c r="D7" s="69"/>
      <c r="F7" s="85"/>
      <c r="G7" s="71" t="s">
        <v>2</v>
      </c>
      <c r="H7" s="69"/>
      <c r="J7" s="69"/>
      <c r="K7" s="71" t="s">
        <v>2</v>
      </c>
      <c r="L7" s="69"/>
      <c r="N7" s="69"/>
      <c r="O7" s="71" t="s">
        <v>2</v>
      </c>
      <c r="R7" s="352" t="s">
        <v>182</v>
      </c>
      <c r="S7" s="353" t="s">
        <v>362</v>
      </c>
    </row>
    <row r="8" spans="1:19">
      <c r="C8" s="5" t="s">
        <v>3</v>
      </c>
      <c r="D8" s="69"/>
      <c r="E8" s="168" t="s">
        <v>4</v>
      </c>
      <c r="F8" s="85"/>
      <c r="G8" s="72" t="s">
        <v>5</v>
      </c>
      <c r="H8" s="69"/>
      <c r="I8" s="168" t="s">
        <v>4</v>
      </c>
      <c r="J8" s="69"/>
      <c r="K8" s="72" t="s">
        <v>5</v>
      </c>
      <c r="L8" s="69"/>
      <c r="M8" s="168" t="s">
        <v>4</v>
      </c>
      <c r="N8" s="69"/>
      <c r="O8" s="72" t="s">
        <v>5</v>
      </c>
      <c r="Q8" s="49" t="s">
        <v>167</v>
      </c>
      <c r="R8" s="355">
        <v>8</v>
      </c>
      <c r="S8" s="355">
        <v>8</v>
      </c>
    </row>
    <row r="9" spans="1:19">
      <c r="A9" s="246" t="s">
        <v>6</v>
      </c>
      <c r="I9" s="70"/>
      <c r="K9" s="70"/>
      <c r="M9" s="70"/>
    </row>
    <row r="10" spans="1:19">
      <c r="A10" s="86" t="s">
        <v>170</v>
      </c>
      <c r="C10" s="245">
        <v>9344849.0845141169</v>
      </c>
      <c r="E10" s="247"/>
      <c r="F10" s="247"/>
      <c r="I10" s="247"/>
      <c r="K10" s="247"/>
      <c r="M10" s="247"/>
      <c r="Q10" s="3"/>
      <c r="R10" s="1"/>
    </row>
    <row r="11" spans="1:19">
      <c r="A11" s="86" t="s">
        <v>8</v>
      </c>
      <c r="C11" s="245">
        <v>9329308</v>
      </c>
      <c r="E11" s="247"/>
      <c r="F11" s="247"/>
      <c r="I11" s="247"/>
      <c r="K11" s="247"/>
      <c r="M11" s="247"/>
      <c r="O11" s="70"/>
    </row>
    <row r="12" spans="1:19">
      <c r="A12" s="86" t="s">
        <v>217</v>
      </c>
      <c r="C12" s="245">
        <v>7140845</v>
      </c>
      <c r="E12" s="247">
        <v>10</v>
      </c>
      <c r="F12" s="247"/>
      <c r="G12" s="6">
        <f>ROUND($C12*E12,0)</f>
        <v>71408450</v>
      </c>
      <c r="I12" s="247"/>
      <c r="K12" s="247"/>
      <c r="M12" s="247"/>
      <c r="O12" s="6"/>
      <c r="Q12" s="31" t="s">
        <v>349</v>
      </c>
      <c r="R12" s="248"/>
    </row>
    <row r="13" spans="1:19">
      <c r="A13" s="86" t="s">
        <v>218</v>
      </c>
      <c r="C13" s="245">
        <v>2188463</v>
      </c>
      <c r="E13" s="247">
        <v>6</v>
      </c>
      <c r="F13" s="247"/>
      <c r="G13" s="6">
        <f>ROUND($C13*E13,0)</f>
        <v>13130778</v>
      </c>
      <c r="I13" s="247"/>
      <c r="K13" s="247"/>
      <c r="M13" s="247"/>
      <c r="O13" s="6"/>
      <c r="Q13" s="249" t="s">
        <v>11</v>
      </c>
      <c r="R13" s="8">
        <f>SUM(O28,O49,O69,O90,O111,O132)</f>
        <v>3992335</v>
      </c>
    </row>
    <row r="14" spans="1:19">
      <c r="A14" s="86" t="s">
        <v>9</v>
      </c>
      <c r="C14" s="245">
        <v>15541.084514116868</v>
      </c>
      <c r="E14" s="247"/>
      <c r="F14" s="247"/>
      <c r="G14" s="6"/>
      <c r="I14" s="247"/>
      <c r="K14" s="247"/>
      <c r="M14" s="247"/>
      <c r="O14" s="6"/>
      <c r="Q14" s="249" t="s">
        <v>12</v>
      </c>
      <c r="R14" s="8">
        <f>'Exhibit-RMP(RMM-3) page 2'!K18*1000</f>
        <v>3992334.1383650075</v>
      </c>
    </row>
    <row r="15" spans="1:19">
      <c r="A15" s="86" t="s">
        <v>217</v>
      </c>
      <c r="C15" s="245">
        <v>3325.0845141168684</v>
      </c>
      <c r="E15" s="247">
        <v>20</v>
      </c>
      <c r="F15" s="247"/>
      <c r="G15" s="6">
        <f t="shared" ref="G15:G18" si="0">ROUND($C15*E15,0)</f>
        <v>66502</v>
      </c>
      <c r="I15" s="247"/>
      <c r="K15" s="247"/>
      <c r="M15" s="247"/>
      <c r="O15" s="6"/>
      <c r="Q15" s="250" t="s">
        <v>13</v>
      </c>
      <c r="R15" s="9">
        <f>R14-R13</f>
        <v>-0.86163499252870679</v>
      </c>
    </row>
    <row r="16" spans="1:19">
      <c r="A16" s="86" t="s">
        <v>218</v>
      </c>
      <c r="C16" s="245">
        <v>12216</v>
      </c>
      <c r="E16" s="247">
        <v>12</v>
      </c>
      <c r="F16" s="247"/>
      <c r="G16" s="6">
        <f t="shared" si="0"/>
        <v>146592</v>
      </c>
      <c r="I16" s="247"/>
      <c r="K16" s="247"/>
      <c r="M16" s="247"/>
      <c r="O16" s="6"/>
      <c r="Q16" s="373"/>
      <c r="R16" s="374"/>
    </row>
    <row r="17" spans="1:18">
      <c r="A17" s="86" t="s">
        <v>219</v>
      </c>
      <c r="C17" s="245">
        <v>0</v>
      </c>
      <c r="E17" s="247">
        <v>2</v>
      </c>
      <c r="F17" s="247"/>
      <c r="G17" s="6">
        <f t="shared" si="0"/>
        <v>0</v>
      </c>
      <c r="I17" s="247"/>
      <c r="K17" s="247"/>
      <c r="M17" s="247"/>
      <c r="O17" s="6"/>
      <c r="Q17" s="2"/>
      <c r="R17" s="375"/>
    </row>
    <row r="18" spans="1:18">
      <c r="A18" s="86" t="s">
        <v>220</v>
      </c>
      <c r="C18" s="245">
        <v>253</v>
      </c>
      <c r="E18" s="247">
        <v>22</v>
      </c>
      <c r="F18" s="247"/>
      <c r="G18" s="6">
        <f t="shared" si="0"/>
        <v>5566</v>
      </c>
      <c r="I18" s="247"/>
      <c r="K18" s="247"/>
      <c r="M18" s="247"/>
      <c r="O18" s="6"/>
      <c r="Q18" s="263"/>
      <c r="R18" s="263"/>
    </row>
    <row r="19" spans="1:18">
      <c r="A19" s="86" t="s">
        <v>221</v>
      </c>
      <c r="C19" s="245">
        <v>0</v>
      </c>
      <c r="E19" s="252">
        <v>4.3559999999999999</v>
      </c>
      <c r="F19" s="253" t="s">
        <v>10</v>
      </c>
      <c r="G19" s="6">
        <f>ROUND($C19*E19/100,0)</f>
        <v>0</v>
      </c>
      <c r="I19" s="358">
        <v>5.7999999999999996E-3</v>
      </c>
      <c r="K19" s="6">
        <f>ROUND($G19*I19,0)</f>
        <v>0</v>
      </c>
      <c r="M19" s="358">
        <f>ROUND(R14/SUM(G19:G26,G40:G47,G62:G67,G81:G88,G102:G109,G123:G130),$R$8)</f>
        <v>6.0837599999999997E-3</v>
      </c>
      <c r="O19" s="6">
        <f>ROUND($G19*M19,0)</f>
        <v>0</v>
      </c>
    </row>
    <row r="20" spans="1:18">
      <c r="A20" s="86" t="s">
        <v>222</v>
      </c>
      <c r="C20" s="245">
        <v>0</v>
      </c>
      <c r="E20" s="252">
        <v>-1.6334</v>
      </c>
      <c r="F20" s="253" t="s">
        <v>10</v>
      </c>
      <c r="G20" s="6">
        <f t="shared" ref="G20:G26" si="1">ROUND($C20*E20/100,0)</f>
        <v>0</v>
      </c>
      <c r="I20" s="357">
        <f>$I$19</f>
        <v>5.7999999999999996E-3</v>
      </c>
      <c r="K20" s="6">
        <f t="shared" ref="K20:K26" si="2">ROUND($G20*I20,0)</f>
        <v>0</v>
      </c>
      <c r="M20" s="357">
        <f>$M$19</f>
        <v>6.0837599999999997E-3</v>
      </c>
      <c r="O20" s="6">
        <f t="shared" ref="O20:O26" si="3">ROUND($G20*M20,0)</f>
        <v>0</v>
      </c>
    </row>
    <row r="21" spans="1:18">
      <c r="A21" s="86" t="s">
        <v>223</v>
      </c>
      <c r="C21" s="245">
        <v>1080475944.5283775</v>
      </c>
      <c r="E21" s="254">
        <v>9.0279000000000007</v>
      </c>
      <c r="F21" s="253" t="s">
        <v>10</v>
      </c>
      <c r="G21" s="6">
        <f t="shared" si="1"/>
        <v>97544288</v>
      </c>
      <c r="I21" s="357">
        <f t="shared" ref="I21:I26" si="4">$I$19</f>
        <v>5.7999999999999996E-3</v>
      </c>
      <c r="K21" s="6">
        <f t="shared" si="2"/>
        <v>565757</v>
      </c>
      <c r="M21" s="357">
        <f t="shared" ref="M21:M26" si="5">$M$19</f>
        <v>6.0837599999999997E-3</v>
      </c>
      <c r="O21" s="6">
        <f t="shared" si="3"/>
        <v>593436</v>
      </c>
    </row>
    <row r="22" spans="1:18">
      <c r="A22" s="86" t="s">
        <v>224</v>
      </c>
      <c r="C22" s="245">
        <v>960049471</v>
      </c>
      <c r="E22" s="254">
        <v>11.721</v>
      </c>
      <c r="F22" s="253" t="s">
        <v>10</v>
      </c>
      <c r="G22" s="6">
        <f t="shared" si="1"/>
        <v>112527398</v>
      </c>
      <c r="I22" s="357">
        <f t="shared" si="4"/>
        <v>5.7999999999999996E-3</v>
      </c>
      <c r="K22" s="6">
        <f t="shared" si="2"/>
        <v>652659</v>
      </c>
      <c r="M22" s="357">
        <f t="shared" si="5"/>
        <v>6.0837599999999997E-3</v>
      </c>
      <c r="O22" s="6">
        <f t="shared" si="3"/>
        <v>684590</v>
      </c>
    </row>
    <row r="23" spans="1:18">
      <c r="A23" s="86" t="s">
        <v>225</v>
      </c>
      <c r="C23" s="245">
        <v>527790900</v>
      </c>
      <c r="E23" s="254">
        <v>11.721</v>
      </c>
      <c r="F23" s="253" t="s">
        <v>10</v>
      </c>
      <c r="G23" s="6">
        <f t="shared" si="1"/>
        <v>61862371</v>
      </c>
      <c r="I23" s="357">
        <f t="shared" si="4"/>
        <v>5.7999999999999996E-3</v>
      </c>
      <c r="K23" s="6">
        <f t="shared" si="2"/>
        <v>358802</v>
      </c>
      <c r="M23" s="357">
        <f t="shared" si="5"/>
        <v>6.0837599999999997E-3</v>
      </c>
      <c r="O23" s="6">
        <f t="shared" si="3"/>
        <v>376356</v>
      </c>
    </row>
    <row r="24" spans="1:18">
      <c r="A24" s="86" t="s">
        <v>226</v>
      </c>
      <c r="B24" s="255"/>
      <c r="C24" s="245">
        <v>2051977461</v>
      </c>
      <c r="D24" s="255"/>
      <c r="E24" s="256">
        <v>7.9893000000000001</v>
      </c>
      <c r="F24" s="253" t="s">
        <v>10</v>
      </c>
      <c r="G24" s="6">
        <f t="shared" si="1"/>
        <v>163938635</v>
      </c>
      <c r="H24" s="255"/>
      <c r="I24" s="357">
        <f t="shared" si="4"/>
        <v>5.7999999999999996E-3</v>
      </c>
      <c r="J24" s="255"/>
      <c r="K24" s="6">
        <f t="shared" si="2"/>
        <v>950844</v>
      </c>
      <c r="L24" s="255"/>
      <c r="M24" s="357">
        <f t="shared" si="5"/>
        <v>6.0837599999999997E-3</v>
      </c>
      <c r="N24" s="255"/>
      <c r="O24" s="6">
        <f t="shared" si="3"/>
        <v>997363</v>
      </c>
    </row>
    <row r="25" spans="1:18">
      <c r="A25" s="86" t="s">
        <v>227</v>
      </c>
      <c r="B25" s="255"/>
      <c r="C25" s="245">
        <v>1671527763</v>
      </c>
      <c r="D25" s="255"/>
      <c r="E25" s="256">
        <v>10.3725</v>
      </c>
      <c r="F25" s="253" t="s">
        <v>10</v>
      </c>
      <c r="G25" s="6">
        <f t="shared" si="1"/>
        <v>173379217</v>
      </c>
      <c r="H25" s="255"/>
      <c r="I25" s="357">
        <f t="shared" si="4"/>
        <v>5.7999999999999996E-3</v>
      </c>
      <c r="J25" s="255"/>
      <c r="K25" s="6">
        <f t="shared" si="2"/>
        <v>1005599</v>
      </c>
      <c r="L25" s="255"/>
      <c r="M25" s="357">
        <f t="shared" si="5"/>
        <v>6.0837599999999997E-3</v>
      </c>
      <c r="N25" s="255"/>
      <c r="O25" s="6">
        <f t="shared" si="3"/>
        <v>1054798</v>
      </c>
    </row>
    <row r="26" spans="1:18">
      <c r="A26" s="257" t="s">
        <v>228</v>
      </c>
      <c r="B26" s="258"/>
      <c r="C26" s="245">
        <v>15864580</v>
      </c>
      <c r="D26" s="258"/>
      <c r="E26" s="259">
        <v>11.912599999999999</v>
      </c>
      <c r="F26" s="260" t="s">
        <v>10</v>
      </c>
      <c r="G26" s="6">
        <f t="shared" si="1"/>
        <v>1889884</v>
      </c>
      <c r="H26" s="258"/>
      <c r="I26" s="357">
        <f t="shared" si="4"/>
        <v>5.7999999999999996E-3</v>
      </c>
      <c r="J26" s="258"/>
      <c r="K26" s="6">
        <f t="shared" si="2"/>
        <v>10961</v>
      </c>
      <c r="L26" s="258"/>
      <c r="M26" s="357">
        <f t="shared" si="5"/>
        <v>6.0837599999999997E-3</v>
      </c>
      <c r="N26" s="258"/>
      <c r="O26" s="6">
        <f t="shared" si="3"/>
        <v>11498</v>
      </c>
    </row>
    <row r="27" spans="1:18">
      <c r="A27" s="257" t="s">
        <v>229</v>
      </c>
      <c r="C27" s="245">
        <v>-316213</v>
      </c>
      <c r="E27" s="42"/>
      <c r="F27" s="261"/>
      <c r="G27" s="6"/>
      <c r="K27" s="6"/>
      <c r="O27" s="6"/>
    </row>
    <row r="28" spans="1:18" ht="16.5" thickBot="1">
      <c r="A28" s="86" t="s">
        <v>14</v>
      </c>
      <c r="C28" s="262">
        <v>6307369906.5283775</v>
      </c>
      <c r="E28" s="73"/>
      <c r="G28" s="12">
        <f>SUM(G12:G27)</f>
        <v>695899681</v>
      </c>
      <c r="I28" s="73"/>
      <c r="K28" s="12">
        <f>SUM(K12:K27)</f>
        <v>3544622</v>
      </c>
      <c r="M28" s="73"/>
      <c r="O28" s="12">
        <f>SUM(O12:O27)</f>
        <v>3718041</v>
      </c>
      <c r="Q28" s="46"/>
      <c r="R28" s="244">
        <f>O28+O90+O111+O132</f>
        <v>3989000</v>
      </c>
    </row>
    <row r="29" spans="1:18" ht="16.5" thickTop="1">
      <c r="G29" s="10"/>
      <c r="I29" s="70"/>
      <c r="K29" s="10"/>
      <c r="M29" s="70"/>
      <c r="O29" s="10"/>
      <c r="Q29" s="46"/>
      <c r="R29" s="263"/>
    </row>
    <row r="30" spans="1:18">
      <c r="A30" s="246" t="s">
        <v>203</v>
      </c>
      <c r="G30" s="186"/>
      <c r="I30" s="70"/>
      <c r="K30" s="186"/>
      <c r="M30" s="70"/>
      <c r="O30" s="186"/>
      <c r="P30" s="69"/>
      <c r="Q30" s="263"/>
      <c r="R30" s="263"/>
    </row>
    <row r="31" spans="1:18">
      <c r="A31" s="86" t="s">
        <v>170</v>
      </c>
      <c r="C31" s="245">
        <v>4350</v>
      </c>
      <c r="E31" s="247"/>
      <c r="F31" s="247"/>
      <c r="I31" s="247"/>
      <c r="K31" s="43"/>
      <c r="M31" s="247"/>
    </row>
    <row r="32" spans="1:18">
      <c r="A32" s="86" t="s">
        <v>8</v>
      </c>
      <c r="C32" s="245">
        <v>4339</v>
      </c>
      <c r="E32" s="247"/>
      <c r="F32" s="247"/>
      <c r="G32" s="6"/>
      <c r="I32" s="247"/>
      <c r="K32" s="6"/>
      <c r="M32" s="247"/>
      <c r="O32" s="6"/>
    </row>
    <row r="33" spans="1:18">
      <c r="A33" s="86" t="s">
        <v>217</v>
      </c>
      <c r="C33" s="245">
        <v>3371</v>
      </c>
      <c r="E33" s="247">
        <v>10</v>
      </c>
      <c r="F33" s="247"/>
      <c r="G33" s="6">
        <f>ROUND($C33*E33,0)</f>
        <v>33710</v>
      </c>
      <c r="I33" s="247"/>
      <c r="K33" s="6"/>
      <c r="M33" s="247"/>
      <c r="O33" s="6"/>
    </row>
    <row r="34" spans="1:18">
      <c r="A34" s="86" t="s">
        <v>218</v>
      </c>
      <c r="C34" s="245">
        <v>968</v>
      </c>
      <c r="E34" s="247">
        <v>6</v>
      </c>
      <c r="F34" s="247"/>
      <c r="G34" s="6">
        <f>ROUND($C34*E34,0)</f>
        <v>5808</v>
      </c>
      <c r="I34" s="247"/>
      <c r="K34" s="6"/>
      <c r="M34" s="247"/>
      <c r="O34" s="6"/>
    </row>
    <row r="35" spans="1:18">
      <c r="A35" s="86" t="s">
        <v>9</v>
      </c>
      <c r="C35" s="245">
        <v>11</v>
      </c>
      <c r="E35" s="247"/>
      <c r="F35" s="247"/>
      <c r="G35" s="6"/>
      <c r="I35" s="247"/>
      <c r="K35" s="6"/>
      <c r="M35" s="247"/>
      <c r="O35" s="6"/>
    </row>
    <row r="36" spans="1:18">
      <c r="A36" s="86" t="s">
        <v>217</v>
      </c>
      <c r="C36" s="245">
        <v>11</v>
      </c>
      <c r="E36" s="247">
        <v>20</v>
      </c>
      <c r="F36" s="247"/>
      <c r="G36" s="6">
        <f t="shared" ref="G36:G39" si="6">ROUND($C36*E36,0)</f>
        <v>220</v>
      </c>
      <c r="I36" s="247"/>
      <c r="K36" s="6"/>
      <c r="M36" s="247"/>
      <c r="O36" s="6"/>
    </row>
    <row r="37" spans="1:18">
      <c r="A37" s="86" t="s">
        <v>218</v>
      </c>
      <c r="C37" s="245">
        <v>0</v>
      </c>
      <c r="E37" s="247">
        <v>12</v>
      </c>
      <c r="F37" s="247"/>
      <c r="G37" s="6">
        <f t="shared" si="6"/>
        <v>0</v>
      </c>
      <c r="I37" s="247"/>
      <c r="K37" s="6"/>
      <c r="M37" s="247"/>
      <c r="O37" s="6"/>
    </row>
    <row r="38" spans="1:18">
      <c r="A38" s="86" t="s">
        <v>219</v>
      </c>
      <c r="C38" s="245">
        <v>0</v>
      </c>
      <c r="E38" s="247">
        <v>2</v>
      </c>
      <c r="F38" s="247"/>
      <c r="G38" s="6">
        <f t="shared" si="6"/>
        <v>0</v>
      </c>
      <c r="I38" s="247"/>
      <c r="K38" s="6"/>
      <c r="M38" s="247"/>
      <c r="O38" s="6"/>
    </row>
    <row r="39" spans="1:18">
      <c r="A39" s="86" t="s">
        <v>220</v>
      </c>
      <c r="C39" s="245">
        <v>0</v>
      </c>
      <c r="E39" s="247">
        <v>22</v>
      </c>
      <c r="F39" s="247"/>
      <c r="G39" s="6">
        <f t="shared" si="6"/>
        <v>0</v>
      </c>
      <c r="I39" s="247"/>
      <c r="K39" s="6"/>
      <c r="M39" s="247"/>
      <c r="O39" s="6"/>
    </row>
    <row r="40" spans="1:18">
      <c r="A40" s="86" t="s">
        <v>221</v>
      </c>
      <c r="C40" s="245">
        <v>258230</v>
      </c>
      <c r="E40" s="252">
        <v>4.3559999999999999</v>
      </c>
      <c r="F40" s="253" t="s">
        <v>10</v>
      </c>
      <c r="G40" s="6">
        <f>ROUND($C40*E40/100,0)</f>
        <v>11248</v>
      </c>
      <c r="I40" s="357">
        <f t="shared" ref="I40:I47" si="7">$I$19</f>
        <v>5.7999999999999996E-3</v>
      </c>
      <c r="K40" s="6">
        <f t="shared" ref="K40:K47" si="8">ROUND($G40*I40,0)</f>
        <v>65</v>
      </c>
      <c r="M40" s="357">
        <f t="shared" ref="M40:M47" si="9">$M$19</f>
        <v>6.0837599999999997E-3</v>
      </c>
      <c r="O40" s="6">
        <f t="shared" ref="O40:O47" si="10">ROUND($G40*M40,0)</f>
        <v>68</v>
      </c>
      <c r="Q40" s="264"/>
      <c r="R40" s="264"/>
    </row>
    <row r="41" spans="1:18">
      <c r="A41" s="86" t="s">
        <v>222</v>
      </c>
      <c r="C41" s="245">
        <v>825288</v>
      </c>
      <c r="E41" s="252">
        <v>-1.6334</v>
      </c>
      <c r="F41" s="253" t="s">
        <v>10</v>
      </c>
      <c r="G41" s="6">
        <f t="shared" ref="G41:G47" si="11">ROUND($C41*E41/100,0)</f>
        <v>-13480</v>
      </c>
      <c r="I41" s="357">
        <f t="shared" si="7"/>
        <v>5.7999999999999996E-3</v>
      </c>
      <c r="K41" s="6">
        <f t="shared" si="8"/>
        <v>-78</v>
      </c>
      <c r="M41" s="357">
        <f t="shared" si="9"/>
        <v>6.0837599999999997E-3</v>
      </c>
      <c r="O41" s="6">
        <f t="shared" si="10"/>
        <v>-82</v>
      </c>
      <c r="Q41" s="264"/>
      <c r="R41" s="264"/>
    </row>
    <row r="42" spans="1:18">
      <c r="A42" s="86" t="s">
        <v>223</v>
      </c>
      <c r="C42" s="245">
        <v>495959</v>
      </c>
      <c r="E42" s="252">
        <v>9.0279000000000007</v>
      </c>
      <c r="F42" s="253" t="s">
        <v>10</v>
      </c>
      <c r="G42" s="6">
        <f t="shared" si="11"/>
        <v>44775</v>
      </c>
      <c r="I42" s="357">
        <f t="shared" si="7"/>
        <v>5.7999999999999996E-3</v>
      </c>
      <c r="K42" s="6">
        <f t="shared" si="8"/>
        <v>260</v>
      </c>
      <c r="M42" s="357">
        <f t="shared" si="9"/>
        <v>6.0837599999999997E-3</v>
      </c>
      <c r="O42" s="6">
        <f t="shared" si="10"/>
        <v>272</v>
      </c>
    </row>
    <row r="43" spans="1:18">
      <c r="A43" s="86" t="s">
        <v>224</v>
      </c>
      <c r="C43" s="245">
        <v>407470</v>
      </c>
      <c r="E43" s="252">
        <v>11.721</v>
      </c>
      <c r="F43" s="253" t="s">
        <v>10</v>
      </c>
      <c r="G43" s="6">
        <f t="shared" si="11"/>
        <v>47760</v>
      </c>
      <c r="I43" s="357">
        <f t="shared" si="7"/>
        <v>5.7999999999999996E-3</v>
      </c>
      <c r="K43" s="6">
        <f t="shared" si="8"/>
        <v>277</v>
      </c>
      <c r="M43" s="357">
        <f t="shared" si="9"/>
        <v>6.0837599999999997E-3</v>
      </c>
      <c r="O43" s="6">
        <f t="shared" si="10"/>
        <v>291</v>
      </c>
    </row>
    <row r="44" spans="1:18">
      <c r="A44" s="86" t="s">
        <v>225</v>
      </c>
      <c r="C44" s="245">
        <v>186496</v>
      </c>
      <c r="E44" s="252">
        <v>11.721</v>
      </c>
      <c r="F44" s="253" t="s">
        <v>10</v>
      </c>
      <c r="G44" s="6">
        <f t="shared" si="11"/>
        <v>21859</v>
      </c>
      <c r="I44" s="357">
        <f t="shared" si="7"/>
        <v>5.7999999999999996E-3</v>
      </c>
      <c r="K44" s="6">
        <f t="shared" si="8"/>
        <v>127</v>
      </c>
      <c r="M44" s="357">
        <f t="shared" si="9"/>
        <v>6.0837599999999997E-3</v>
      </c>
      <c r="O44" s="6">
        <f t="shared" si="10"/>
        <v>133</v>
      </c>
    </row>
    <row r="45" spans="1:18">
      <c r="A45" s="86" t="s">
        <v>226</v>
      </c>
      <c r="B45" s="255"/>
      <c r="C45" s="245">
        <v>919695</v>
      </c>
      <c r="D45" s="255"/>
      <c r="E45" s="252">
        <v>7.9893000000000001</v>
      </c>
      <c r="F45" s="253" t="s">
        <v>10</v>
      </c>
      <c r="G45" s="6">
        <f t="shared" si="11"/>
        <v>73477</v>
      </c>
      <c r="H45" s="255"/>
      <c r="I45" s="357">
        <f t="shared" si="7"/>
        <v>5.7999999999999996E-3</v>
      </c>
      <c r="J45" s="255"/>
      <c r="K45" s="6">
        <f t="shared" si="8"/>
        <v>426</v>
      </c>
      <c r="L45" s="255"/>
      <c r="M45" s="357">
        <f t="shared" si="9"/>
        <v>6.0837599999999997E-3</v>
      </c>
      <c r="N45" s="255"/>
      <c r="O45" s="6">
        <f t="shared" si="10"/>
        <v>447</v>
      </c>
    </row>
    <row r="46" spans="1:18">
      <c r="A46" s="86" t="s">
        <v>227</v>
      </c>
      <c r="B46" s="255"/>
      <c r="C46" s="245">
        <v>734416</v>
      </c>
      <c r="D46" s="255"/>
      <c r="E46" s="252">
        <v>10.3725</v>
      </c>
      <c r="F46" s="253" t="s">
        <v>10</v>
      </c>
      <c r="G46" s="6">
        <f t="shared" si="11"/>
        <v>76177</v>
      </c>
      <c r="H46" s="255"/>
      <c r="I46" s="357">
        <f t="shared" si="7"/>
        <v>5.7999999999999996E-3</v>
      </c>
      <c r="J46" s="255"/>
      <c r="K46" s="6">
        <f t="shared" si="8"/>
        <v>442</v>
      </c>
      <c r="L46" s="255"/>
      <c r="M46" s="357">
        <f t="shared" si="9"/>
        <v>6.0837599999999997E-3</v>
      </c>
      <c r="N46" s="255"/>
      <c r="O46" s="6">
        <f t="shared" si="10"/>
        <v>463</v>
      </c>
      <c r="Q46" s="263"/>
      <c r="R46" s="263"/>
    </row>
    <row r="47" spans="1:18">
      <c r="A47" s="257" t="s">
        <v>228</v>
      </c>
      <c r="B47" s="258"/>
      <c r="C47" s="245">
        <v>0</v>
      </c>
      <c r="D47" s="258"/>
      <c r="E47" s="259">
        <v>11.912599999999999</v>
      </c>
      <c r="F47" s="260" t="s">
        <v>10</v>
      </c>
      <c r="G47" s="6">
        <f t="shared" si="11"/>
        <v>0</v>
      </c>
      <c r="H47" s="258"/>
      <c r="I47" s="357">
        <f t="shared" si="7"/>
        <v>5.7999999999999996E-3</v>
      </c>
      <c r="J47" s="258"/>
      <c r="K47" s="6">
        <f t="shared" si="8"/>
        <v>0</v>
      </c>
      <c r="L47" s="258"/>
      <c r="M47" s="357">
        <f t="shared" si="9"/>
        <v>6.0837599999999997E-3</v>
      </c>
      <c r="N47" s="258"/>
      <c r="O47" s="6">
        <f t="shared" si="10"/>
        <v>0</v>
      </c>
      <c r="Q47" s="263"/>
      <c r="R47" s="263"/>
    </row>
    <row r="48" spans="1:18">
      <c r="A48" s="257" t="s">
        <v>229</v>
      </c>
      <c r="C48" s="245">
        <v>0</v>
      </c>
      <c r="E48" s="42"/>
      <c r="F48" s="261"/>
      <c r="G48" s="11"/>
      <c r="K48" s="11"/>
      <c r="O48" s="11"/>
    </row>
    <row r="49" spans="1:18" ht="16.5" thickBot="1">
      <c r="A49" s="86" t="s">
        <v>14</v>
      </c>
      <c r="C49" s="262">
        <v>2744036</v>
      </c>
      <c r="E49" s="74"/>
      <c r="G49" s="12">
        <f>SUM(G33:G48)</f>
        <v>301554</v>
      </c>
      <c r="I49" s="74"/>
      <c r="K49" s="12">
        <f>SUM(K33:K48)</f>
        <v>1519</v>
      </c>
      <c r="M49" s="74"/>
      <c r="O49" s="12">
        <f>SUM(O33:O48)</f>
        <v>1592</v>
      </c>
    </row>
    <row r="50" spans="1:18" ht="16.5" thickTop="1">
      <c r="I50" s="70"/>
      <c r="K50" s="43"/>
      <c r="M50" s="70"/>
    </row>
    <row r="51" spans="1:18" s="266" customFormat="1">
      <c r="A51" s="265" t="s">
        <v>230</v>
      </c>
      <c r="C51" s="267"/>
      <c r="G51" s="43"/>
      <c r="K51" s="43"/>
      <c r="O51" s="43"/>
      <c r="Q51" s="244"/>
      <c r="R51" s="244"/>
    </row>
    <row r="52" spans="1:18" s="266" customFormat="1">
      <c r="A52" s="257" t="s">
        <v>170</v>
      </c>
      <c r="C52" s="267">
        <v>3114</v>
      </c>
      <c r="E52" s="269"/>
      <c r="F52" s="269"/>
      <c r="G52" s="6"/>
      <c r="I52" s="269"/>
      <c r="K52" s="6"/>
      <c r="M52" s="269"/>
      <c r="O52" s="6"/>
      <c r="Q52" s="244"/>
      <c r="R52" s="244"/>
    </row>
    <row r="53" spans="1:18" s="266" customFormat="1">
      <c r="A53" s="257" t="s">
        <v>8</v>
      </c>
      <c r="C53" s="245">
        <v>3114</v>
      </c>
      <c r="E53" s="269"/>
      <c r="F53" s="269"/>
      <c r="G53" s="6"/>
      <c r="I53" s="269"/>
      <c r="K53" s="6"/>
      <c r="M53" s="269"/>
      <c r="O53" s="6"/>
      <c r="Q53" s="244"/>
      <c r="R53" s="244"/>
    </row>
    <row r="54" spans="1:18">
      <c r="A54" s="86" t="s">
        <v>217</v>
      </c>
      <c r="C54" s="245">
        <v>2923</v>
      </c>
      <c r="E54" s="247">
        <v>10</v>
      </c>
      <c r="F54" s="247"/>
      <c r="G54" s="6">
        <f t="shared" ref="G54:G55" si="12">ROUND($C54*E54,0)</f>
        <v>29230</v>
      </c>
      <c r="I54" s="247"/>
      <c r="K54" s="6"/>
      <c r="M54" s="247"/>
      <c r="O54" s="6"/>
    </row>
    <row r="55" spans="1:18">
      <c r="A55" s="86" t="s">
        <v>218</v>
      </c>
      <c r="C55" s="245">
        <v>191</v>
      </c>
      <c r="E55" s="247">
        <v>6</v>
      </c>
      <c r="F55" s="247"/>
      <c r="G55" s="6">
        <f t="shared" si="12"/>
        <v>1146</v>
      </c>
      <c r="I55" s="247"/>
      <c r="K55" s="6"/>
      <c r="M55" s="247"/>
      <c r="O55" s="6"/>
    </row>
    <row r="56" spans="1:18" s="266" customFormat="1">
      <c r="A56" s="257" t="s">
        <v>9</v>
      </c>
      <c r="C56" s="245">
        <v>0</v>
      </c>
      <c r="E56" s="269"/>
      <c r="F56" s="269"/>
      <c r="G56" s="6"/>
      <c r="I56" s="269"/>
      <c r="K56" s="6"/>
      <c r="M56" s="269"/>
      <c r="O56" s="6"/>
      <c r="Q56" s="244"/>
      <c r="R56" s="244"/>
    </row>
    <row r="57" spans="1:18">
      <c r="A57" s="86" t="s">
        <v>217</v>
      </c>
      <c r="E57" s="247">
        <v>20</v>
      </c>
      <c r="F57" s="247"/>
      <c r="G57" s="6">
        <f t="shared" ref="G57:G60" si="13">ROUND($C57*E57,0)</f>
        <v>0</v>
      </c>
      <c r="I57" s="247"/>
      <c r="K57" s="6"/>
      <c r="M57" s="247"/>
      <c r="O57" s="6"/>
    </row>
    <row r="58" spans="1:18">
      <c r="A58" s="86" t="s">
        <v>218</v>
      </c>
      <c r="E58" s="247">
        <v>12</v>
      </c>
      <c r="F58" s="247"/>
      <c r="G58" s="6">
        <f t="shared" si="13"/>
        <v>0</v>
      </c>
      <c r="I58" s="247"/>
      <c r="K58" s="6"/>
      <c r="M58" s="247"/>
      <c r="O58" s="6"/>
    </row>
    <row r="59" spans="1:18">
      <c r="A59" s="86" t="s">
        <v>219</v>
      </c>
      <c r="C59" s="245">
        <v>0</v>
      </c>
      <c r="E59" s="247">
        <v>2</v>
      </c>
      <c r="F59" s="247"/>
      <c r="G59" s="6">
        <f t="shared" si="13"/>
        <v>0</v>
      </c>
      <c r="I59" s="247"/>
      <c r="K59" s="6"/>
      <c r="M59" s="247"/>
      <c r="O59" s="6"/>
    </row>
    <row r="60" spans="1:18">
      <c r="A60" s="86" t="s">
        <v>220</v>
      </c>
      <c r="C60" s="245">
        <v>0</v>
      </c>
      <c r="E60" s="247">
        <v>22</v>
      </c>
      <c r="F60" s="247"/>
      <c r="G60" s="6">
        <f t="shared" si="13"/>
        <v>0</v>
      </c>
      <c r="I60" s="247"/>
      <c r="K60" s="6"/>
      <c r="M60" s="247"/>
      <c r="O60" s="6"/>
    </row>
    <row r="61" spans="1:18" s="266" customFormat="1">
      <c r="A61" s="257" t="s">
        <v>231</v>
      </c>
      <c r="C61" s="267"/>
      <c r="E61" s="269"/>
      <c r="F61" s="269"/>
      <c r="G61" s="6"/>
      <c r="I61" s="269"/>
      <c r="K61" s="6"/>
      <c r="M61" s="269"/>
      <c r="O61" s="6"/>
      <c r="Q61" s="244"/>
      <c r="R61" s="244"/>
    </row>
    <row r="62" spans="1:18" s="266" customFormat="1">
      <c r="A62" s="257" t="s">
        <v>32</v>
      </c>
      <c r="C62" s="245">
        <v>206699.0452160826</v>
      </c>
      <c r="E62" s="270">
        <v>21.033899999999999</v>
      </c>
      <c r="F62" s="260" t="s">
        <v>10</v>
      </c>
      <c r="G62" s="6">
        <f t="shared" ref="G62:G63" si="14">ROUND($C62*E62/100,0)</f>
        <v>43477</v>
      </c>
      <c r="I62" s="357">
        <f t="shared" ref="I62:I63" si="15">$I$19</f>
        <v>5.7999999999999996E-3</v>
      </c>
      <c r="K62" s="6">
        <f t="shared" ref="K62:K63" si="16">ROUND($G62*I62,0)</f>
        <v>252</v>
      </c>
      <c r="M62" s="357">
        <f t="shared" ref="M62:M63" si="17">$M$19</f>
        <v>6.0837599999999997E-3</v>
      </c>
      <c r="O62" s="6">
        <f t="shared" ref="O62:O63" si="18">ROUND($G62*M62,0)</f>
        <v>265</v>
      </c>
      <c r="Q62" s="244"/>
      <c r="R62" s="244"/>
    </row>
    <row r="63" spans="1:18" s="266" customFormat="1">
      <c r="A63" s="257" t="s">
        <v>27</v>
      </c>
      <c r="C63" s="245">
        <v>963611</v>
      </c>
      <c r="E63" s="270">
        <v>6.4097</v>
      </c>
      <c r="F63" s="260" t="s">
        <v>10</v>
      </c>
      <c r="G63" s="6">
        <f t="shared" si="14"/>
        <v>61765</v>
      </c>
      <c r="I63" s="357">
        <f t="shared" si="15"/>
        <v>5.7999999999999996E-3</v>
      </c>
      <c r="K63" s="6">
        <f t="shared" si="16"/>
        <v>358</v>
      </c>
      <c r="M63" s="357">
        <f t="shared" si="17"/>
        <v>6.0837599999999997E-3</v>
      </c>
      <c r="O63" s="6">
        <f t="shared" si="18"/>
        <v>376</v>
      </c>
      <c r="Q63" s="244"/>
      <c r="R63" s="244"/>
    </row>
    <row r="64" spans="1:18" s="266" customFormat="1">
      <c r="A64" s="257" t="s">
        <v>232</v>
      </c>
      <c r="C64" s="267"/>
      <c r="E64" s="269"/>
      <c r="F64" s="269"/>
      <c r="G64" s="6"/>
      <c r="I64" s="269"/>
      <c r="K64" s="6"/>
      <c r="M64" s="269"/>
      <c r="O64" s="6"/>
      <c r="Q64" s="244"/>
      <c r="R64" s="244"/>
    </row>
    <row r="65" spans="1:18" s="266" customFormat="1">
      <c r="A65" s="257" t="s">
        <v>32</v>
      </c>
      <c r="C65" s="245">
        <v>347186</v>
      </c>
      <c r="E65" s="270">
        <v>32.459200000000003</v>
      </c>
      <c r="F65" s="260" t="s">
        <v>10</v>
      </c>
      <c r="G65" s="6">
        <f t="shared" ref="G65:G67" si="19">ROUND($C65*E65/100,0)</f>
        <v>112694</v>
      </c>
      <c r="I65" s="357">
        <f t="shared" ref="I65:I67" si="20">$I$19</f>
        <v>5.7999999999999996E-3</v>
      </c>
      <c r="K65" s="6">
        <f t="shared" ref="K65:K67" si="21">ROUND($G65*I65,0)</f>
        <v>654</v>
      </c>
      <c r="M65" s="357">
        <f t="shared" ref="M65:M67" si="22">$M$19</f>
        <v>6.0837599999999997E-3</v>
      </c>
      <c r="O65" s="6">
        <f t="shared" ref="O65:O67" si="23">ROUND($G65*M65,0)</f>
        <v>686</v>
      </c>
      <c r="Q65" s="263"/>
      <c r="R65" s="263"/>
    </row>
    <row r="66" spans="1:18" s="266" customFormat="1">
      <c r="A66" s="257" t="s">
        <v>27</v>
      </c>
      <c r="C66" s="245">
        <v>2130652</v>
      </c>
      <c r="E66" s="270">
        <v>3.2107999999999999</v>
      </c>
      <c r="F66" s="260" t="s">
        <v>10</v>
      </c>
      <c r="G66" s="6">
        <f t="shared" si="19"/>
        <v>68411</v>
      </c>
      <c r="I66" s="357">
        <f t="shared" si="20"/>
        <v>5.7999999999999996E-3</v>
      </c>
      <c r="K66" s="6">
        <f t="shared" si="21"/>
        <v>397</v>
      </c>
      <c r="M66" s="357">
        <f t="shared" si="22"/>
        <v>6.0837599999999997E-3</v>
      </c>
      <c r="O66" s="6">
        <f t="shared" si="23"/>
        <v>416</v>
      </c>
      <c r="Q66" s="263"/>
      <c r="R66" s="263"/>
    </row>
    <row r="67" spans="1:18" s="266" customFormat="1">
      <c r="A67" s="257" t="s">
        <v>233</v>
      </c>
      <c r="B67" s="258"/>
      <c r="C67" s="245">
        <v>0</v>
      </c>
      <c r="D67" s="258"/>
      <c r="E67" s="259">
        <v>11.912599999999999</v>
      </c>
      <c r="F67" s="260" t="s">
        <v>10</v>
      </c>
      <c r="G67" s="6">
        <f t="shared" si="19"/>
        <v>0</v>
      </c>
      <c r="H67" s="258"/>
      <c r="I67" s="357">
        <f t="shared" si="20"/>
        <v>5.7999999999999996E-3</v>
      </c>
      <c r="J67" s="258"/>
      <c r="K67" s="6">
        <f t="shared" si="21"/>
        <v>0</v>
      </c>
      <c r="L67" s="258"/>
      <c r="M67" s="357">
        <f t="shared" si="22"/>
        <v>6.0837599999999997E-3</v>
      </c>
      <c r="N67" s="258"/>
      <c r="O67" s="6">
        <f t="shared" si="23"/>
        <v>0</v>
      </c>
      <c r="Q67" s="263"/>
      <c r="R67" s="263"/>
    </row>
    <row r="68" spans="1:18">
      <c r="A68" s="257" t="s">
        <v>229</v>
      </c>
      <c r="C68" s="245">
        <v>0</v>
      </c>
      <c r="E68" s="42"/>
      <c r="F68" s="261"/>
      <c r="G68" s="6"/>
      <c r="K68" s="6"/>
      <c r="O68" s="6"/>
    </row>
    <row r="69" spans="1:18" s="266" customFormat="1" ht="16.5" thickBot="1">
      <c r="A69" s="257" t="s">
        <v>14</v>
      </c>
      <c r="C69" s="271">
        <v>3648148.0452160826</v>
      </c>
      <c r="E69" s="74"/>
      <c r="F69" s="70"/>
      <c r="G69" s="13">
        <f>SUM(G54:G68)</f>
        <v>316723</v>
      </c>
      <c r="I69" s="74"/>
      <c r="K69" s="13">
        <f>SUM(K54:K68)</f>
        <v>1661</v>
      </c>
      <c r="M69" s="74"/>
      <c r="O69" s="13">
        <f>SUM(O54:O68)</f>
        <v>1743</v>
      </c>
      <c r="Q69" s="244"/>
      <c r="R69" s="244"/>
    </row>
    <row r="70" spans="1:18" s="266" customFormat="1" ht="16.5" thickTop="1">
      <c r="C70" s="267"/>
      <c r="G70" s="11"/>
      <c r="K70" s="11"/>
      <c r="O70" s="11"/>
      <c r="Q70" s="244"/>
      <c r="R70" s="244"/>
    </row>
    <row r="71" spans="1:18">
      <c r="A71" s="246" t="s">
        <v>202</v>
      </c>
      <c r="I71" s="70"/>
      <c r="K71" s="43"/>
      <c r="M71" s="70"/>
    </row>
    <row r="72" spans="1:18">
      <c r="A72" s="86" t="s">
        <v>170</v>
      </c>
      <c r="C72" s="245">
        <v>216323</v>
      </c>
      <c r="E72" s="247"/>
      <c r="F72" s="247"/>
      <c r="I72" s="247"/>
      <c r="K72" s="43"/>
      <c r="M72" s="247"/>
    </row>
    <row r="73" spans="1:18">
      <c r="A73" s="86" t="s">
        <v>8</v>
      </c>
      <c r="C73" s="245">
        <v>216152</v>
      </c>
      <c r="E73" s="247"/>
      <c r="F73" s="247"/>
      <c r="I73" s="247"/>
      <c r="K73" s="43"/>
      <c r="M73" s="247"/>
    </row>
    <row r="74" spans="1:18">
      <c r="A74" s="86" t="s">
        <v>217</v>
      </c>
      <c r="C74" s="245">
        <v>113309</v>
      </c>
      <c r="E74" s="247">
        <v>10</v>
      </c>
      <c r="F74" s="247"/>
      <c r="G74" s="6">
        <f>ROUND($C74*E74,0)</f>
        <v>1133090</v>
      </c>
      <c r="I74" s="247"/>
      <c r="K74" s="6"/>
      <c r="M74" s="247"/>
      <c r="O74" s="6"/>
    </row>
    <row r="75" spans="1:18">
      <c r="A75" s="86" t="s">
        <v>218</v>
      </c>
      <c r="C75" s="245">
        <v>102843</v>
      </c>
      <c r="E75" s="247">
        <v>6</v>
      </c>
      <c r="F75" s="247"/>
      <c r="G75" s="6">
        <f>ROUND($C75*E75,0)</f>
        <v>617058</v>
      </c>
      <c r="I75" s="247"/>
      <c r="K75" s="6"/>
      <c r="M75" s="247"/>
      <c r="O75" s="6"/>
    </row>
    <row r="76" spans="1:18">
      <c r="A76" s="86" t="s">
        <v>9</v>
      </c>
      <c r="C76" s="245">
        <v>171</v>
      </c>
      <c r="E76" s="247"/>
      <c r="F76" s="247"/>
      <c r="G76" s="6"/>
      <c r="I76" s="247"/>
      <c r="K76" s="6"/>
      <c r="M76" s="247"/>
      <c r="O76" s="6"/>
    </row>
    <row r="77" spans="1:18">
      <c r="A77" s="86" t="s">
        <v>217</v>
      </c>
      <c r="C77" s="245">
        <v>27</v>
      </c>
      <c r="E77" s="247">
        <v>20</v>
      </c>
      <c r="F77" s="247"/>
      <c r="G77" s="6">
        <f t="shared" ref="G77:G80" si="24">ROUND($C77*E77,0)</f>
        <v>540</v>
      </c>
      <c r="I77" s="247"/>
      <c r="K77" s="6"/>
      <c r="M77" s="247"/>
      <c r="O77" s="6"/>
    </row>
    <row r="78" spans="1:18">
      <c r="A78" s="86" t="s">
        <v>218</v>
      </c>
      <c r="C78" s="245">
        <v>144</v>
      </c>
      <c r="E78" s="247">
        <v>12</v>
      </c>
      <c r="F78" s="247"/>
      <c r="G78" s="6">
        <f t="shared" si="24"/>
        <v>1728</v>
      </c>
      <c r="I78" s="247"/>
      <c r="K78" s="6"/>
      <c r="M78" s="247"/>
      <c r="O78" s="6"/>
    </row>
    <row r="79" spans="1:18">
      <c r="A79" s="86" t="s">
        <v>219</v>
      </c>
      <c r="C79" s="245">
        <v>0</v>
      </c>
      <c r="E79" s="247">
        <v>2</v>
      </c>
      <c r="F79" s="247"/>
      <c r="G79" s="6">
        <f t="shared" si="24"/>
        <v>0</v>
      </c>
      <c r="I79" s="247"/>
      <c r="K79" s="6"/>
      <c r="M79" s="247"/>
      <c r="O79" s="6"/>
    </row>
    <row r="80" spans="1:18">
      <c r="A80" s="86" t="s">
        <v>220</v>
      </c>
      <c r="C80" s="245">
        <v>0</v>
      </c>
      <c r="E80" s="247">
        <v>22</v>
      </c>
      <c r="F80" s="247"/>
      <c r="G80" s="6">
        <f t="shared" si="24"/>
        <v>0</v>
      </c>
      <c r="I80" s="247"/>
      <c r="K80" s="6"/>
      <c r="M80" s="247"/>
      <c r="O80" s="6"/>
    </row>
    <row r="81" spans="1:15">
      <c r="A81" s="86" t="s">
        <v>221</v>
      </c>
      <c r="C81" s="245">
        <v>5354</v>
      </c>
      <c r="E81" s="252">
        <v>4.3559999999999999</v>
      </c>
      <c r="F81" s="253" t="s">
        <v>10</v>
      </c>
      <c r="G81" s="6">
        <f>ROUND($C81*E81/100,0)</f>
        <v>233</v>
      </c>
      <c r="I81" s="357">
        <f t="shared" ref="I81:I88" si="25">$I$19</f>
        <v>5.7999999999999996E-3</v>
      </c>
      <c r="K81" s="6">
        <f t="shared" ref="K81:K88" si="26">ROUND($G81*I81,0)</f>
        <v>1</v>
      </c>
      <c r="M81" s="357">
        <f t="shared" ref="M81:M88" si="27">$M$19</f>
        <v>6.0837599999999997E-3</v>
      </c>
      <c r="O81" s="6">
        <f t="shared" ref="O81:O88" si="28">ROUND($G81*M81,0)</f>
        <v>1</v>
      </c>
    </row>
    <row r="82" spans="1:15">
      <c r="A82" s="86" t="s">
        <v>222</v>
      </c>
      <c r="C82" s="245">
        <v>15633</v>
      </c>
      <c r="E82" s="252">
        <v>-1.6334</v>
      </c>
      <c r="F82" s="253" t="s">
        <v>10</v>
      </c>
      <c r="G82" s="6">
        <f t="shared" ref="G82:G88" si="29">ROUND($C82*E82/100,0)</f>
        <v>-255</v>
      </c>
      <c r="I82" s="357">
        <f t="shared" si="25"/>
        <v>5.7999999999999996E-3</v>
      </c>
      <c r="K82" s="6">
        <f t="shared" si="26"/>
        <v>-1</v>
      </c>
      <c r="M82" s="357">
        <f t="shared" si="27"/>
        <v>6.0837599999999997E-3</v>
      </c>
      <c r="O82" s="6">
        <f t="shared" si="28"/>
        <v>-2</v>
      </c>
    </row>
    <row r="83" spans="1:15">
      <c r="A83" s="86" t="s">
        <v>223</v>
      </c>
      <c r="C83" s="245">
        <v>26384767.707057878</v>
      </c>
      <c r="E83" s="252">
        <v>9.0279000000000007</v>
      </c>
      <c r="F83" s="253" t="s">
        <v>10</v>
      </c>
      <c r="G83" s="6">
        <f t="shared" si="29"/>
        <v>2381990</v>
      </c>
      <c r="I83" s="357">
        <f t="shared" si="25"/>
        <v>5.7999999999999996E-3</v>
      </c>
      <c r="K83" s="6">
        <f t="shared" si="26"/>
        <v>13816</v>
      </c>
      <c r="M83" s="357">
        <f t="shared" si="27"/>
        <v>6.0837599999999997E-3</v>
      </c>
      <c r="O83" s="6">
        <f t="shared" si="28"/>
        <v>14491</v>
      </c>
    </row>
    <row r="84" spans="1:15">
      <c r="A84" s="86" t="s">
        <v>224</v>
      </c>
      <c r="C84" s="245">
        <v>17765859</v>
      </c>
      <c r="E84" s="252">
        <v>11.721</v>
      </c>
      <c r="F84" s="253" t="s">
        <v>10</v>
      </c>
      <c r="G84" s="6">
        <f t="shared" si="29"/>
        <v>2082336</v>
      </c>
      <c r="I84" s="357">
        <f t="shared" si="25"/>
        <v>5.7999999999999996E-3</v>
      </c>
      <c r="K84" s="6">
        <f t="shared" si="26"/>
        <v>12078</v>
      </c>
      <c r="M84" s="357">
        <f t="shared" si="27"/>
        <v>6.0837599999999997E-3</v>
      </c>
      <c r="O84" s="6">
        <f t="shared" si="28"/>
        <v>12668</v>
      </c>
    </row>
    <row r="85" spans="1:15">
      <c r="A85" s="86" t="s">
        <v>225</v>
      </c>
      <c r="C85" s="245">
        <v>5668613</v>
      </c>
      <c r="E85" s="252">
        <v>11.721</v>
      </c>
      <c r="F85" s="253" t="s">
        <v>10</v>
      </c>
      <c r="G85" s="6">
        <f t="shared" si="29"/>
        <v>664418</v>
      </c>
      <c r="I85" s="357">
        <f t="shared" si="25"/>
        <v>5.7999999999999996E-3</v>
      </c>
      <c r="K85" s="6">
        <f t="shared" si="26"/>
        <v>3854</v>
      </c>
      <c r="M85" s="357">
        <f t="shared" si="27"/>
        <v>6.0837599999999997E-3</v>
      </c>
      <c r="O85" s="6">
        <f t="shared" si="28"/>
        <v>4042</v>
      </c>
    </row>
    <row r="86" spans="1:15">
      <c r="A86" s="86" t="s">
        <v>226</v>
      </c>
      <c r="B86" s="255"/>
      <c r="C86" s="245">
        <v>51185664</v>
      </c>
      <c r="D86" s="255"/>
      <c r="E86" s="252">
        <v>7.9893000000000001</v>
      </c>
      <c r="F86" s="253" t="s">
        <v>10</v>
      </c>
      <c r="G86" s="6">
        <f t="shared" si="29"/>
        <v>4089376</v>
      </c>
      <c r="H86" s="255"/>
      <c r="I86" s="357">
        <f t="shared" si="25"/>
        <v>5.7999999999999996E-3</v>
      </c>
      <c r="J86" s="255"/>
      <c r="K86" s="6">
        <f t="shared" si="26"/>
        <v>23718</v>
      </c>
      <c r="L86" s="255"/>
      <c r="M86" s="357">
        <f t="shared" si="27"/>
        <v>6.0837599999999997E-3</v>
      </c>
      <c r="N86" s="255"/>
      <c r="O86" s="6">
        <f t="shared" si="28"/>
        <v>24879</v>
      </c>
    </row>
    <row r="87" spans="1:15">
      <c r="A87" s="86" t="s">
        <v>227</v>
      </c>
      <c r="B87" s="255"/>
      <c r="C87" s="245">
        <v>32983258</v>
      </c>
      <c r="D87" s="255"/>
      <c r="E87" s="252">
        <v>10.3725</v>
      </c>
      <c r="F87" s="253" t="s">
        <v>10</v>
      </c>
      <c r="G87" s="6">
        <f t="shared" si="29"/>
        <v>3421188</v>
      </c>
      <c r="H87" s="255"/>
      <c r="I87" s="357">
        <f t="shared" si="25"/>
        <v>5.7999999999999996E-3</v>
      </c>
      <c r="J87" s="255"/>
      <c r="K87" s="6">
        <f t="shared" si="26"/>
        <v>19843</v>
      </c>
      <c r="L87" s="255"/>
      <c r="M87" s="357">
        <f t="shared" si="27"/>
        <v>6.0837599999999997E-3</v>
      </c>
      <c r="N87" s="255"/>
      <c r="O87" s="6">
        <f t="shared" si="28"/>
        <v>20814</v>
      </c>
    </row>
    <row r="88" spans="1:15">
      <c r="A88" s="257" t="s">
        <v>228</v>
      </c>
      <c r="B88" s="258"/>
      <c r="C88" s="245">
        <v>108762</v>
      </c>
      <c r="D88" s="258"/>
      <c r="E88" s="259">
        <v>11.912599999999999</v>
      </c>
      <c r="F88" s="260" t="s">
        <v>10</v>
      </c>
      <c r="G88" s="6">
        <f t="shared" si="29"/>
        <v>12956</v>
      </c>
      <c r="H88" s="258"/>
      <c r="I88" s="357">
        <f t="shared" si="25"/>
        <v>5.7999999999999996E-3</v>
      </c>
      <c r="J88" s="258"/>
      <c r="K88" s="6">
        <f t="shared" si="26"/>
        <v>75</v>
      </c>
      <c r="L88" s="258"/>
      <c r="M88" s="357">
        <f t="shared" si="27"/>
        <v>6.0837599999999997E-3</v>
      </c>
      <c r="N88" s="258"/>
      <c r="O88" s="6">
        <f t="shared" si="28"/>
        <v>79</v>
      </c>
    </row>
    <row r="89" spans="1:15">
      <c r="A89" s="257" t="s">
        <v>229</v>
      </c>
      <c r="C89" s="245">
        <v>-3852</v>
      </c>
      <c r="E89" s="42"/>
      <c r="F89" s="261"/>
      <c r="G89" s="6"/>
      <c r="K89" s="6"/>
      <c r="O89" s="6"/>
    </row>
    <row r="90" spans="1:15" ht="16.5" thickBot="1">
      <c r="A90" s="86" t="s">
        <v>14</v>
      </c>
      <c r="C90" s="262">
        <v>134093071.70705788</v>
      </c>
      <c r="E90" s="74"/>
      <c r="G90" s="13">
        <f>SUM(G74:G89)</f>
        <v>14404658</v>
      </c>
      <c r="I90" s="74"/>
      <c r="K90" s="13">
        <f>SUM(K74:K89)</f>
        <v>73384</v>
      </c>
      <c r="M90" s="74"/>
      <c r="O90" s="13">
        <f>SUM(O74:O89)</f>
        <v>76972</v>
      </c>
    </row>
    <row r="91" spans="1:15" ht="16.5" thickTop="1">
      <c r="G91" s="6"/>
      <c r="I91" s="70"/>
      <c r="K91" s="6"/>
      <c r="M91" s="70"/>
      <c r="O91" s="6"/>
    </row>
    <row r="92" spans="1:15">
      <c r="A92" s="246" t="s">
        <v>234</v>
      </c>
      <c r="G92" s="6"/>
      <c r="I92" s="70"/>
      <c r="K92" s="6"/>
      <c r="M92" s="70"/>
      <c r="O92" s="6"/>
    </row>
    <row r="93" spans="1:15">
      <c r="A93" s="86" t="s">
        <v>170</v>
      </c>
      <c r="C93" s="245">
        <v>418416</v>
      </c>
      <c r="E93" s="247"/>
      <c r="F93" s="247"/>
      <c r="G93" s="6"/>
      <c r="I93" s="247"/>
      <c r="K93" s="6"/>
      <c r="M93" s="247"/>
      <c r="O93" s="6"/>
    </row>
    <row r="94" spans="1:15">
      <c r="A94" s="86" t="s">
        <v>8</v>
      </c>
      <c r="C94" s="245">
        <v>418038</v>
      </c>
      <c r="E94" s="247"/>
      <c r="F94" s="247"/>
      <c r="G94" s="10"/>
      <c r="I94" s="247"/>
      <c r="K94" s="10"/>
      <c r="M94" s="247"/>
      <c r="O94" s="10"/>
    </row>
    <row r="95" spans="1:15">
      <c r="A95" s="86" t="s">
        <v>217</v>
      </c>
      <c r="C95" s="245">
        <v>405641</v>
      </c>
      <c r="E95" s="247">
        <v>10</v>
      </c>
      <c r="F95" s="247"/>
      <c r="G95" s="6">
        <f>ROUND($C95*E95,0)</f>
        <v>4056410</v>
      </c>
      <c r="I95" s="247"/>
      <c r="K95" s="6"/>
      <c r="M95" s="247"/>
      <c r="O95" s="6"/>
    </row>
    <row r="96" spans="1:15">
      <c r="A96" s="86" t="s">
        <v>218</v>
      </c>
      <c r="C96" s="245">
        <v>12397</v>
      </c>
      <c r="E96" s="247">
        <v>6</v>
      </c>
      <c r="F96" s="247"/>
      <c r="G96" s="6">
        <f>ROUND($C96*E96,0)</f>
        <v>74382</v>
      </c>
      <c r="I96" s="247"/>
      <c r="K96" s="6"/>
      <c r="M96" s="247"/>
      <c r="O96" s="6"/>
    </row>
    <row r="97" spans="1:18">
      <c r="A97" s="86" t="s">
        <v>9</v>
      </c>
      <c r="C97" s="245">
        <v>378</v>
      </c>
      <c r="E97" s="247"/>
      <c r="F97" s="247"/>
      <c r="G97" s="6"/>
      <c r="I97" s="247"/>
      <c r="K97" s="6"/>
      <c r="M97" s="247"/>
      <c r="O97" s="6"/>
    </row>
    <row r="98" spans="1:18">
      <c r="A98" s="86" t="s">
        <v>217</v>
      </c>
      <c r="C98" s="245">
        <v>112</v>
      </c>
      <c r="E98" s="247">
        <v>20</v>
      </c>
      <c r="F98" s="247"/>
      <c r="G98" s="6">
        <f t="shared" ref="G98:G101" si="30">ROUND($C98*E98,0)</f>
        <v>2240</v>
      </c>
      <c r="I98" s="247"/>
      <c r="K98" s="6"/>
      <c r="M98" s="247"/>
      <c r="O98" s="6"/>
    </row>
    <row r="99" spans="1:18">
      <c r="A99" s="86" t="s">
        <v>218</v>
      </c>
      <c r="C99" s="245">
        <v>266</v>
      </c>
      <c r="E99" s="247">
        <v>12</v>
      </c>
      <c r="F99" s="247"/>
      <c r="G99" s="6">
        <f t="shared" si="30"/>
        <v>3192</v>
      </c>
      <c r="I99" s="247"/>
      <c r="K99" s="6"/>
      <c r="M99" s="247"/>
      <c r="O99" s="6"/>
    </row>
    <row r="100" spans="1:18">
      <c r="A100" s="86" t="s">
        <v>219</v>
      </c>
      <c r="C100" s="245">
        <v>0</v>
      </c>
      <c r="E100" s="247">
        <v>2</v>
      </c>
      <c r="F100" s="247"/>
      <c r="G100" s="6">
        <f t="shared" si="30"/>
        <v>0</v>
      </c>
      <c r="I100" s="247"/>
      <c r="K100" s="6"/>
      <c r="M100" s="247"/>
      <c r="O100" s="6"/>
    </row>
    <row r="101" spans="1:18">
      <c r="A101" s="86" t="s">
        <v>220</v>
      </c>
      <c r="C101" s="245">
        <v>14</v>
      </c>
      <c r="E101" s="247">
        <v>22</v>
      </c>
      <c r="F101" s="247"/>
      <c r="G101" s="6">
        <f t="shared" si="30"/>
        <v>308</v>
      </c>
      <c r="I101" s="247"/>
      <c r="K101" s="6"/>
      <c r="M101" s="247"/>
      <c r="O101" s="6"/>
    </row>
    <row r="102" spans="1:18">
      <c r="A102" s="86" t="s">
        <v>221</v>
      </c>
      <c r="C102" s="245">
        <v>7090</v>
      </c>
      <c r="E102" s="252">
        <v>4.3559999999999999</v>
      </c>
      <c r="F102" s="253" t="s">
        <v>10</v>
      </c>
      <c r="G102" s="6">
        <f>ROUND($C102*E102/100,0)</f>
        <v>309</v>
      </c>
      <c r="I102" s="357">
        <f t="shared" ref="I102:I109" si="31">$I$19</f>
        <v>5.7999999999999996E-3</v>
      </c>
      <c r="K102" s="6">
        <f t="shared" ref="K102:K109" si="32">ROUND($G102*I102,0)</f>
        <v>2</v>
      </c>
      <c r="M102" s="357">
        <f t="shared" ref="M102:M109" si="33">$M$19</f>
        <v>6.0837599999999997E-3</v>
      </c>
      <c r="O102" s="6">
        <f t="shared" ref="O102:O109" si="34">ROUND($G102*M102,0)</f>
        <v>2</v>
      </c>
    </row>
    <row r="103" spans="1:18">
      <c r="A103" s="86" t="s">
        <v>222</v>
      </c>
      <c r="C103" s="245">
        <v>44469</v>
      </c>
      <c r="E103" s="252">
        <v>-1.6334</v>
      </c>
      <c r="F103" s="253" t="s">
        <v>10</v>
      </c>
      <c r="G103" s="6">
        <f t="shared" ref="G103:G109" si="35">ROUND($C103*E103/100,0)</f>
        <v>-726</v>
      </c>
      <c r="I103" s="357">
        <f t="shared" si="31"/>
        <v>5.7999999999999996E-3</v>
      </c>
      <c r="K103" s="6">
        <f t="shared" si="32"/>
        <v>-4</v>
      </c>
      <c r="M103" s="357">
        <f t="shared" si="33"/>
        <v>6.0837599999999997E-3</v>
      </c>
      <c r="O103" s="6">
        <f t="shared" si="34"/>
        <v>-4</v>
      </c>
    </row>
    <row r="104" spans="1:18">
      <c r="A104" s="86" t="s">
        <v>223</v>
      </c>
      <c r="C104" s="245">
        <v>21966173.894598663</v>
      </c>
      <c r="E104" s="256">
        <v>9.0279000000000007</v>
      </c>
      <c r="F104" s="253" t="s">
        <v>10</v>
      </c>
      <c r="G104" s="6">
        <f t="shared" si="35"/>
        <v>1983084</v>
      </c>
      <c r="I104" s="357">
        <f t="shared" si="31"/>
        <v>5.7999999999999996E-3</v>
      </c>
      <c r="K104" s="6">
        <f t="shared" si="32"/>
        <v>11502</v>
      </c>
      <c r="M104" s="357">
        <f t="shared" si="33"/>
        <v>6.0837599999999997E-3</v>
      </c>
      <c r="O104" s="6">
        <f t="shared" si="34"/>
        <v>12065</v>
      </c>
      <c r="Q104" s="2"/>
      <c r="R104" s="206"/>
    </row>
    <row r="105" spans="1:18">
      <c r="A105" s="86" t="s">
        <v>224</v>
      </c>
      <c r="C105" s="245">
        <v>14447176</v>
      </c>
      <c r="E105" s="256">
        <v>11.721</v>
      </c>
      <c r="F105" s="253" t="s">
        <v>10</v>
      </c>
      <c r="G105" s="6">
        <f t="shared" si="35"/>
        <v>1693353</v>
      </c>
      <c r="I105" s="357">
        <f t="shared" si="31"/>
        <v>5.7999999999999996E-3</v>
      </c>
      <c r="K105" s="6">
        <f t="shared" si="32"/>
        <v>9821</v>
      </c>
      <c r="M105" s="357">
        <f t="shared" si="33"/>
        <v>6.0837599999999997E-3</v>
      </c>
      <c r="O105" s="6">
        <f t="shared" si="34"/>
        <v>10302</v>
      </c>
      <c r="Q105" s="2"/>
      <c r="R105" s="206"/>
    </row>
    <row r="106" spans="1:18">
      <c r="A106" s="86" t="s">
        <v>225</v>
      </c>
      <c r="C106" s="245">
        <v>7916923</v>
      </c>
      <c r="E106" s="256">
        <v>11.721</v>
      </c>
      <c r="F106" s="253" t="s">
        <v>10</v>
      </c>
      <c r="G106" s="6">
        <f t="shared" si="35"/>
        <v>927943</v>
      </c>
      <c r="I106" s="357">
        <f t="shared" si="31"/>
        <v>5.7999999999999996E-3</v>
      </c>
      <c r="K106" s="6">
        <f t="shared" si="32"/>
        <v>5382</v>
      </c>
      <c r="M106" s="357">
        <f t="shared" si="33"/>
        <v>6.0837599999999997E-3</v>
      </c>
      <c r="O106" s="6">
        <f t="shared" si="34"/>
        <v>5645</v>
      </c>
      <c r="Q106" s="272"/>
      <c r="R106" s="206"/>
    </row>
    <row r="107" spans="1:18">
      <c r="A107" s="86" t="s">
        <v>226</v>
      </c>
      <c r="B107" s="255"/>
      <c r="C107" s="245">
        <v>50047131</v>
      </c>
      <c r="D107" s="255"/>
      <c r="E107" s="256">
        <v>7.9893000000000001</v>
      </c>
      <c r="F107" s="253" t="s">
        <v>10</v>
      </c>
      <c r="G107" s="6">
        <f t="shared" si="35"/>
        <v>3998415</v>
      </c>
      <c r="H107" s="255"/>
      <c r="I107" s="357">
        <f t="shared" si="31"/>
        <v>5.7999999999999996E-3</v>
      </c>
      <c r="J107" s="255"/>
      <c r="K107" s="6">
        <f t="shared" si="32"/>
        <v>23191</v>
      </c>
      <c r="L107" s="255"/>
      <c r="M107" s="357">
        <f t="shared" si="33"/>
        <v>6.0837599999999997E-3</v>
      </c>
      <c r="N107" s="255"/>
      <c r="O107" s="6">
        <f t="shared" si="34"/>
        <v>24325</v>
      </c>
      <c r="Q107" s="2"/>
      <c r="R107" s="273"/>
    </row>
    <row r="108" spans="1:18">
      <c r="A108" s="86" t="s">
        <v>227</v>
      </c>
      <c r="B108" s="255"/>
      <c r="C108" s="245">
        <v>47956842</v>
      </c>
      <c r="D108" s="255"/>
      <c r="E108" s="256">
        <v>10.3725</v>
      </c>
      <c r="F108" s="253" t="s">
        <v>10</v>
      </c>
      <c r="G108" s="6">
        <f t="shared" si="35"/>
        <v>4974323</v>
      </c>
      <c r="H108" s="255"/>
      <c r="I108" s="357">
        <f t="shared" si="31"/>
        <v>5.7999999999999996E-3</v>
      </c>
      <c r="J108" s="255"/>
      <c r="K108" s="6">
        <f t="shared" si="32"/>
        <v>28851</v>
      </c>
      <c r="L108" s="255"/>
      <c r="M108" s="357">
        <f t="shared" si="33"/>
        <v>6.0837599999999997E-3</v>
      </c>
      <c r="N108" s="255"/>
      <c r="O108" s="6">
        <f t="shared" si="34"/>
        <v>30263</v>
      </c>
    </row>
    <row r="109" spans="1:18">
      <c r="A109" s="257" t="s">
        <v>228</v>
      </c>
      <c r="B109" s="258"/>
      <c r="C109" s="245">
        <v>0</v>
      </c>
      <c r="D109" s="258"/>
      <c r="E109" s="259">
        <v>11.912599999999999</v>
      </c>
      <c r="F109" s="260" t="s">
        <v>10</v>
      </c>
      <c r="G109" s="6">
        <f t="shared" si="35"/>
        <v>0</v>
      </c>
      <c r="H109" s="258"/>
      <c r="I109" s="357">
        <f t="shared" si="31"/>
        <v>5.7999999999999996E-3</v>
      </c>
      <c r="J109" s="258"/>
      <c r="K109" s="6">
        <f t="shared" si="32"/>
        <v>0</v>
      </c>
      <c r="L109" s="258"/>
      <c r="M109" s="357">
        <f t="shared" si="33"/>
        <v>6.0837599999999997E-3</v>
      </c>
      <c r="N109" s="258"/>
      <c r="O109" s="6">
        <f t="shared" si="34"/>
        <v>0</v>
      </c>
    </row>
    <row r="110" spans="1:18">
      <c r="A110" s="257" t="s">
        <v>229</v>
      </c>
      <c r="C110" s="245">
        <v>0</v>
      </c>
      <c r="E110" s="42"/>
      <c r="F110" s="261"/>
      <c r="G110" s="6"/>
      <c r="K110" s="6"/>
      <c r="O110" s="6"/>
    </row>
    <row r="111" spans="1:18" ht="16.5" thickBot="1">
      <c r="A111" s="86" t="s">
        <v>14</v>
      </c>
      <c r="C111" s="262">
        <v>142334245.89459866</v>
      </c>
      <c r="E111" s="74"/>
      <c r="G111" s="13">
        <f>SUM(G95:G110)</f>
        <v>17713233</v>
      </c>
      <c r="I111" s="74"/>
      <c r="K111" s="13">
        <f>SUM(K95:K110)</f>
        <v>78745</v>
      </c>
      <c r="M111" s="74"/>
      <c r="O111" s="13">
        <f>SUM(O95:O110)</f>
        <v>82598</v>
      </c>
    </row>
    <row r="112" spans="1:18" ht="16.5" thickTop="1">
      <c r="G112" s="11"/>
      <c r="I112" s="70"/>
      <c r="K112" s="11"/>
      <c r="M112" s="70"/>
      <c r="O112" s="11"/>
    </row>
    <row r="113" spans="1:15">
      <c r="A113" s="246" t="s">
        <v>235</v>
      </c>
      <c r="I113" s="70"/>
      <c r="K113" s="43"/>
      <c r="M113" s="70"/>
    </row>
    <row r="114" spans="1:15">
      <c r="A114" s="86" t="s">
        <v>170</v>
      </c>
      <c r="C114" s="245">
        <v>307354</v>
      </c>
      <c r="E114" s="247"/>
      <c r="F114" s="247"/>
      <c r="I114" s="247"/>
      <c r="K114" s="43"/>
      <c r="M114" s="247"/>
    </row>
    <row r="115" spans="1:15">
      <c r="A115" s="86" t="s">
        <v>8</v>
      </c>
      <c r="C115" s="245">
        <v>307354</v>
      </c>
      <c r="E115" s="247"/>
      <c r="F115" s="247"/>
      <c r="I115" s="247"/>
      <c r="K115" s="43"/>
      <c r="M115" s="247"/>
    </row>
    <row r="116" spans="1:15">
      <c r="A116" s="86" t="s">
        <v>217</v>
      </c>
      <c r="C116" s="245">
        <v>303609</v>
      </c>
      <c r="E116" s="247">
        <v>10</v>
      </c>
      <c r="F116" s="247"/>
      <c r="G116" s="6">
        <f>ROUND($C116*E116,0)</f>
        <v>3036090</v>
      </c>
      <c r="I116" s="247"/>
      <c r="K116" s="6"/>
      <c r="M116" s="247"/>
      <c r="O116" s="6"/>
    </row>
    <row r="117" spans="1:15">
      <c r="A117" s="86" t="s">
        <v>218</v>
      </c>
      <c r="C117" s="245">
        <v>3745</v>
      </c>
      <c r="E117" s="247">
        <v>6</v>
      </c>
      <c r="F117" s="247"/>
      <c r="G117" s="6">
        <f>ROUND($C117*E117,0)</f>
        <v>22470</v>
      </c>
      <c r="I117" s="247"/>
      <c r="K117" s="6"/>
      <c r="M117" s="247"/>
      <c r="O117" s="6"/>
    </row>
    <row r="118" spans="1:15">
      <c r="A118" s="86" t="s">
        <v>9</v>
      </c>
      <c r="C118" s="245">
        <v>0</v>
      </c>
      <c r="E118" s="247"/>
      <c r="F118" s="247"/>
      <c r="G118" s="6"/>
      <c r="I118" s="247"/>
      <c r="K118" s="6"/>
      <c r="M118" s="247"/>
      <c r="O118" s="6"/>
    </row>
    <row r="119" spans="1:15">
      <c r="A119" s="86" t="s">
        <v>217</v>
      </c>
      <c r="E119" s="247">
        <v>20</v>
      </c>
      <c r="F119" s="247"/>
      <c r="G119" s="6">
        <f t="shared" ref="G119:G122" si="36">ROUND($C119*E119,0)</f>
        <v>0</v>
      </c>
      <c r="H119" s="70">
        <f t="shared" ref="H119" si="37">H15</f>
        <v>0</v>
      </c>
      <c r="I119" s="247"/>
      <c r="K119" s="6"/>
      <c r="M119" s="247"/>
      <c r="O119" s="6"/>
    </row>
    <row r="120" spans="1:15">
      <c r="A120" s="86" t="s">
        <v>218</v>
      </c>
      <c r="E120" s="247">
        <v>12</v>
      </c>
      <c r="F120" s="247"/>
      <c r="G120" s="6">
        <f t="shared" si="36"/>
        <v>0</v>
      </c>
      <c r="H120" s="70">
        <f t="shared" ref="H120" si="38">H16</f>
        <v>0</v>
      </c>
      <c r="I120" s="247"/>
      <c r="K120" s="6"/>
      <c r="M120" s="247"/>
      <c r="O120" s="6"/>
    </row>
    <row r="121" spans="1:15">
      <c r="A121" s="86" t="s">
        <v>219</v>
      </c>
      <c r="C121" s="245">
        <v>1646</v>
      </c>
      <c r="E121" s="247">
        <v>2</v>
      </c>
      <c r="F121" s="247"/>
      <c r="G121" s="6">
        <f t="shared" si="36"/>
        <v>3292</v>
      </c>
      <c r="H121" s="70">
        <f t="shared" ref="H121" si="39">H17</f>
        <v>0</v>
      </c>
      <c r="I121" s="247"/>
      <c r="K121" s="6"/>
      <c r="M121" s="247"/>
      <c r="O121" s="6"/>
    </row>
    <row r="122" spans="1:15">
      <c r="A122" s="86" t="s">
        <v>220</v>
      </c>
      <c r="C122" s="245">
        <v>0</v>
      </c>
      <c r="E122" s="247">
        <v>22</v>
      </c>
      <c r="F122" s="247"/>
      <c r="G122" s="6">
        <f t="shared" si="36"/>
        <v>0</v>
      </c>
      <c r="H122" s="70">
        <f t="shared" ref="H122" si="40">H18</f>
        <v>0</v>
      </c>
      <c r="I122" s="247"/>
      <c r="K122" s="6"/>
      <c r="M122" s="247"/>
      <c r="O122" s="6"/>
    </row>
    <row r="123" spans="1:15">
      <c r="A123" s="86" t="s">
        <v>221</v>
      </c>
      <c r="C123" s="245">
        <v>5690</v>
      </c>
      <c r="E123" s="252">
        <v>4.3559999999999999</v>
      </c>
      <c r="F123" s="253" t="s">
        <v>10</v>
      </c>
      <c r="G123" s="6">
        <f>ROUND($C123*E123/100,0)</f>
        <v>248</v>
      </c>
      <c r="H123" s="70">
        <f t="shared" ref="H123" si="41">H19</f>
        <v>0</v>
      </c>
      <c r="I123" s="357">
        <f t="shared" ref="I123:I130" si="42">$I$19</f>
        <v>5.7999999999999996E-3</v>
      </c>
      <c r="K123" s="6">
        <f t="shared" ref="K123:K130" si="43">ROUND($G123*I123,0)</f>
        <v>1</v>
      </c>
      <c r="M123" s="357">
        <f t="shared" ref="M123:M130" si="44">$M$19</f>
        <v>6.0837599999999997E-3</v>
      </c>
      <c r="O123" s="6">
        <f t="shared" ref="O123:O130" si="45">ROUND($G123*M123,0)</f>
        <v>2</v>
      </c>
    </row>
    <row r="124" spans="1:15">
      <c r="A124" s="86" t="s">
        <v>222</v>
      </c>
      <c r="C124" s="245">
        <v>35358</v>
      </c>
      <c r="E124" s="252">
        <v>-1.6334</v>
      </c>
      <c r="F124" s="253" t="s">
        <v>10</v>
      </c>
      <c r="G124" s="6">
        <f t="shared" ref="G124:G130" si="46">ROUND($C124*E124/100,0)</f>
        <v>-578</v>
      </c>
      <c r="H124" s="70">
        <f t="shared" ref="H124" si="47">H20</f>
        <v>0</v>
      </c>
      <c r="I124" s="357">
        <f t="shared" si="42"/>
        <v>5.7999999999999996E-3</v>
      </c>
      <c r="K124" s="6">
        <f t="shared" si="43"/>
        <v>-3</v>
      </c>
      <c r="M124" s="357">
        <f t="shared" si="44"/>
        <v>6.0837599999999997E-3</v>
      </c>
      <c r="O124" s="6">
        <f t="shared" si="45"/>
        <v>-4</v>
      </c>
    </row>
    <row r="125" spans="1:15">
      <c r="A125" s="86" t="s">
        <v>223</v>
      </c>
      <c r="C125" s="245">
        <v>38703048.189910412</v>
      </c>
      <c r="E125" s="256">
        <v>9.0279000000000007</v>
      </c>
      <c r="F125" s="253" t="s">
        <v>10</v>
      </c>
      <c r="G125" s="6">
        <f t="shared" si="46"/>
        <v>3494072</v>
      </c>
      <c r="H125" s="70">
        <f t="shared" ref="H125" si="48">H21</f>
        <v>0</v>
      </c>
      <c r="I125" s="357">
        <f t="shared" si="42"/>
        <v>5.7999999999999996E-3</v>
      </c>
      <c r="K125" s="6">
        <f t="shared" si="43"/>
        <v>20266</v>
      </c>
      <c r="M125" s="357">
        <f t="shared" si="44"/>
        <v>6.0837599999999997E-3</v>
      </c>
      <c r="O125" s="6">
        <f t="shared" si="45"/>
        <v>21257</v>
      </c>
    </row>
    <row r="126" spans="1:15">
      <c r="A126" s="86" t="s">
        <v>224</v>
      </c>
      <c r="C126" s="245">
        <v>26842157</v>
      </c>
      <c r="E126" s="256">
        <v>11.721</v>
      </c>
      <c r="F126" s="253" t="s">
        <v>10</v>
      </c>
      <c r="G126" s="6">
        <f t="shared" si="46"/>
        <v>3146169</v>
      </c>
      <c r="H126" s="70">
        <f t="shared" ref="H126" si="49">H22</f>
        <v>0</v>
      </c>
      <c r="I126" s="357">
        <f t="shared" si="42"/>
        <v>5.7999999999999996E-3</v>
      </c>
      <c r="K126" s="6">
        <f t="shared" si="43"/>
        <v>18248</v>
      </c>
      <c r="M126" s="357">
        <f t="shared" si="44"/>
        <v>6.0837599999999997E-3</v>
      </c>
      <c r="O126" s="6">
        <f t="shared" si="45"/>
        <v>19141</v>
      </c>
    </row>
    <row r="127" spans="1:15">
      <c r="A127" s="86" t="s">
        <v>225</v>
      </c>
      <c r="C127" s="245">
        <v>7600557</v>
      </c>
      <c r="E127" s="256">
        <v>11.721</v>
      </c>
      <c r="F127" s="253" t="s">
        <v>10</v>
      </c>
      <c r="G127" s="6">
        <f t="shared" si="46"/>
        <v>890861</v>
      </c>
      <c r="H127" s="70">
        <f t="shared" ref="H127" si="50">H23</f>
        <v>0</v>
      </c>
      <c r="I127" s="357">
        <f t="shared" si="42"/>
        <v>5.7999999999999996E-3</v>
      </c>
      <c r="K127" s="6">
        <f t="shared" si="43"/>
        <v>5167</v>
      </c>
      <c r="M127" s="357">
        <f t="shared" si="44"/>
        <v>6.0837599999999997E-3</v>
      </c>
      <c r="O127" s="6">
        <f t="shared" si="45"/>
        <v>5420</v>
      </c>
    </row>
    <row r="128" spans="1:15">
      <c r="A128" s="86" t="s">
        <v>226</v>
      </c>
      <c r="B128" s="255"/>
      <c r="C128" s="245">
        <v>68555364</v>
      </c>
      <c r="D128" s="255"/>
      <c r="E128" s="256">
        <v>7.9893000000000001</v>
      </c>
      <c r="F128" s="253" t="s">
        <v>10</v>
      </c>
      <c r="G128" s="6">
        <f t="shared" si="46"/>
        <v>5477094</v>
      </c>
      <c r="H128" s="255">
        <f t="shared" ref="H128" si="51">H24</f>
        <v>0</v>
      </c>
      <c r="I128" s="357">
        <f t="shared" si="42"/>
        <v>5.7999999999999996E-3</v>
      </c>
      <c r="J128" s="255"/>
      <c r="K128" s="6">
        <f t="shared" si="43"/>
        <v>31767</v>
      </c>
      <c r="L128" s="255"/>
      <c r="M128" s="357">
        <f t="shared" si="44"/>
        <v>6.0837599999999997E-3</v>
      </c>
      <c r="N128" s="255"/>
      <c r="O128" s="6">
        <f t="shared" si="45"/>
        <v>33321</v>
      </c>
    </row>
    <row r="129" spans="1:18">
      <c r="A129" s="86" t="s">
        <v>227</v>
      </c>
      <c r="B129" s="255"/>
      <c r="C129" s="245">
        <v>51108843</v>
      </c>
      <c r="D129" s="255"/>
      <c r="E129" s="256">
        <v>10.3725</v>
      </c>
      <c r="F129" s="253" t="s">
        <v>10</v>
      </c>
      <c r="G129" s="6">
        <f t="shared" si="46"/>
        <v>5301265</v>
      </c>
      <c r="H129" s="255">
        <f t="shared" ref="H129" si="52">H25</f>
        <v>0</v>
      </c>
      <c r="I129" s="357">
        <f t="shared" si="42"/>
        <v>5.7999999999999996E-3</v>
      </c>
      <c r="J129" s="255"/>
      <c r="K129" s="6">
        <f t="shared" si="43"/>
        <v>30747</v>
      </c>
      <c r="L129" s="255"/>
      <c r="M129" s="357">
        <f t="shared" si="44"/>
        <v>6.0837599999999997E-3</v>
      </c>
      <c r="N129" s="255"/>
      <c r="O129" s="6">
        <f t="shared" si="45"/>
        <v>32252</v>
      </c>
    </row>
    <row r="130" spans="1:18">
      <c r="A130" s="257" t="s">
        <v>228</v>
      </c>
      <c r="B130" s="258"/>
      <c r="C130" s="245">
        <v>0</v>
      </c>
      <c r="D130" s="258"/>
      <c r="E130" s="256">
        <v>11.912599999999999</v>
      </c>
      <c r="F130" s="253" t="s">
        <v>10</v>
      </c>
      <c r="G130" s="6">
        <f t="shared" si="46"/>
        <v>0</v>
      </c>
      <c r="H130" s="258">
        <f t="shared" ref="H130" si="53">H26</f>
        <v>0</v>
      </c>
      <c r="I130" s="357">
        <f t="shared" si="42"/>
        <v>5.7999999999999996E-3</v>
      </c>
      <c r="J130" s="258"/>
      <c r="K130" s="6">
        <f t="shared" si="43"/>
        <v>0</v>
      </c>
      <c r="L130" s="258"/>
      <c r="M130" s="357">
        <f t="shared" si="44"/>
        <v>6.0837599999999997E-3</v>
      </c>
      <c r="N130" s="258"/>
      <c r="O130" s="6">
        <f t="shared" si="45"/>
        <v>0</v>
      </c>
    </row>
    <row r="131" spans="1:18">
      <c r="A131" s="257" t="s">
        <v>229</v>
      </c>
      <c r="C131" s="245">
        <v>0</v>
      </c>
      <c r="E131" s="42"/>
      <c r="F131" s="261"/>
      <c r="G131" s="6"/>
      <c r="K131" s="6"/>
      <c r="O131" s="6"/>
    </row>
    <row r="132" spans="1:18" ht="16.5" thickBot="1">
      <c r="A132" s="86" t="s">
        <v>14</v>
      </c>
      <c r="C132" s="262">
        <v>192809969.18991041</v>
      </c>
      <c r="E132" s="74"/>
      <c r="G132" s="12">
        <f>SUM(G116:G131)</f>
        <v>21370983</v>
      </c>
      <c r="I132" s="74"/>
      <c r="K132" s="12">
        <f>SUM(K116:K131)</f>
        <v>106193</v>
      </c>
      <c r="M132" s="74"/>
      <c r="O132" s="12">
        <f>SUM(O116:O131)</f>
        <v>111389</v>
      </c>
    </row>
    <row r="133" spans="1:18" ht="16.5" thickTop="1">
      <c r="I133" s="70"/>
      <c r="K133" s="6"/>
      <c r="M133" s="70"/>
      <c r="O133" s="6"/>
    </row>
    <row r="134" spans="1:18">
      <c r="A134" s="246" t="s">
        <v>18</v>
      </c>
      <c r="I134" s="70"/>
      <c r="K134" s="6"/>
      <c r="M134" s="70"/>
      <c r="O134" s="6"/>
      <c r="Q134" s="67"/>
      <c r="R134" s="67"/>
    </row>
    <row r="135" spans="1:18">
      <c r="A135" s="86" t="s">
        <v>7</v>
      </c>
      <c r="C135" s="245">
        <v>157116</v>
      </c>
      <c r="E135" s="247">
        <v>53</v>
      </c>
      <c r="F135" s="247"/>
      <c r="G135" s="43">
        <v>8327148</v>
      </c>
      <c r="I135" s="247"/>
      <c r="K135" s="6"/>
      <c r="M135" s="247"/>
      <c r="O135" s="6"/>
      <c r="Q135" s="32" t="s">
        <v>176</v>
      </c>
      <c r="R135" s="274"/>
    </row>
    <row r="136" spans="1:18">
      <c r="A136" s="86" t="s">
        <v>17</v>
      </c>
      <c r="C136" s="245">
        <v>0</v>
      </c>
      <c r="E136" s="247">
        <v>636</v>
      </c>
      <c r="F136" s="247"/>
      <c r="G136" s="43">
        <v>0</v>
      </c>
      <c r="I136" s="247"/>
      <c r="K136" s="6"/>
      <c r="M136" s="247"/>
      <c r="O136" s="6"/>
      <c r="Q136" s="275" t="s">
        <v>11</v>
      </c>
      <c r="R136" s="7">
        <f>SUM(O146,O158,O170,O182,O196-O208,O222-O233,O247-O258,O272-O283)</f>
        <v>2538191</v>
      </c>
    </row>
    <row r="137" spans="1:18">
      <c r="A137" s="86" t="s">
        <v>246</v>
      </c>
      <c r="C137" s="245">
        <v>14</v>
      </c>
      <c r="E137" s="247">
        <v>53</v>
      </c>
      <c r="F137" s="261"/>
      <c r="G137" s="43">
        <v>742</v>
      </c>
      <c r="I137" s="247"/>
      <c r="K137" s="6"/>
      <c r="M137" s="247"/>
      <c r="O137" s="6"/>
      <c r="Q137" s="249" t="s">
        <v>12</v>
      </c>
      <c r="R137" s="8">
        <f>'Exhibit-RMP(RMM-3) page 2'!K20*1000</f>
        <v>2538196.6373122497</v>
      </c>
    </row>
    <row r="138" spans="1:18">
      <c r="A138" s="86" t="s">
        <v>26</v>
      </c>
      <c r="C138" s="245">
        <v>15576842</v>
      </c>
      <c r="E138" s="247">
        <v>3.99</v>
      </c>
      <c r="F138" s="247"/>
      <c r="G138" s="43">
        <v>62151600</v>
      </c>
      <c r="I138" s="358">
        <v>5.4999999999999997E-3</v>
      </c>
      <c r="K138" s="6">
        <f>ROUND($G138*I138,0)</f>
        <v>341834</v>
      </c>
      <c r="M138" s="358">
        <f>ROUND(R137/SUM(G138:G144,G152:G157,G164:G169,G176:G181)*R141,$R$8)</f>
        <v>5.4147400000000004E-3</v>
      </c>
      <c r="O138" s="6">
        <f>ROUND($G138*M138,0)</f>
        <v>336535</v>
      </c>
      <c r="Q138" s="250" t="s">
        <v>13</v>
      </c>
      <c r="R138" s="9">
        <f>R137-R136</f>
        <v>5.6373122497461736</v>
      </c>
    </row>
    <row r="139" spans="1:18">
      <c r="A139" s="86" t="s">
        <v>247</v>
      </c>
      <c r="C139" s="245">
        <v>6921590</v>
      </c>
      <c r="E139" s="261">
        <v>13.27</v>
      </c>
      <c r="F139" s="261"/>
      <c r="G139" s="43">
        <v>91849499</v>
      </c>
      <c r="I139" s="42">
        <f t="shared" ref="I139:I144" si="54">$I$138</f>
        <v>5.4999999999999997E-3</v>
      </c>
      <c r="K139" s="6">
        <f t="shared" ref="K139:K144" si="55">ROUND($G139*I139,0)</f>
        <v>505172</v>
      </c>
      <c r="M139" s="42">
        <f t="shared" ref="M139:M144" si="56">$M$138</f>
        <v>5.4147400000000004E-3</v>
      </c>
      <c r="O139" s="6">
        <f t="shared" ref="O139:O144" si="57">ROUND($G139*M139,0)</f>
        <v>497341</v>
      </c>
      <c r="Q139" s="379"/>
      <c r="R139" s="273"/>
    </row>
    <row r="140" spans="1:18">
      <c r="A140" s="86" t="s">
        <v>248</v>
      </c>
      <c r="C140" s="245">
        <v>8655252</v>
      </c>
      <c r="E140" s="261">
        <v>11.74</v>
      </c>
      <c r="F140" s="261"/>
      <c r="G140" s="43">
        <v>101612658</v>
      </c>
      <c r="I140" s="42">
        <f t="shared" si="54"/>
        <v>5.4999999999999997E-3</v>
      </c>
      <c r="K140" s="6">
        <f t="shared" si="55"/>
        <v>558870</v>
      </c>
      <c r="M140" s="42">
        <f t="shared" si="56"/>
        <v>5.4147400000000004E-3</v>
      </c>
      <c r="O140" s="6">
        <f t="shared" si="57"/>
        <v>550206</v>
      </c>
      <c r="Q140" s="380"/>
      <c r="R140" s="381"/>
    </row>
    <row r="141" spans="1:18">
      <c r="A141" s="86" t="s">
        <v>249</v>
      </c>
      <c r="C141" s="245">
        <v>2063156225.1889281</v>
      </c>
      <c r="E141" s="276">
        <v>3.8877999999999999</v>
      </c>
      <c r="F141" s="253" t="s">
        <v>10</v>
      </c>
      <c r="G141" s="43">
        <v>80211388</v>
      </c>
      <c r="I141" s="42">
        <f t="shared" si="54"/>
        <v>5.4999999999999997E-3</v>
      </c>
      <c r="K141" s="6">
        <f t="shared" si="55"/>
        <v>441163</v>
      </c>
      <c r="M141" s="42">
        <f t="shared" si="56"/>
        <v>5.4147400000000004E-3</v>
      </c>
      <c r="O141" s="6">
        <f t="shared" si="57"/>
        <v>434324</v>
      </c>
      <c r="Q141" s="376" t="s">
        <v>372</v>
      </c>
      <c r="R141" s="377">
        <v>1.010903760332331</v>
      </c>
    </row>
    <row r="142" spans="1:18">
      <c r="A142" s="86" t="s">
        <v>250</v>
      </c>
      <c r="C142" s="245">
        <v>3526754594</v>
      </c>
      <c r="E142" s="276">
        <v>3.4405000000000001</v>
      </c>
      <c r="F142" s="253" t="s">
        <v>10</v>
      </c>
      <c r="G142" s="43">
        <v>121337992</v>
      </c>
      <c r="I142" s="42">
        <f t="shared" si="54"/>
        <v>5.4999999999999997E-3</v>
      </c>
      <c r="K142" s="6">
        <f t="shared" si="55"/>
        <v>667359</v>
      </c>
      <c r="M142" s="42">
        <f t="shared" si="56"/>
        <v>5.4147400000000004E-3</v>
      </c>
      <c r="O142" s="6">
        <f t="shared" si="57"/>
        <v>657014</v>
      </c>
      <c r="Q142" s="378" t="s">
        <v>373</v>
      </c>
      <c r="R142" s="277"/>
    </row>
    <row r="143" spans="1:18">
      <c r="A143" s="86" t="s">
        <v>16</v>
      </c>
      <c r="C143" s="245">
        <v>569738</v>
      </c>
      <c r="E143" s="247">
        <v>-0.96</v>
      </c>
      <c r="F143" s="247"/>
      <c r="G143" s="43">
        <v>-546948</v>
      </c>
      <c r="I143" s="42">
        <f t="shared" si="54"/>
        <v>5.4999999999999997E-3</v>
      </c>
      <c r="K143" s="6">
        <f t="shared" si="55"/>
        <v>-3008</v>
      </c>
      <c r="M143" s="42">
        <f t="shared" si="56"/>
        <v>5.4147400000000004E-3</v>
      </c>
      <c r="O143" s="6">
        <f t="shared" si="57"/>
        <v>-2962</v>
      </c>
    </row>
    <row r="144" spans="1:18">
      <c r="A144" s="257" t="s">
        <v>228</v>
      </c>
      <c r="C144" s="245">
        <v>1977670</v>
      </c>
      <c r="E144" s="276">
        <v>7.125</v>
      </c>
      <c r="F144" s="253" t="s">
        <v>10</v>
      </c>
      <c r="G144" s="43">
        <v>140909</v>
      </c>
      <c r="I144" s="42">
        <f t="shared" si="54"/>
        <v>5.4999999999999997E-3</v>
      </c>
      <c r="K144" s="6">
        <f t="shared" si="55"/>
        <v>775</v>
      </c>
      <c r="M144" s="42">
        <f t="shared" si="56"/>
        <v>5.4147400000000004E-3</v>
      </c>
      <c r="O144" s="6">
        <f t="shared" si="57"/>
        <v>763</v>
      </c>
    </row>
    <row r="145" spans="1:18">
      <c r="A145" s="257" t="s">
        <v>229</v>
      </c>
      <c r="C145" s="245">
        <v>25489</v>
      </c>
      <c r="E145" s="42"/>
      <c r="F145" s="261"/>
      <c r="K145" s="6"/>
      <c r="O145" s="6"/>
      <c r="Q145" s="67"/>
      <c r="R145" s="67"/>
    </row>
    <row r="146" spans="1:18" ht="16.5" thickBot="1">
      <c r="A146" s="86" t="s">
        <v>14</v>
      </c>
      <c r="C146" s="278">
        <v>5591913978.1889286</v>
      </c>
      <c r="E146" s="74"/>
      <c r="G146" s="211">
        <v>465084988</v>
      </c>
      <c r="I146" s="74"/>
      <c r="K146" s="13">
        <f>SUM(K135:K145)</f>
        <v>2512165</v>
      </c>
      <c r="M146" s="74"/>
      <c r="O146" s="13">
        <f>SUM(O135:O145)</f>
        <v>2473221</v>
      </c>
      <c r="Q146" s="67"/>
      <c r="R146" s="67"/>
    </row>
    <row r="147" spans="1:18" ht="16.5" thickTop="1">
      <c r="I147" s="70"/>
      <c r="K147" s="10"/>
      <c r="M147" s="70"/>
      <c r="O147" s="10"/>
      <c r="Q147" s="67"/>
      <c r="R147" s="67"/>
    </row>
    <row r="148" spans="1:18">
      <c r="A148" s="246" t="s">
        <v>256</v>
      </c>
      <c r="I148" s="70"/>
      <c r="K148" s="6"/>
      <c r="M148" s="70"/>
      <c r="O148" s="6"/>
      <c r="Q148" s="67"/>
      <c r="R148" s="67"/>
    </row>
    <row r="149" spans="1:18">
      <c r="A149" s="86" t="s">
        <v>7</v>
      </c>
      <c r="C149" s="245">
        <v>4434</v>
      </c>
      <c r="E149" s="247">
        <v>53</v>
      </c>
      <c r="F149" s="247"/>
      <c r="G149" s="43">
        <v>235002</v>
      </c>
      <c r="I149" s="247"/>
      <c r="K149" s="6"/>
      <c r="M149" s="247"/>
      <c r="O149" s="6"/>
      <c r="Q149" s="67"/>
      <c r="R149" s="67"/>
    </row>
    <row r="150" spans="1:18">
      <c r="A150" s="86" t="s">
        <v>17</v>
      </c>
      <c r="C150" s="245">
        <v>0</v>
      </c>
      <c r="E150" s="247">
        <v>636</v>
      </c>
      <c r="F150" s="247"/>
      <c r="G150" s="43">
        <v>0</v>
      </c>
      <c r="I150" s="247"/>
      <c r="K150" s="6"/>
      <c r="M150" s="247"/>
      <c r="O150" s="6"/>
      <c r="Q150" s="67"/>
      <c r="R150" s="67"/>
    </row>
    <row r="151" spans="1:18">
      <c r="A151" s="86" t="s">
        <v>246</v>
      </c>
      <c r="C151" s="245">
        <v>0</v>
      </c>
      <c r="E151" s="261">
        <v>53</v>
      </c>
      <c r="F151" s="261"/>
      <c r="G151" s="43">
        <v>0</v>
      </c>
      <c r="I151" s="261"/>
      <c r="K151" s="6"/>
      <c r="M151" s="261"/>
      <c r="O151" s="6"/>
      <c r="Q151" s="67"/>
      <c r="R151" s="67"/>
    </row>
    <row r="152" spans="1:18">
      <c r="A152" s="86" t="s">
        <v>26</v>
      </c>
      <c r="C152" s="245">
        <v>505379</v>
      </c>
      <c r="E152" s="247">
        <v>3.99</v>
      </c>
      <c r="F152" s="247"/>
      <c r="G152" s="43">
        <v>2016462</v>
      </c>
      <c r="I152" s="42">
        <f t="shared" ref="I152:I157" si="58">$I$138</f>
        <v>5.4999999999999997E-3</v>
      </c>
      <c r="K152" s="6">
        <f>ROUND($G152*I152,0)</f>
        <v>11091</v>
      </c>
      <c r="M152" s="42">
        <f t="shared" ref="M152:M157" si="59">$M$138</f>
        <v>5.4147400000000004E-3</v>
      </c>
      <c r="O152" s="6">
        <f>ROUND($G152*M152,0)</f>
        <v>10919</v>
      </c>
      <c r="Q152" s="67"/>
      <c r="R152" s="67"/>
    </row>
    <row r="153" spans="1:18">
      <c r="A153" s="86" t="s">
        <v>247</v>
      </c>
      <c r="C153" s="245">
        <v>206980</v>
      </c>
      <c r="E153" s="261">
        <v>13.27</v>
      </c>
      <c r="F153" s="261"/>
      <c r="G153" s="43">
        <v>2746625</v>
      </c>
      <c r="I153" s="42">
        <f t="shared" si="58"/>
        <v>5.4999999999999997E-3</v>
      </c>
      <c r="K153" s="6">
        <f t="shared" ref="K153:K157" si="60">ROUND($G153*I153,0)</f>
        <v>15106</v>
      </c>
      <c r="M153" s="42">
        <f t="shared" si="59"/>
        <v>5.4147400000000004E-3</v>
      </c>
      <c r="O153" s="6">
        <f t="shared" ref="O153:O157" si="61">ROUND($G153*M153,0)</f>
        <v>14872</v>
      </c>
      <c r="Q153" s="67"/>
      <c r="R153" s="67"/>
    </row>
    <row r="154" spans="1:18">
      <c r="A154" s="86" t="s">
        <v>248</v>
      </c>
      <c r="C154" s="245">
        <v>298398</v>
      </c>
      <c r="E154" s="261">
        <v>11.74</v>
      </c>
      <c r="F154" s="261"/>
      <c r="G154" s="43">
        <v>3503193</v>
      </c>
      <c r="I154" s="42">
        <f t="shared" si="58"/>
        <v>5.4999999999999997E-3</v>
      </c>
      <c r="K154" s="6">
        <f t="shared" si="60"/>
        <v>19268</v>
      </c>
      <c r="M154" s="42">
        <f t="shared" si="59"/>
        <v>5.4147400000000004E-3</v>
      </c>
      <c r="O154" s="6">
        <f t="shared" si="61"/>
        <v>18969</v>
      </c>
      <c r="Q154" s="67"/>
      <c r="R154" s="67"/>
    </row>
    <row r="155" spans="1:18">
      <c r="A155" s="86" t="s">
        <v>249</v>
      </c>
      <c r="C155" s="245">
        <v>60590665.781530641</v>
      </c>
      <c r="E155" s="276">
        <v>3.8877999999999999</v>
      </c>
      <c r="F155" s="253" t="s">
        <v>10</v>
      </c>
      <c r="G155" s="43">
        <v>2355644</v>
      </c>
      <c r="I155" s="42">
        <f t="shared" si="58"/>
        <v>5.4999999999999997E-3</v>
      </c>
      <c r="K155" s="6">
        <f t="shared" si="60"/>
        <v>12956</v>
      </c>
      <c r="M155" s="42">
        <f t="shared" si="59"/>
        <v>5.4147400000000004E-3</v>
      </c>
      <c r="O155" s="6">
        <f t="shared" si="61"/>
        <v>12755</v>
      </c>
      <c r="Q155" s="67"/>
      <c r="R155" s="67"/>
    </row>
    <row r="156" spans="1:18">
      <c r="A156" s="86" t="s">
        <v>250</v>
      </c>
      <c r="C156" s="245">
        <v>109661557.70953687</v>
      </c>
      <c r="E156" s="276">
        <v>3.4405000000000001</v>
      </c>
      <c r="F156" s="253" t="s">
        <v>10</v>
      </c>
      <c r="G156" s="43">
        <v>3772906</v>
      </c>
      <c r="I156" s="42">
        <f t="shared" si="58"/>
        <v>5.4999999999999997E-3</v>
      </c>
      <c r="K156" s="6">
        <f t="shared" si="60"/>
        <v>20751</v>
      </c>
      <c r="M156" s="42">
        <f t="shared" si="59"/>
        <v>5.4147400000000004E-3</v>
      </c>
      <c r="O156" s="6">
        <f t="shared" si="61"/>
        <v>20429</v>
      </c>
      <c r="Q156" s="67"/>
      <c r="R156" s="67"/>
    </row>
    <row r="157" spans="1:18">
      <c r="A157" s="86" t="s">
        <v>16</v>
      </c>
      <c r="C157" s="245">
        <v>26614</v>
      </c>
      <c r="E157" s="247">
        <v>-0.96</v>
      </c>
      <c r="F157" s="247"/>
      <c r="G157" s="43">
        <v>-25549</v>
      </c>
      <c r="I157" s="42">
        <f t="shared" si="58"/>
        <v>5.4999999999999997E-3</v>
      </c>
      <c r="K157" s="6">
        <f t="shared" si="60"/>
        <v>-141</v>
      </c>
      <c r="M157" s="42">
        <f t="shared" si="59"/>
        <v>5.4147400000000004E-3</v>
      </c>
      <c r="O157" s="6">
        <f t="shared" si="61"/>
        <v>-138</v>
      </c>
      <c r="Q157" s="67"/>
      <c r="R157" s="67"/>
    </row>
    <row r="158" spans="1:18" ht="16.5" thickBot="1">
      <c r="A158" s="86" t="s">
        <v>14</v>
      </c>
      <c r="C158" s="278">
        <v>170252223.49106753</v>
      </c>
      <c r="E158" s="74"/>
      <c r="G158" s="279">
        <v>14604283</v>
      </c>
      <c r="I158" s="74"/>
      <c r="K158" s="13">
        <f>SUM(K149:K157)</f>
        <v>79031</v>
      </c>
      <c r="M158" s="74"/>
      <c r="O158" s="13">
        <f>SUM(O149:O157)</f>
        <v>77806</v>
      </c>
      <c r="Q158" s="67"/>
      <c r="R158" s="67"/>
    </row>
    <row r="159" spans="1:18" ht="16.5" thickTop="1">
      <c r="I159" s="70"/>
      <c r="K159" s="6"/>
      <c r="M159" s="70"/>
      <c r="O159" s="6"/>
      <c r="Q159" s="67"/>
      <c r="R159" s="67"/>
    </row>
    <row r="160" spans="1:18">
      <c r="A160" s="246" t="s">
        <v>257</v>
      </c>
      <c r="I160" s="70"/>
      <c r="K160" s="10"/>
      <c r="M160" s="70"/>
      <c r="O160" s="10"/>
      <c r="Q160" s="67"/>
      <c r="R160" s="67"/>
    </row>
    <row r="161" spans="1:18">
      <c r="A161" s="86" t="s">
        <v>7</v>
      </c>
      <c r="C161" s="245">
        <v>611</v>
      </c>
      <c r="E161" s="261">
        <v>53</v>
      </c>
      <c r="F161" s="261"/>
      <c r="G161" s="43">
        <v>32383</v>
      </c>
      <c r="I161" s="261"/>
      <c r="K161" s="6"/>
      <c r="M161" s="261"/>
      <c r="O161" s="6"/>
      <c r="Q161" s="67"/>
      <c r="R161" s="67"/>
    </row>
    <row r="162" spans="1:18">
      <c r="A162" s="86" t="s">
        <v>17</v>
      </c>
      <c r="C162" s="245">
        <v>0</v>
      </c>
      <c r="E162" s="261">
        <v>636</v>
      </c>
      <c r="F162" s="261"/>
      <c r="G162" s="43">
        <v>0</v>
      </c>
      <c r="I162" s="261"/>
      <c r="K162" s="6"/>
      <c r="M162" s="261"/>
      <c r="O162" s="6"/>
      <c r="Q162" s="67"/>
      <c r="R162" s="67"/>
    </row>
    <row r="163" spans="1:18">
      <c r="A163" s="86" t="s">
        <v>219</v>
      </c>
      <c r="C163" s="245">
        <v>59</v>
      </c>
      <c r="E163" s="261">
        <v>2</v>
      </c>
      <c r="F163" s="261"/>
      <c r="G163" s="43">
        <v>118</v>
      </c>
      <c r="I163" s="261"/>
      <c r="K163" s="6"/>
      <c r="M163" s="261"/>
      <c r="O163" s="6"/>
      <c r="Q163" s="67"/>
      <c r="R163" s="67"/>
    </row>
    <row r="164" spans="1:18">
      <c r="A164" s="86" t="s">
        <v>26</v>
      </c>
      <c r="C164" s="245">
        <v>94165</v>
      </c>
      <c r="E164" s="261">
        <v>3.99</v>
      </c>
      <c r="F164" s="261"/>
      <c r="G164" s="43">
        <v>375718</v>
      </c>
      <c r="I164" s="42">
        <f t="shared" ref="I164:I169" si="62">$I$138</f>
        <v>5.4999999999999997E-3</v>
      </c>
      <c r="K164" s="6">
        <f>ROUND($G164*I164,0)</f>
        <v>2066</v>
      </c>
      <c r="M164" s="42">
        <f t="shared" ref="M164:M169" si="63">$M$138</f>
        <v>5.4147400000000004E-3</v>
      </c>
      <c r="O164" s="6">
        <f>ROUND($G164*M164,0)</f>
        <v>2034</v>
      </c>
      <c r="Q164" s="67"/>
      <c r="R164" s="67"/>
    </row>
    <row r="165" spans="1:18">
      <c r="A165" s="86" t="s">
        <v>247</v>
      </c>
      <c r="C165" s="245">
        <v>40576</v>
      </c>
      <c r="E165" s="261">
        <v>13.27</v>
      </c>
      <c r="F165" s="261"/>
      <c r="G165" s="43">
        <v>538444</v>
      </c>
      <c r="I165" s="42">
        <f t="shared" si="62"/>
        <v>5.4999999999999997E-3</v>
      </c>
      <c r="K165" s="6">
        <f t="shared" ref="K165:K169" si="64">ROUND($G165*I165,0)</f>
        <v>2961</v>
      </c>
      <c r="M165" s="42">
        <f t="shared" si="63"/>
        <v>5.4147400000000004E-3</v>
      </c>
      <c r="O165" s="6">
        <f t="shared" ref="O165:O169" si="65">ROUND($G165*M165,0)</f>
        <v>2916</v>
      </c>
      <c r="Q165" s="67"/>
      <c r="R165" s="67"/>
    </row>
    <row r="166" spans="1:18">
      <c r="A166" s="86" t="s">
        <v>248</v>
      </c>
      <c r="C166" s="245">
        <v>53589</v>
      </c>
      <c r="E166" s="261">
        <v>11.74</v>
      </c>
      <c r="F166" s="261"/>
      <c r="G166" s="43">
        <v>629135</v>
      </c>
      <c r="I166" s="42">
        <f t="shared" si="62"/>
        <v>5.4999999999999997E-3</v>
      </c>
      <c r="K166" s="6">
        <f t="shared" si="64"/>
        <v>3460</v>
      </c>
      <c r="M166" s="42">
        <f t="shared" si="63"/>
        <v>5.4147400000000004E-3</v>
      </c>
      <c r="O166" s="6">
        <f t="shared" si="65"/>
        <v>3407</v>
      </c>
      <c r="Q166" s="67"/>
      <c r="R166" s="67"/>
    </row>
    <row r="167" spans="1:18">
      <c r="A167" s="86" t="s">
        <v>249</v>
      </c>
      <c r="C167" s="245">
        <v>8593598.8227068186</v>
      </c>
      <c r="E167" s="276">
        <v>3.8877999999999999</v>
      </c>
      <c r="F167" s="253" t="s">
        <v>10</v>
      </c>
      <c r="G167" s="43">
        <v>334102</v>
      </c>
      <c r="I167" s="42">
        <f t="shared" si="62"/>
        <v>5.4999999999999997E-3</v>
      </c>
      <c r="K167" s="6">
        <f t="shared" si="64"/>
        <v>1838</v>
      </c>
      <c r="M167" s="42">
        <f t="shared" si="63"/>
        <v>5.4147400000000004E-3</v>
      </c>
      <c r="O167" s="6">
        <f t="shared" si="65"/>
        <v>1809</v>
      </c>
      <c r="Q167" s="67"/>
      <c r="R167" s="67"/>
    </row>
    <row r="168" spans="1:18">
      <c r="A168" s="86" t="s">
        <v>250</v>
      </c>
      <c r="C168" s="245">
        <v>15566357.794983968</v>
      </c>
      <c r="E168" s="276">
        <v>3.4405000000000001</v>
      </c>
      <c r="F168" s="253" t="s">
        <v>10</v>
      </c>
      <c r="G168" s="43">
        <v>535561</v>
      </c>
      <c r="I168" s="42">
        <f t="shared" si="62"/>
        <v>5.4999999999999997E-3</v>
      </c>
      <c r="K168" s="6">
        <f t="shared" si="64"/>
        <v>2946</v>
      </c>
      <c r="M168" s="42">
        <f t="shared" si="63"/>
        <v>5.4147400000000004E-3</v>
      </c>
      <c r="O168" s="6">
        <f t="shared" si="65"/>
        <v>2900</v>
      </c>
      <c r="Q168" s="67"/>
      <c r="R168" s="67"/>
    </row>
    <row r="169" spans="1:18">
      <c r="A169" s="86" t="s">
        <v>16</v>
      </c>
      <c r="C169" s="245">
        <v>0</v>
      </c>
      <c r="E169" s="261">
        <v>-0.96</v>
      </c>
      <c r="F169" s="261"/>
      <c r="G169" s="43">
        <v>0</v>
      </c>
      <c r="I169" s="42">
        <f t="shared" si="62"/>
        <v>5.4999999999999997E-3</v>
      </c>
      <c r="K169" s="6">
        <f t="shared" si="64"/>
        <v>0</v>
      </c>
      <c r="M169" s="42">
        <f t="shared" si="63"/>
        <v>5.4147400000000004E-3</v>
      </c>
      <c r="O169" s="6">
        <f t="shared" si="65"/>
        <v>0</v>
      </c>
      <c r="Q169" s="67"/>
      <c r="R169" s="67"/>
    </row>
    <row r="170" spans="1:18" ht="16.5" thickBot="1">
      <c r="A170" s="86" t="s">
        <v>14</v>
      </c>
      <c r="C170" s="278">
        <v>24159956.617690787</v>
      </c>
      <c r="E170" s="74"/>
      <c r="G170" s="279">
        <v>2445461</v>
      </c>
      <c r="I170" s="74"/>
      <c r="K170" s="13">
        <f>SUM(K161:K169)</f>
        <v>13271</v>
      </c>
      <c r="M170" s="74"/>
      <c r="O170" s="13">
        <f>SUM(O161:O169)</f>
        <v>13066</v>
      </c>
      <c r="Q170" s="67"/>
      <c r="R170" s="67"/>
    </row>
    <row r="171" spans="1:18" ht="16.5" thickTop="1">
      <c r="I171" s="70"/>
      <c r="K171" s="6"/>
      <c r="M171" s="70"/>
      <c r="O171" s="6"/>
      <c r="Q171" s="67"/>
      <c r="R171" s="67"/>
    </row>
    <row r="172" spans="1:18">
      <c r="A172" s="246" t="s">
        <v>171</v>
      </c>
      <c r="D172" s="261"/>
      <c r="H172" s="261"/>
      <c r="I172" s="70"/>
      <c r="J172" s="261"/>
      <c r="K172" s="6"/>
      <c r="L172" s="261"/>
      <c r="M172" s="70"/>
      <c r="N172" s="261"/>
      <c r="O172" s="6"/>
      <c r="Q172" s="67"/>
      <c r="R172" s="67"/>
    </row>
    <row r="173" spans="1:18">
      <c r="A173" s="86" t="s">
        <v>7</v>
      </c>
      <c r="C173" s="245">
        <v>192</v>
      </c>
      <c r="E173" s="247">
        <v>53</v>
      </c>
      <c r="F173" s="247"/>
      <c r="G173" s="43">
        <v>10176</v>
      </c>
      <c r="I173" s="247"/>
      <c r="K173" s="6"/>
      <c r="M173" s="247"/>
      <c r="O173" s="6"/>
      <c r="Q173" s="67"/>
      <c r="R173" s="67"/>
    </row>
    <row r="174" spans="1:18">
      <c r="A174" s="86" t="s">
        <v>17</v>
      </c>
      <c r="C174" s="245">
        <v>0</v>
      </c>
      <c r="D174" s="261"/>
      <c r="E174" s="247">
        <v>636</v>
      </c>
      <c r="F174" s="247"/>
      <c r="G174" s="43">
        <v>0</v>
      </c>
      <c r="H174" s="261"/>
      <c r="I174" s="247"/>
      <c r="J174" s="261"/>
      <c r="K174" s="6"/>
      <c r="L174" s="261"/>
      <c r="M174" s="247"/>
      <c r="N174" s="261"/>
      <c r="O174" s="6"/>
      <c r="Q174" s="67"/>
      <c r="R174" s="67"/>
    </row>
    <row r="175" spans="1:18">
      <c r="A175" s="86" t="s">
        <v>246</v>
      </c>
      <c r="E175" s="261"/>
      <c r="F175" s="261"/>
      <c r="I175" s="261"/>
      <c r="K175" s="6"/>
      <c r="M175" s="261"/>
      <c r="O175" s="6"/>
      <c r="Q175" s="67"/>
      <c r="R175" s="67"/>
    </row>
    <row r="176" spans="1:18">
      <c r="A176" s="86" t="s">
        <v>26</v>
      </c>
      <c r="C176" s="245">
        <v>14844</v>
      </c>
      <c r="E176" s="247">
        <v>3.99</v>
      </c>
      <c r="F176" s="247"/>
      <c r="G176" s="43">
        <v>59228</v>
      </c>
      <c r="I176" s="42">
        <f t="shared" ref="I176:I181" si="66">$I$138</f>
        <v>5.4999999999999997E-3</v>
      </c>
      <c r="K176" s="6">
        <f>ROUND($G176*I176,0)</f>
        <v>326</v>
      </c>
      <c r="M176" s="42">
        <f t="shared" ref="M176:M181" si="67">$M$138</f>
        <v>5.4147400000000004E-3</v>
      </c>
      <c r="O176" s="6">
        <f>ROUND($G176*M176,0)</f>
        <v>321</v>
      </c>
      <c r="Q176" s="67"/>
      <c r="R176" s="67"/>
    </row>
    <row r="177" spans="1:18">
      <c r="A177" s="86" t="s">
        <v>254</v>
      </c>
      <c r="C177" s="245">
        <v>4915</v>
      </c>
      <c r="E177" s="261">
        <v>13.27</v>
      </c>
      <c r="F177" s="261"/>
      <c r="G177" s="43">
        <v>65222</v>
      </c>
      <c r="I177" s="42">
        <f t="shared" si="66"/>
        <v>5.4999999999999997E-3</v>
      </c>
      <c r="K177" s="6">
        <f t="shared" ref="K177:K181" si="68">ROUND($G177*I177,0)</f>
        <v>359</v>
      </c>
      <c r="M177" s="42">
        <f t="shared" si="67"/>
        <v>5.4147400000000004E-3</v>
      </c>
      <c r="O177" s="6">
        <f t="shared" ref="O177:O181" si="69">ROUND($G177*M177,0)</f>
        <v>353</v>
      </c>
      <c r="Q177" s="67"/>
      <c r="R177" s="67"/>
    </row>
    <row r="178" spans="1:18">
      <c r="A178" s="86" t="s">
        <v>255</v>
      </c>
      <c r="C178" s="245">
        <v>6971</v>
      </c>
      <c r="E178" s="261">
        <v>11.74</v>
      </c>
      <c r="F178" s="261"/>
      <c r="G178" s="43">
        <v>81840</v>
      </c>
      <c r="I178" s="42">
        <f t="shared" si="66"/>
        <v>5.4999999999999997E-3</v>
      </c>
      <c r="K178" s="6">
        <f t="shared" si="68"/>
        <v>450</v>
      </c>
      <c r="M178" s="42">
        <f t="shared" si="67"/>
        <v>5.4147400000000004E-3</v>
      </c>
      <c r="O178" s="6">
        <f t="shared" si="69"/>
        <v>443</v>
      </c>
      <c r="Q178" s="67"/>
      <c r="R178" s="67"/>
    </row>
    <row r="179" spans="1:18">
      <c r="A179" s="86" t="s">
        <v>249</v>
      </c>
      <c r="C179" s="245">
        <v>1281170</v>
      </c>
      <c r="E179" s="276">
        <v>3.8877999999999999</v>
      </c>
      <c r="F179" s="253" t="s">
        <v>10</v>
      </c>
      <c r="G179" s="43">
        <v>49809</v>
      </c>
      <c r="I179" s="42">
        <f t="shared" si="66"/>
        <v>5.4999999999999997E-3</v>
      </c>
      <c r="K179" s="6">
        <f t="shared" si="68"/>
        <v>274</v>
      </c>
      <c r="M179" s="42">
        <f t="shared" si="67"/>
        <v>5.4147400000000004E-3</v>
      </c>
      <c r="O179" s="6">
        <f t="shared" si="69"/>
        <v>270</v>
      </c>
      <c r="Q179" s="67"/>
      <c r="R179" s="67"/>
    </row>
    <row r="180" spans="1:18">
      <c r="A180" s="86" t="s">
        <v>250</v>
      </c>
      <c r="C180" s="245">
        <v>2099521</v>
      </c>
      <c r="E180" s="276">
        <v>3.4405000000000001</v>
      </c>
      <c r="F180" s="253" t="s">
        <v>10</v>
      </c>
      <c r="G180" s="43">
        <v>72234</v>
      </c>
      <c r="I180" s="42">
        <f t="shared" si="66"/>
        <v>5.4999999999999997E-3</v>
      </c>
      <c r="K180" s="6">
        <f t="shared" si="68"/>
        <v>397</v>
      </c>
      <c r="M180" s="42">
        <f t="shared" si="67"/>
        <v>5.4147400000000004E-3</v>
      </c>
      <c r="O180" s="6">
        <f t="shared" si="69"/>
        <v>391</v>
      </c>
      <c r="Q180" s="67"/>
      <c r="R180" s="67"/>
    </row>
    <row r="181" spans="1:18">
      <c r="A181" s="86" t="s">
        <v>16</v>
      </c>
      <c r="C181" s="245">
        <v>0</v>
      </c>
      <c r="E181" s="247">
        <v>-0.96</v>
      </c>
      <c r="F181" s="247"/>
      <c r="G181" s="43">
        <v>0</v>
      </c>
      <c r="I181" s="42">
        <f t="shared" si="66"/>
        <v>5.4999999999999997E-3</v>
      </c>
      <c r="K181" s="6">
        <f t="shared" si="68"/>
        <v>0</v>
      </c>
      <c r="M181" s="42">
        <f t="shared" si="67"/>
        <v>5.4147400000000004E-3</v>
      </c>
      <c r="O181" s="6">
        <f t="shared" si="69"/>
        <v>0</v>
      </c>
      <c r="Q181" s="67"/>
      <c r="R181" s="67"/>
    </row>
    <row r="182" spans="1:18" ht="16.5" thickBot="1">
      <c r="A182" s="86" t="s">
        <v>14</v>
      </c>
      <c r="C182" s="278">
        <v>3380691</v>
      </c>
      <c r="E182" s="74"/>
      <c r="G182" s="279">
        <v>338509</v>
      </c>
      <c r="I182" s="74"/>
      <c r="K182" s="13">
        <f>SUM(K172:K181)</f>
        <v>1806</v>
      </c>
      <c r="M182" s="74"/>
      <c r="O182" s="13">
        <f>SUM(O172:O181)</f>
        <v>1778</v>
      </c>
      <c r="Q182" s="67"/>
      <c r="R182" s="67"/>
    </row>
    <row r="183" spans="1:18" ht="16.5" thickTop="1">
      <c r="I183" s="70"/>
      <c r="K183" s="6"/>
      <c r="M183" s="70"/>
      <c r="O183" s="6"/>
      <c r="Q183" s="67"/>
      <c r="R183" s="67"/>
    </row>
    <row r="184" spans="1:18">
      <c r="A184" s="246" t="s">
        <v>236</v>
      </c>
      <c r="I184" s="70"/>
      <c r="K184" s="6"/>
      <c r="M184" s="70"/>
      <c r="O184" s="6"/>
    </row>
    <row r="185" spans="1:18">
      <c r="A185" s="86" t="s">
        <v>7</v>
      </c>
      <c r="C185" s="245">
        <v>16184.594130320329</v>
      </c>
      <c r="E185" s="247">
        <v>53</v>
      </c>
      <c r="F185" s="247"/>
      <c r="G185" s="43">
        <v>857783</v>
      </c>
      <c r="I185" s="247"/>
      <c r="K185" s="6"/>
      <c r="M185" s="247"/>
      <c r="O185" s="6"/>
    </row>
    <row r="186" spans="1:18">
      <c r="A186" s="86" t="s">
        <v>237</v>
      </c>
      <c r="C186" s="245">
        <v>22837905.528605085</v>
      </c>
      <c r="D186" s="261"/>
      <c r="E186" s="280">
        <v>22.156199999999998</v>
      </c>
      <c r="F186" s="253" t="s">
        <v>10</v>
      </c>
      <c r="G186" s="43">
        <v>5060012</v>
      </c>
      <c r="H186" s="261"/>
      <c r="I186" s="42">
        <f>$I$286</f>
        <v>5.5999999999999999E-3</v>
      </c>
      <c r="J186" s="261"/>
      <c r="K186" s="6">
        <f t="shared" ref="K186:K195" si="70">ROUND($G186*I186,0)</f>
        <v>28336</v>
      </c>
      <c r="L186" s="261"/>
      <c r="M186" s="360">
        <f t="shared" ref="M186:M195" si="71">$M$286</f>
        <v>5.5327500000000003E-3</v>
      </c>
      <c r="N186" s="261"/>
      <c r="O186" s="6">
        <f t="shared" ref="O186:O195" si="72">ROUND($G186*M186,0)</f>
        <v>27996</v>
      </c>
    </row>
    <row r="187" spans="1:18">
      <c r="A187" s="86" t="s">
        <v>238</v>
      </c>
      <c r="C187" s="245">
        <v>52553411.422486275</v>
      </c>
      <c r="D187" s="261"/>
      <c r="E187" s="280">
        <v>4.309899999999999</v>
      </c>
      <c r="F187" s="253" t="s">
        <v>10</v>
      </c>
      <c r="G187" s="43">
        <v>2264999</v>
      </c>
      <c r="H187" s="261"/>
      <c r="I187" s="42">
        <f t="shared" ref="I187:I195" si="73">$I$286</f>
        <v>5.5999999999999999E-3</v>
      </c>
      <c r="J187" s="261"/>
      <c r="K187" s="6">
        <f t="shared" si="70"/>
        <v>12684</v>
      </c>
      <c r="L187" s="261"/>
      <c r="M187" s="360">
        <f t="shared" si="71"/>
        <v>5.5327500000000003E-3</v>
      </c>
      <c r="N187" s="261"/>
      <c r="O187" s="6">
        <f t="shared" si="72"/>
        <v>12532</v>
      </c>
    </row>
    <row r="188" spans="1:18">
      <c r="A188" s="86" t="s">
        <v>239</v>
      </c>
      <c r="C188" s="245">
        <v>39702141.256844603</v>
      </c>
      <c r="D188" s="261"/>
      <c r="E188" s="280">
        <v>19.607299999999999</v>
      </c>
      <c r="F188" s="253" t="s">
        <v>10</v>
      </c>
      <c r="G188" s="43">
        <v>7784518</v>
      </c>
      <c r="H188" s="261"/>
      <c r="I188" s="42">
        <f t="shared" si="73"/>
        <v>5.5999999999999999E-3</v>
      </c>
      <c r="J188" s="261"/>
      <c r="K188" s="6">
        <f t="shared" si="70"/>
        <v>43593</v>
      </c>
      <c r="L188" s="261"/>
      <c r="M188" s="360">
        <f t="shared" si="71"/>
        <v>5.5327500000000003E-3</v>
      </c>
      <c r="N188" s="261"/>
      <c r="O188" s="6">
        <f t="shared" si="72"/>
        <v>43070</v>
      </c>
    </row>
    <row r="189" spans="1:18">
      <c r="A189" s="86" t="s">
        <v>240</v>
      </c>
      <c r="C189" s="245">
        <v>93250801.351241559</v>
      </c>
      <c r="D189" s="261"/>
      <c r="E189" s="280">
        <v>3.8140999999999989</v>
      </c>
      <c r="F189" s="253" t="s">
        <v>10</v>
      </c>
      <c r="G189" s="43">
        <v>3556679</v>
      </c>
      <c r="H189" s="261"/>
      <c r="I189" s="42">
        <f t="shared" si="73"/>
        <v>5.5999999999999999E-3</v>
      </c>
      <c r="J189" s="261"/>
      <c r="K189" s="6">
        <f t="shared" si="70"/>
        <v>19917</v>
      </c>
      <c r="L189" s="261"/>
      <c r="M189" s="360">
        <f t="shared" si="71"/>
        <v>5.5327500000000003E-3</v>
      </c>
      <c r="N189" s="261"/>
      <c r="O189" s="6">
        <f t="shared" si="72"/>
        <v>19678</v>
      </c>
    </row>
    <row r="190" spans="1:18">
      <c r="A190" s="86" t="s">
        <v>241</v>
      </c>
      <c r="C190" s="245">
        <v>41868605.849641204</v>
      </c>
      <c r="D190" s="261"/>
      <c r="E190" s="280">
        <v>6</v>
      </c>
      <c r="F190" s="253" t="s">
        <v>10</v>
      </c>
      <c r="G190" s="43">
        <v>2512116</v>
      </c>
      <c r="H190" s="261"/>
      <c r="I190" s="42">
        <f t="shared" si="73"/>
        <v>5.5999999999999999E-3</v>
      </c>
      <c r="J190" s="261"/>
      <c r="K190" s="6">
        <f t="shared" si="70"/>
        <v>14068</v>
      </c>
      <c r="L190" s="261"/>
      <c r="M190" s="360">
        <f t="shared" si="71"/>
        <v>5.5327500000000003E-3</v>
      </c>
      <c r="N190" s="261"/>
      <c r="O190" s="6">
        <f t="shared" si="72"/>
        <v>13899</v>
      </c>
    </row>
    <row r="191" spans="1:18">
      <c r="A191" s="86" t="s">
        <v>242</v>
      </c>
      <c r="C191" s="245">
        <v>33522711.101450153</v>
      </c>
      <c r="D191" s="261"/>
      <c r="E191" s="280">
        <v>-2.335799999999999</v>
      </c>
      <c r="F191" s="253" t="s">
        <v>10</v>
      </c>
      <c r="G191" s="43">
        <v>-783023</v>
      </c>
      <c r="H191" s="261"/>
      <c r="I191" s="42">
        <f t="shared" si="73"/>
        <v>5.5999999999999999E-3</v>
      </c>
      <c r="J191" s="261"/>
      <c r="K191" s="6">
        <f t="shared" si="70"/>
        <v>-4385</v>
      </c>
      <c r="L191" s="261"/>
      <c r="M191" s="360">
        <f t="shared" si="71"/>
        <v>5.5327500000000003E-3</v>
      </c>
      <c r="N191" s="261"/>
      <c r="O191" s="6">
        <f t="shared" si="72"/>
        <v>-4332</v>
      </c>
    </row>
    <row r="192" spans="1:18">
      <c r="A192" s="86" t="s">
        <v>243</v>
      </c>
      <c r="C192" s="245">
        <v>73835483.656813219</v>
      </c>
      <c r="D192" s="261"/>
      <c r="E192" s="280">
        <v>5.3097000000000003</v>
      </c>
      <c r="F192" s="253" t="s">
        <v>10</v>
      </c>
      <c r="G192" s="43">
        <v>3920443</v>
      </c>
      <c r="H192" s="261"/>
      <c r="I192" s="42">
        <f t="shared" si="73"/>
        <v>5.5999999999999999E-3</v>
      </c>
      <c r="J192" s="261"/>
      <c r="K192" s="6">
        <f t="shared" si="70"/>
        <v>21954</v>
      </c>
      <c r="L192" s="261"/>
      <c r="M192" s="360">
        <f t="shared" si="71"/>
        <v>5.5327500000000003E-3</v>
      </c>
      <c r="N192" s="261"/>
      <c r="O192" s="6">
        <f t="shared" si="72"/>
        <v>21691</v>
      </c>
    </row>
    <row r="193" spans="1:18">
      <c r="A193" s="86" t="s">
        <v>244</v>
      </c>
      <c r="C193" s="245">
        <v>59117458.951272905</v>
      </c>
      <c r="D193" s="261"/>
      <c r="E193" s="280">
        <v>-2.0670999999999999</v>
      </c>
      <c r="F193" s="253" t="s">
        <v>10</v>
      </c>
      <c r="G193" s="43">
        <v>-1222017</v>
      </c>
      <c r="H193" s="261"/>
      <c r="I193" s="42">
        <f t="shared" si="73"/>
        <v>5.5999999999999999E-3</v>
      </c>
      <c r="J193" s="261"/>
      <c r="K193" s="6">
        <f t="shared" si="70"/>
        <v>-6843</v>
      </c>
      <c r="L193" s="261"/>
      <c r="M193" s="360">
        <f t="shared" si="71"/>
        <v>5.5327500000000003E-3</v>
      </c>
      <c r="N193" s="261"/>
      <c r="O193" s="6">
        <f t="shared" si="72"/>
        <v>-6761</v>
      </c>
    </row>
    <row r="194" spans="1:18">
      <c r="A194" s="86" t="s">
        <v>16</v>
      </c>
      <c r="C194" s="245">
        <v>56872.363899238364</v>
      </c>
      <c r="E194" s="247">
        <v>-0.61</v>
      </c>
      <c r="F194" s="247"/>
      <c r="G194" s="43">
        <v>-34692</v>
      </c>
      <c r="I194" s="42">
        <f t="shared" si="73"/>
        <v>5.5999999999999999E-3</v>
      </c>
      <c r="K194" s="6">
        <f t="shared" si="70"/>
        <v>-194</v>
      </c>
      <c r="M194" s="360">
        <f t="shared" si="71"/>
        <v>5.5327500000000003E-3</v>
      </c>
      <c r="O194" s="6">
        <f t="shared" si="72"/>
        <v>-192</v>
      </c>
    </row>
    <row r="195" spans="1:18">
      <c r="A195" s="257" t="s">
        <v>228</v>
      </c>
      <c r="C195" s="245">
        <v>758838.16754595097</v>
      </c>
      <c r="E195" s="276">
        <v>7.125</v>
      </c>
      <c r="F195" s="253" t="s">
        <v>10</v>
      </c>
      <c r="G195" s="43">
        <v>54067</v>
      </c>
      <c r="I195" s="42">
        <f t="shared" si="73"/>
        <v>5.5999999999999999E-3</v>
      </c>
      <c r="K195" s="6">
        <f t="shared" si="70"/>
        <v>303</v>
      </c>
      <c r="M195" s="360">
        <f t="shared" si="71"/>
        <v>5.5327500000000003E-3</v>
      </c>
      <c r="O195" s="6">
        <f t="shared" si="72"/>
        <v>299</v>
      </c>
      <c r="Q195" s="281"/>
      <c r="R195" s="281"/>
    </row>
    <row r="196" spans="1:18">
      <c r="A196" s="86" t="s">
        <v>245</v>
      </c>
      <c r="C196" s="245">
        <v>209103097.7267234</v>
      </c>
      <c r="E196" s="247"/>
      <c r="F196" s="247"/>
      <c r="G196" s="43">
        <v>23970885</v>
      </c>
      <c r="I196" s="247"/>
      <c r="K196" s="282">
        <f>SUM(K185:K195)</f>
        <v>129433</v>
      </c>
      <c r="M196" s="247"/>
      <c r="O196" s="282">
        <f>SUM(O185:O195)</f>
        <v>127880</v>
      </c>
    </row>
    <row r="197" spans="1:18">
      <c r="A197" s="86"/>
      <c r="E197" s="247"/>
      <c r="F197" s="247"/>
      <c r="I197" s="247"/>
      <c r="K197" s="10"/>
      <c r="M197" s="247"/>
      <c r="O197" s="10"/>
    </row>
    <row r="198" spans="1:18">
      <c r="A198" s="86" t="s">
        <v>7</v>
      </c>
      <c r="C198" s="245">
        <v>16184.594130320329</v>
      </c>
      <c r="E198" s="247">
        <v>53</v>
      </c>
      <c r="F198" s="247"/>
      <c r="G198" s="43">
        <v>857783</v>
      </c>
      <c r="I198" s="247"/>
      <c r="K198" s="6"/>
      <c r="M198" s="247"/>
      <c r="O198" s="6"/>
    </row>
    <row r="199" spans="1:18">
      <c r="A199" s="86" t="s">
        <v>17</v>
      </c>
      <c r="C199" s="245">
        <v>0</v>
      </c>
      <c r="E199" s="247">
        <v>636</v>
      </c>
      <c r="F199" s="247"/>
      <c r="G199" s="43">
        <v>0</v>
      </c>
      <c r="I199" s="247"/>
      <c r="K199" s="6"/>
      <c r="M199" s="247"/>
      <c r="O199" s="6"/>
    </row>
    <row r="200" spans="1:18">
      <c r="A200" s="86" t="s">
        <v>246</v>
      </c>
      <c r="C200" s="245">
        <v>0</v>
      </c>
      <c r="E200" s="261">
        <v>53</v>
      </c>
      <c r="F200" s="261"/>
      <c r="G200" s="43">
        <v>0</v>
      </c>
      <c r="I200" s="261"/>
      <c r="K200" s="6"/>
      <c r="M200" s="261"/>
      <c r="O200" s="6"/>
    </row>
    <row r="201" spans="1:18">
      <c r="A201" s="86" t="s">
        <v>26</v>
      </c>
      <c r="C201" s="245">
        <v>1281154</v>
      </c>
      <c r="E201" s="247">
        <v>3.99</v>
      </c>
      <c r="F201" s="247"/>
      <c r="G201" s="43">
        <v>5111804</v>
      </c>
      <c r="I201" s="42">
        <f>$I$138</f>
        <v>5.4999999999999997E-3</v>
      </c>
      <c r="K201" s="6">
        <f t="shared" ref="K201:K207" si="74">ROUND($G201*I201,0)</f>
        <v>28115</v>
      </c>
      <c r="M201" s="360">
        <f>$M$138</f>
        <v>5.4147400000000004E-3</v>
      </c>
      <c r="O201" s="6">
        <f t="shared" ref="O201" si="75">ROUND($G201*M201,0)</f>
        <v>27679</v>
      </c>
    </row>
    <row r="202" spans="1:18">
      <c r="A202" s="86" t="s">
        <v>247</v>
      </c>
      <c r="C202" s="245">
        <v>467710</v>
      </c>
      <c r="E202" s="261">
        <v>13.27</v>
      </c>
      <c r="F202" s="261"/>
      <c r="G202" s="43">
        <v>6206512</v>
      </c>
      <c r="I202" s="42">
        <f t="shared" ref="I202:I207" si="76">$I$138</f>
        <v>5.4999999999999997E-3</v>
      </c>
      <c r="K202" s="6">
        <f t="shared" si="74"/>
        <v>34136</v>
      </c>
      <c r="M202" s="360">
        <f t="shared" ref="M202:M207" si="77">$M$138</f>
        <v>5.4147400000000004E-3</v>
      </c>
      <c r="O202" s="6">
        <f t="shared" ref="O202:O207" si="78">ROUND($G202*M202,0)</f>
        <v>33607</v>
      </c>
    </row>
    <row r="203" spans="1:18">
      <c r="A203" s="86" t="s">
        <v>248</v>
      </c>
      <c r="C203" s="245">
        <v>813444</v>
      </c>
      <c r="E203" s="261">
        <v>11.74</v>
      </c>
      <c r="F203" s="261"/>
      <c r="G203" s="43">
        <v>9549833</v>
      </c>
      <c r="I203" s="42">
        <f t="shared" si="76"/>
        <v>5.4999999999999997E-3</v>
      </c>
      <c r="K203" s="6">
        <f t="shared" si="74"/>
        <v>52524</v>
      </c>
      <c r="M203" s="360">
        <f t="shared" si="77"/>
        <v>5.4147400000000004E-3</v>
      </c>
      <c r="O203" s="6">
        <f t="shared" si="78"/>
        <v>51710</v>
      </c>
    </row>
    <row r="204" spans="1:18">
      <c r="A204" s="86" t="s">
        <v>249</v>
      </c>
      <c r="C204" s="245">
        <v>75391316.726723433</v>
      </c>
      <c r="E204" s="276">
        <v>3.8877999999999999</v>
      </c>
      <c r="F204" s="253" t="s">
        <v>10</v>
      </c>
      <c r="G204" s="43">
        <v>2931064</v>
      </c>
      <c r="I204" s="42">
        <f t="shared" si="76"/>
        <v>5.4999999999999997E-3</v>
      </c>
      <c r="K204" s="6">
        <f t="shared" si="74"/>
        <v>16121</v>
      </c>
      <c r="M204" s="360">
        <f t="shared" si="77"/>
        <v>5.4147400000000004E-3</v>
      </c>
      <c r="O204" s="6">
        <f t="shared" si="78"/>
        <v>15871</v>
      </c>
    </row>
    <row r="205" spans="1:18">
      <c r="A205" s="86" t="s">
        <v>250</v>
      </c>
      <c r="C205" s="245">
        <v>132952943</v>
      </c>
      <c r="E205" s="276">
        <v>3.4405000000000001</v>
      </c>
      <c r="F205" s="253" t="s">
        <v>10</v>
      </c>
      <c r="G205" s="43">
        <v>4574246</v>
      </c>
      <c r="I205" s="42">
        <f t="shared" si="76"/>
        <v>5.4999999999999997E-3</v>
      </c>
      <c r="K205" s="6">
        <f t="shared" si="74"/>
        <v>25158</v>
      </c>
      <c r="M205" s="360">
        <f t="shared" si="77"/>
        <v>5.4147400000000004E-3</v>
      </c>
      <c r="O205" s="6">
        <f t="shared" si="78"/>
        <v>24768</v>
      </c>
    </row>
    <row r="206" spans="1:18">
      <c r="A206" s="86" t="s">
        <v>16</v>
      </c>
      <c r="C206" s="245">
        <v>56872.363899238364</v>
      </c>
      <c r="E206" s="247">
        <v>-0.96</v>
      </c>
      <c r="F206" s="247"/>
      <c r="G206" s="43">
        <v>-54597</v>
      </c>
      <c r="I206" s="42">
        <f t="shared" si="76"/>
        <v>5.4999999999999997E-3</v>
      </c>
      <c r="K206" s="6">
        <f t="shared" si="74"/>
        <v>-300</v>
      </c>
      <c r="M206" s="360">
        <f t="shared" si="77"/>
        <v>5.4147400000000004E-3</v>
      </c>
      <c r="O206" s="6">
        <f t="shared" si="78"/>
        <v>-296</v>
      </c>
    </row>
    <row r="207" spans="1:18">
      <c r="A207" s="257" t="s">
        <v>228</v>
      </c>
      <c r="C207" s="245">
        <v>758838</v>
      </c>
      <c r="E207" s="276">
        <v>7.125</v>
      </c>
      <c r="F207" s="253" t="s">
        <v>10</v>
      </c>
      <c r="G207" s="43">
        <v>54067</v>
      </c>
      <c r="I207" s="42">
        <f t="shared" si="76"/>
        <v>5.4999999999999997E-3</v>
      </c>
      <c r="K207" s="6">
        <f t="shared" si="74"/>
        <v>297</v>
      </c>
      <c r="M207" s="360">
        <f t="shared" si="77"/>
        <v>5.4147400000000004E-3</v>
      </c>
      <c r="O207" s="6">
        <f t="shared" si="78"/>
        <v>293</v>
      </c>
    </row>
    <row r="208" spans="1:18" ht="16.5" thickBot="1">
      <c r="A208" s="86" t="s">
        <v>14</v>
      </c>
      <c r="C208" s="278">
        <v>209103097.72672343</v>
      </c>
      <c r="E208" s="74"/>
      <c r="G208" s="279">
        <v>29230712</v>
      </c>
      <c r="I208" s="74"/>
      <c r="K208" s="13">
        <f>SUM(K198:K207)</f>
        <v>156051</v>
      </c>
      <c r="M208" s="74"/>
      <c r="O208" s="13">
        <f>SUM(O198:O207)</f>
        <v>153632</v>
      </c>
    </row>
    <row r="209" spans="1:15" ht="16.5" thickTop="1">
      <c r="I209" s="70"/>
      <c r="K209" s="10"/>
      <c r="M209" s="70"/>
      <c r="O209" s="10"/>
    </row>
    <row r="210" spans="1:15">
      <c r="A210" s="246" t="s">
        <v>251</v>
      </c>
      <c r="I210" s="70"/>
      <c r="K210" s="10"/>
      <c r="M210" s="70"/>
      <c r="O210" s="10"/>
    </row>
    <row r="211" spans="1:15">
      <c r="A211" s="86" t="s">
        <v>7</v>
      </c>
      <c r="C211" s="245">
        <v>601.96638791828354</v>
      </c>
      <c r="E211" s="247">
        <v>53</v>
      </c>
      <c r="F211" s="247"/>
      <c r="G211" s="43">
        <v>31904</v>
      </c>
      <c r="I211" s="247"/>
      <c r="K211" s="6"/>
      <c r="M211" s="247"/>
      <c r="O211" s="6"/>
    </row>
    <row r="212" spans="1:15">
      <c r="A212" s="86" t="s">
        <v>237</v>
      </c>
      <c r="C212" s="245">
        <v>617625.15581650264</v>
      </c>
      <c r="D212" s="261"/>
      <c r="E212" s="280">
        <v>22.156199999999998</v>
      </c>
      <c r="F212" s="253" t="s">
        <v>10</v>
      </c>
      <c r="G212" s="43">
        <v>136842</v>
      </c>
      <c r="H212" s="261"/>
      <c r="I212" s="42">
        <f>$I$286</f>
        <v>5.5999999999999999E-3</v>
      </c>
      <c r="J212" s="261"/>
      <c r="K212" s="6">
        <f t="shared" ref="K212:K221" si="79">ROUND($G212*I212,0)</f>
        <v>766</v>
      </c>
      <c r="L212" s="261"/>
      <c r="M212" s="360">
        <f t="shared" ref="M212:M221" si="80">$M$286</f>
        <v>5.5327500000000003E-3</v>
      </c>
      <c r="N212" s="261"/>
      <c r="O212" s="6">
        <f t="shared" ref="O212:O221" si="81">ROUND($G212*M212,0)</f>
        <v>757</v>
      </c>
    </row>
    <row r="213" spans="1:15">
      <c r="A213" s="86" t="s">
        <v>238</v>
      </c>
      <c r="C213" s="245">
        <v>1470157.0589540326</v>
      </c>
      <c r="D213" s="261"/>
      <c r="E213" s="280">
        <v>4.309899999999999</v>
      </c>
      <c r="F213" s="253" t="s">
        <v>10</v>
      </c>
      <c r="G213" s="43">
        <v>63362</v>
      </c>
      <c r="H213" s="261"/>
      <c r="I213" s="42">
        <f t="shared" ref="I213:I221" si="82">$I$286</f>
        <v>5.5999999999999999E-3</v>
      </c>
      <c r="J213" s="261"/>
      <c r="K213" s="6">
        <f t="shared" si="79"/>
        <v>355</v>
      </c>
      <c r="L213" s="261"/>
      <c r="M213" s="360">
        <f t="shared" si="80"/>
        <v>5.5327500000000003E-3</v>
      </c>
      <c r="N213" s="261"/>
      <c r="O213" s="6">
        <f t="shared" si="81"/>
        <v>351</v>
      </c>
    </row>
    <row r="214" spans="1:15">
      <c r="A214" s="86" t="s">
        <v>239</v>
      </c>
      <c r="C214" s="245">
        <v>1069622.9798240834</v>
      </c>
      <c r="D214" s="261"/>
      <c r="E214" s="280">
        <v>19.607299999999999</v>
      </c>
      <c r="F214" s="253" t="s">
        <v>10</v>
      </c>
      <c r="G214" s="43">
        <v>209724</v>
      </c>
      <c r="H214" s="261"/>
      <c r="I214" s="42">
        <f t="shared" si="82"/>
        <v>5.5999999999999999E-3</v>
      </c>
      <c r="J214" s="261"/>
      <c r="K214" s="6">
        <f t="shared" si="79"/>
        <v>1174</v>
      </c>
      <c r="L214" s="261"/>
      <c r="M214" s="360">
        <f t="shared" si="80"/>
        <v>5.5327500000000003E-3</v>
      </c>
      <c r="N214" s="261"/>
      <c r="O214" s="6">
        <f t="shared" si="81"/>
        <v>1160</v>
      </c>
    </row>
    <row r="215" spans="1:15">
      <c r="A215" s="86" t="s">
        <v>240</v>
      </c>
      <c r="C215" s="245">
        <v>2803065.8686222499</v>
      </c>
      <c r="D215" s="261"/>
      <c r="E215" s="280">
        <v>3.8140999999999989</v>
      </c>
      <c r="F215" s="253" t="s">
        <v>10</v>
      </c>
      <c r="G215" s="43">
        <v>106912</v>
      </c>
      <c r="H215" s="261"/>
      <c r="I215" s="42">
        <f t="shared" si="82"/>
        <v>5.5999999999999999E-3</v>
      </c>
      <c r="J215" s="261"/>
      <c r="K215" s="6">
        <f t="shared" si="79"/>
        <v>599</v>
      </c>
      <c r="L215" s="261"/>
      <c r="M215" s="360">
        <f t="shared" si="80"/>
        <v>5.5327500000000003E-3</v>
      </c>
      <c r="N215" s="261"/>
      <c r="O215" s="6">
        <f t="shared" si="81"/>
        <v>592</v>
      </c>
    </row>
    <row r="216" spans="1:15">
      <c r="A216" s="86" t="s">
        <v>241</v>
      </c>
      <c r="C216" s="245">
        <v>1159450.9047616925</v>
      </c>
      <c r="D216" s="261"/>
      <c r="E216" s="280">
        <v>6</v>
      </c>
      <c r="F216" s="253" t="s">
        <v>10</v>
      </c>
      <c r="G216" s="43">
        <v>69567</v>
      </c>
      <c r="H216" s="261"/>
      <c r="I216" s="42">
        <f t="shared" si="82"/>
        <v>5.5999999999999999E-3</v>
      </c>
      <c r="J216" s="261"/>
      <c r="K216" s="6">
        <f t="shared" si="79"/>
        <v>390</v>
      </c>
      <c r="L216" s="261"/>
      <c r="M216" s="360">
        <f t="shared" si="80"/>
        <v>5.5327500000000003E-3</v>
      </c>
      <c r="N216" s="261"/>
      <c r="O216" s="6">
        <f t="shared" si="81"/>
        <v>385</v>
      </c>
    </row>
    <row r="217" spans="1:15">
      <c r="A217" s="86" t="s">
        <v>242</v>
      </c>
      <c r="C217" s="245">
        <v>928331.31000884238</v>
      </c>
      <c r="D217" s="261"/>
      <c r="E217" s="280">
        <v>-2.335799999999999</v>
      </c>
      <c r="F217" s="253" t="s">
        <v>10</v>
      </c>
      <c r="G217" s="43">
        <v>-21684</v>
      </c>
      <c r="H217" s="261"/>
      <c r="I217" s="42">
        <f t="shared" si="82"/>
        <v>5.5999999999999999E-3</v>
      </c>
      <c r="J217" s="261"/>
      <c r="K217" s="6">
        <f t="shared" si="79"/>
        <v>-121</v>
      </c>
      <c r="L217" s="261"/>
      <c r="M217" s="360">
        <f t="shared" si="80"/>
        <v>5.5327500000000003E-3</v>
      </c>
      <c r="N217" s="261"/>
      <c r="O217" s="6">
        <f t="shared" si="81"/>
        <v>-120</v>
      </c>
    </row>
    <row r="218" spans="1:15">
      <c r="A218" s="86" t="s">
        <v>243</v>
      </c>
      <c r="C218" s="245">
        <v>2150699.7029788997</v>
      </c>
      <c r="D218" s="261"/>
      <c r="E218" s="280">
        <v>5.3097000000000003</v>
      </c>
      <c r="F218" s="253" t="s">
        <v>10</v>
      </c>
      <c r="G218" s="43">
        <v>114196</v>
      </c>
      <c r="H218" s="261"/>
      <c r="I218" s="42">
        <f t="shared" si="82"/>
        <v>5.5999999999999999E-3</v>
      </c>
      <c r="J218" s="261"/>
      <c r="K218" s="6">
        <f t="shared" si="79"/>
        <v>639</v>
      </c>
      <c r="L218" s="261"/>
      <c r="M218" s="360">
        <f t="shared" si="80"/>
        <v>5.5327500000000003E-3</v>
      </c>
      <c r="N218" s="261"/>
      <c r="O218" s="6">
        <f t="shared" si="81"/>
        <v>632</v>
      </c>
    </row>
    <row r="219" spans="1:15">
      <c r="A219" s="86" t="s">
        <v>244</v>
      </c>
      <c r="C219" s="245">
        <v>1721989.1454674334</v>
      </c>
      <c r="D219" s="261"/>
      <c r="E219" s="280">
        <v>-2.0670999999999999</v>
      </c>
      <c r="F219" s="253" t="s">
        <v>10</v>
      </c>
      <c r="G219" s="43">
        <v>-35595</v>
      </c>
      <c r="H219" s="261"/>
      <c r="I219" s="42">
        <f t="shared" si="82"/>
        <v>5.5999999999999999E-3</v>
      </c>
      <c r="J219" s="261"/>
      <c r="K219" s="6">
        <f t="shared" si="79"/>
        <v>-199</v>
      </c>
      <c r="L219" s="261"/>
      <c r="M219" s="360">
        <f t="shared" si="80"/>
        <v>5.5327500000000003E-3</v>
      </c>
      <c r="N219" s="261"/>
      <c r="O219" s="6">
        <f t="shared" si="81"/>
        <v>-197</v>
      </c>
    </row>
    <row r="220" spans="1:15">
      <c r="A220" s="86" t="s">
        <v>16</v>
      </c>
      <c r="C220" s="245">
        <v>0</v>
      </c>
      <c r="E220" s="247">
        <v>-0.61</v>
      </c>
      <c r="F220" s="247"/>
      <c r="G220" s="43">
        <v>0</v>
      </c>
      <c r="I220" s="42">
        <f t="shared" si="82"/>
        <v>5.5999999999999999E-3</v>
      </c>
      <c r="K220" s="6">
        <f t="shared" si="79"/>
        <v>0</v>
      </c>
      <c r="M220" s="360">
        <f t="shared" si="80"/>
        <v>5.5327500000000003E-3</v>
      </c>
      <c r="O220" s="6">
        <f t="shared" si="81"/>
        <v>0</v>
      </c>
    </row>
    <row r="221" spans="1:15">
      <c r="A221" s="257" t="s">
        <v>228</v>
      </c>
      <c r="C221" s="245">
        <v>0</v>
      </c>
      <c r="E221" s="276">
        <v>7.125</v>
      </c>
      <c r="F221" s="253" t="s">
        <v>10</v>
      </c>
      <c r="G221" s="43">
        <v>0</v>
      </c>
      <c r="I221" s="42">
        <f t="shared" si="82"/>
        <v>5.5999999999999999E-3</v>
      </c>
      <c r="K221" s="6">
        <f t="shared" si="79"/>
        <v>0</v>
      </c>
      <c r="M221" s="360">
        <f t="shared" si="80"/>
        <v>5.5327500000000003E-3</v>
      </c>
      <c r="O221" s="6">
        <f t="shared" si="81"/>
        <v>0</v>
      </c>
    </row>
    <row r="222" spans="1:15">
      <c r="A222" s="86" t="s">
        <v>245</v>
      </c>
      <c r="C222" s="245">
        <v>5960471.0632168679</v>
      </c>
      <c r="E222" s="247"/>
      <c r="F222" s="247"/>
      <c r="G222" s="43">
        <v>675228</v>
      </c>
      <c r="I222" s="247"/>
      <c r="K222" s="282">
        <f>SUM(K211:K221)</f>
        <v>3603</v>
      </c>
      <c r="M222" s="247"/>
      <c r="O222" s="282">
        <f>SUM(O211:O221)</f>
        <v>3560</v>
      </c>
    </row>
    <row r="223" spans="1:15">
      <c r="A223" s="86"/>
      <c r="E223" s="247"/>
      <c r="F223" s="247"/>
      <c r="I223" s="247"/>
      <c r="K223" s="10"/>
      <c r="M223" s="247"/>
      <c r="O223" s="10"/>
    </row>
    <row r="224" spans="1:15">
      <c r="A224" s="86" t="s">
        <v>7</v>
      </c>
      <c r="C224" s="245">
        <v>601.96638791828354</v>
      </c>
      <c r="E224" s="247">
        <v>53</v>
      </c>
      <c r="F224" s="247"/>
      <c r="G224" s="43">
        <v>31904</v>
      </c>
      <c r="I224" s="247"/>
      <c r="K224" s="6"/>
      <c r="M224" s="247"/>
      <c r="O224" s="6"/>
    </row>
    <row r="225" spans="1:18">
      <c r="A225" s="86" t="s">
        <v>17</v>
      </c>
      <c r="C225" s="245">
        <v>0</v>
      </c>
      <c r="E225" s="247">
        <v>636</v>
      </c>
      <c r="F225" s="247"/>
      <c r="G225" s="43">
        <v>0</v>
      </c>
      <c r="I225" s="247"/>
      <c r="K225" s="6"/>
      <c r="M225" s="247"/>
      <c r="O225" s="6"/>
    </row>
    <row r="226" spans="1:18">
      <c r="A226" s="86" t="s">
        <v>246</v>
      </c>
      <c r="C226" s="245">
        <v>0</v>
      </c>
      <c r="E226" s="261">
        <v>53</v>
      </c>
      <c r="F226" s="261"/>
      <c r="G226" s="43">
        <v>0</v>
      </c>
      <c r="I226" s="261"/>
      <c r="K226" s="6"/>
      <c r="M226" s="261"/>
      <c r="O226" s="6"/>
    </row>
    <row r="227" spans="1:18">
      <c r="A227" s="86" t="s">
        <v>26</v>
      </c>
      <c r="C227" s="245">
        <v>42952</v>
      </c>
      <c r="E227" s="247">
        <v>3.99</v>
      </c>
      <c r="F227" s="247"/>
      <c r="G227" s="43">
        <v>171378</v>
      </c>
      <c r="I227" s="42">
        <f>$I$138</f>
        <v>5.4999999999999997E-3</v>
      </c>
      <c r="K227" s="6">
        <f t="shared" ref="K227" si="83">ROUND($G227*I227,0)</f>
        <v>943</v>
      </c>
      <c r="M227" s="360">
        <f>$M$138</f>
        <v>5.4147400000000004E-3</v>
      </c>
      <c r="O227" s="6">
        <f t="shared" ref="O227" si="84">ROUND($G227*M227,0)</f>
        <v>928</v>
      </c>
    </row>
    <row r="228" spans="1:18">
      <c r="A228" s="86" t="s">
        <v>247</v>
      </c>
      <c r="C228" s="245">
        <v>16126</v>
      </c>
      <c r="E228" s="261">
        <v>13.27</v>
      </c>
      <c r="F228" s="261"/>
      <c r="G228" s="43">
        <v>213992</v>
      </c>
      <c r="I228" s="42">
        <f t="shared" ref="I228:I232" si="85">$I$138</f>
        <v>5.4999999999999997E-3</v>
      </c>
      <c r="K228" s="6">
        <f t="shared" ref="K228:K232" si="86">ROUND($G228*I228,0)</f>
        <v>1177</v>
      </c>
      <c r="M228" s="360">
        <f t="shared" ref="M228:M232" si="87">$M$138</f>
        <v>5.4147400000000004E-3</v>
      </c>
      <c r="O228" s="6">
        <f t="shared" ref="O228:O232" si="88">ROUND($G228*M228,0)</f>
        <v>1159</v>
      </c>
    </row>
    <row r="229" spans="1:18">
      <c r="A229" s="86" t="s">
        <v>248</v>
      </c>
      <c r="C229" s="245">
        <v>26826</v>
      </c>
      <c r="E229" s="261">
        <v>11.74</v>
      </c>
      <c r="F229" s="261"/>
      <c r="G229" s="43">
        <v>314937</v>
      </c>
      <c r="I229" s="42">
        <f t="shared" si="85"/>
        <v>5.4999999999999997E-3</v>
      </c>
      <c r="K229" s="6">
        <f t="shared" si="86"/>
        <v>1732</v>
      </c>
      <c r="M229" s="360">
        <f t="shared" si="87"/>
        <v>5.4147400000000004E-3</v>
      </c>
      <c r="O229" s="6">
        <f t="shared" si="88"/>
        <v>1705</v>
      </c>
      <c r="Q229" s="2"/>
      <c r="R229" s="206"/>
    </row>
    <row r="230" spans="1:18">
      <c r="A230" s="86" t="s">
        <v>249</v>
      </c>
      <c r="C230" s="245">
        <v>2218023.3846987919</v>
      </c>
      <c r="E230" s="276">
        <v>3.8877999999999999</v>
      </c>
      <c r="F230" s="253" t="s">
        <v>10</v>
      </c>
      <c r="G230" s="43">
        <v>86232</v>
      </c>
      <c r="I230" s="42">
        <f t="shared" si="85"/>
        <v>5.4999999999999997E-3</v>
      </c>
      <c r="K230" s="6">
        <f t="shared" si="86"/>
        <v>474</v>
      </c>
      <c r="M230" s="360">
        <f t="shared" si="87"/>
        <v>5.4147400000000004E-3</v>
      </c>
      <c r="O230" s="6">
        <f t="shared" si="88"/>
        <v>467</v>
      </c>
      <c r="Q230" s="2"/>
      <c r="R230" s="206"/>
    </row>
    <row r="231" spans="1:18">
      <c r="A231" s="86" t="s">
        <v>250</v>
      </c>
      <c r="C231" s="245">
        <v>4105852</v>
      </c>
      <c r="E231" s="276">
        <v>3.4405000000000001</v>
      </c>
      <c r="F231" s="253" t="s">
        <v>10</v>
      </c>
      <c r="G231" s="43">
        <v>141262</v>
      </c>
      <c r="I231" s="42">
        <f t="shared" si="85"/>
        <v>5.4999999999999997E-3</v>
      </c>
      <c r="K231" s="6">
        <f t="shared" si="86"/>
        <v>777</v>
      </c>
      <c r="M231" s="360">
        <f t="shared" si="87"/>
        <v>5.4147400000000004E-3</v>
      </c>
      <c r="O231" s="6">
        <f t="shared" si="88"/>
        <v>765</v>
      </c>
      <c r="Q231" s="272"/>
      <c r="R231" s="206"/>
    </row>
    <row r="232" spans="1:18">
      <c r="A232" s="86" t="s">
        <v>16</v>
      </c>
      <c r="C232" s="245">
        <v>0</v>
      </c>
      <c r="E232" s="247">
        <v>-0.96</v>
      </c>
      <c r="F232" s="247"/>
      <c r="G232" s="43">
        <v>0</v>
      </c>
      <c r="I232" s="42">
        <f t="shared" si="85"/>
        <v>5.4999999999999997E-3</v>
      </c>
      <c r="K232" s="6">
        <f t="shared" si="86"/>
        <v>0</v>
      </c>
      <c r="M232" s="360">
        <f t="shared" si="87"/>
        <v>5.4147400000000004E-3</v>
      </c>
      <c r="O232" s="6">
        <f t="shared" si="88"/>
        <v>0</v>
      </c>
      <c r="Q232" s="2"/>
      <c r="R232" s="273"/>
    </row>
    <row r="233" spans="1:18" ht="16.5" thickBot="1">
      <c r="A233" s="86" t="s">
        <v>14</v>
      </c>
      <c r="C233" s="278">
        <v>6323875.3846987914</v>
      </c>
      <c r="E233" s="74"/>
      <c r="G233" s="279">
        <v>959705</v>
      </c>
      <c r="I233" s="74"/>
      <c r="K233" s="13">
        <f>SUM(K224:K232)</f>
        <v>5103</v>
      </c>
      <c r="M233" s="74"/>
      <c r="O233" s="13">
        <f>SUM(O224:O232)</f>
        <v>5024</v>
      </c>
      <c r="Q233" s="263"/>
      <c r="R233" s="263"/>
    </row>
    <row r="234" spans="1:18" ht="16.5" thickTop="1">
      <c r="I234" s="70"/>
      <c r="K234" s="10"/>
      <c r="M234" s="70"/>
      <c r="O234" s="10"/>
      <c r="Q234" s="263"/>
      <c r="R234" s="263"/>
    </row>
    <row r="235" spans="1:18">
      <c r="A235" s="246" t="s">
        <v>252</v>
      </c>
      <c r="I235" s="70"/>
      <c r="K235" s="186"/>
      <c r="M235" s="70"/>
      <c r="O235" s="186"/>
      <c r="Q235" s="263"/>
      <c r="R235" s="263"/>
    </row>
    <row r="236" spans="1:18">
      <c r="A236" s="86" t="s">
        <v>7</v>
      </c>
      <c r="C236" s="245">
        <v>157.84953632148375</v>
      </c>
      <c r="E236" s="247">
        <v>53</v>
      </c>
      <c r="F236" s="247"/>
      <c r="G236" s="43">
        <v>8366</v>
      </c>
      <c r="I236" s="247"/>
      <c r="K236" s="6"/>
      <c r="M236" s="247"/>
      <c r="O236" s="6"/>
      <c r="Q236" s="263"/>
      <c r="R236" s="263"/>
    </row>
    <row r="237" spans="1:18">
      <c r="A237" s="86" t="s">
        <v>237</v>
      </c>
      <c r="C237" s="245">
        <v>446919.92134186177</v>
      </c>
      <c r="D237" s="261"/>
      <c r="E237" s="280">
        <v>22.156199999999998</v>
      </c>
      <c r="F237" s="253" t="s">
        <v>10</v>
      </c>
      <c r="G237" s="43">
        <v>99020</v>
      </c>
      <c r="H237" s="261"/>
      <c r="I237" s="360">
        <f t="shared" ref="I237:I246" si="89">$I$286</f>
        <v>5.5999999999999999E-3</v>
      </c>
      <c r="J237" s="261"/>
      <c r="K237" s="6">
        <f t="shared" ref="K237:K246" si="90">ROUND($G237*I237,0)</f>
        <v>555</v>
      </c>
      <c r="L237" s="261"/>
      <c r="M237" s="360">
        <f t="shared" ref="M237:M246" si="91">$M$286</f>
        <v>5.5327500000000003E-3</v>
      </c>
      <c r="N237" s="261"/>
      <c r="O237" s="6">
        <f t="shared" ref="O237:O246" si="92">ROUND($G237*M237,0)</f>
        <v>548</v>
      </c>
      <c r="Q237" s="2"/>
      <c r="R237" s="206"/>
    </row>
    <row r="238" spans="1:18">
      <c r="A238" s="86" t="s">
        <v>238</v>
      </c>
      <c r="C238" s="245">
        <v>1064811.2609841989</v>
      </c>
      <c r="D238" s="261"/>
      <c r="E238" s="280">
        <v>4.309899999999999</v>
      </c>
      <c r="F238" s="253" t="s">
        <v>10</v>
      </c>
      <c r="G238" s="43">
        <v>45892</v>
      </c>
      <c r="H238" s="261"/>
      <c r="I238" s="360">
        <f t="shared" si="89"/>
        <v>5.5999999999999999E-3</v>
      </c>
      <c r="J238" s="261"/>
      <c r="K238" s="6">
        <f t="shared" si="90"/>
        <v>257</v>
      </c>
      <c r="L238" s="261"/>
      <c r="M238" s="360">
        <f t="shared" si="91"/>
        <v>5.5327500000000003E-3</v>
      </c>
      <c r="N238" s="261"/>
      <c r="O238" s="6">
        <f t="shared" si="92"/>
        <v>254</v>
      </c>
      <c r="Q238" s="2"/>
      <c r="R238" s="206"/>
    </row>
    <row r="239" spans="1:18">
      <c r="A239" s="86" t="s">
        <v>239</v>
      </c>
      <c r="C239" s="245">
        <v>604584.22636234248</v>
      </c>
      <c r="D239" s="261"/>
      <c r="E239" s="280">
        <v>19.607299999999999</v>
      </c>
      <c r="F239" s="253" t="s">
        <v>10</v>
      </c>
      <c r="G239" s="43">
        <v>118543</v>
      </c>
      <c r="H239" s="261"/>
      <c r="I239" s="360">
        <f t="shared" si="89"/>
        <v>5.5999999999999999E-3</v>
      </c>
      <c r="J239" s="261"/>
      <c r="K239" s="6">
        <f t="shared" si="90"/>
        <v>664</v>
      </c>
      <c r="L239" s="261"/>
      <c r="M239" s="360">
        <f t="shared" si="91"/>
        <v>5.5327500000000003E-3</v>
      </c>
      <c r="N239" s="261"/>
      <c r="O239" s="6">
        <f t="shared" si="92"/>
        <v>656</v>
      </c>
      <c r="Q239" s="272"/>
      <c r="R239" s="206"/>
    </row>
    <row r="240" spans="1:18">
      <c r="A240" s="86" t="s">
        <v>240</v>
      </c>
      <c r="C240" s="245">
        <v>1835924.9717515896</v>
      </c>
      <c r="D240" s="261"/>
      <c r="E240" s="280">
        <v>3.8140999999999989</v>
      </c>
      <c r="F240" s="253" t="s">
        <v>10</v>
      </c>
      <c r="G240" s="43">
        <v>70024</v>
      </c>
      <c r="H240" s="261"/>
      <c r="I240" s="360">
        <f t="shared" si="89"/>
        <v>5.5999999999999999E-3</v>
      </c>
      <c r="J240" s="261"/>
      <c r="K240" s="6">
        <f t="shared" si="90"/>
        <v>392</v>
      </c>
      <c r="L240" s="261"/>
      <c r="M240" s="360">
        <f t="shared" si="91"/>
        <v>5.5327500000000003E-3</v>
      </c>
      <c r="N240" s="261"/>
      <c r="O240" s="6">
        <f t="shared" si="92"/>
        <v>387</v>
      </c>
      <c r="Q240" s="2"/>
      <c r="R240" s="273"/>
    </row>
    <row r="241" spans="1:15">
      <c r="A241" s="86" t="s">
        <v>241</v>
      </c>
      <c r="C241" s="245">
        <v>839540.67368902243</v>
      </c>
      <c r="D241" s="261"/>
      <c r="E241" s="280">
        <v>6</v>
      </c>
      <c r="F241" s="253" t="s">
        <v>10</v>
      </c>
      <c r="G241" s="43">
        <v>50372</v>
      </c>
      <c r="H241" s="261"/>
      <c r="I241" s="360">
        <f t="shared" si="89"/>
        <v>5.5999999999999999E-3</v>
      </c>
      <c r="J241" s="261"/>
      <c r="K241" s="6">
        <f t="shared" si="90"/>
        <v>282</v>
      </c>
      <c r="L241" s="261"/>
      <c r="M241" s="360">
        <f t="shared" si="91"/>
        <v>5.5327500000000003E-3</v>
      </c>
      <c r="N241" s="261"/>
      <c r="O241" s="6">
        <f t="shared" si="92"/>
        <v>279</v>
      </c>
    </row>
    <row r="242" spans="1:15">
      <c r="A242" s="86" t="s">
        <v>242</v>
      </c>
      <c r="C242" s="245">
        <v>672190.50863703794</v>
      </c>
      <c r="D242" s="261"/>
      <c r="E242" s="280">
        <v>-2.335799999999999</v>
      </c>
      <c r="F242" s="253" t="s">
        <v>10</v>
      </c>
      <c r="G242" s="43">
        <v>-15701</v>
      </c>
      <c r="H242" s="261"/>
      <c r="I242" s="360">
        <f t="shared" si="89"/>
        <v>5.5999999999999999E-3</v>
      </c>
      <c r="J242" s="261"/>
      <c r="K242" s="6">
        <f t="shared" si="90"/>
        <v>-88</v>
      </c>
      <c r="L242" s="261"/>
      <c r="M242" s="360">
        <f t="shared" si="91"/>
        <v>5.5327500000000003E-3</v>
      </c>
      <c r="N242" s="261"/>
      <c r="O242" s="6">
        <f t="shared" si="92"/>
        <v>-87</v>
      </c>
    </row>
    <row r="243" spans="1:15">
      <c r="A243" s="86" t="s">
        <v>243</v>
      </c>
      <c r="C243" s="245">
        <v>1355338.0126592533</v>
      </c>
      <c r="D243" s="261"/>
      <c r="E243" s="280">
        <v>5.3097000000000003</v>
      </c>
      <c r="F243" s="253" t="s">
        <v>10</v>
      </c>
      <c r="G243" s="43">
        <v>71964</v>
      </c>
      <c r="H243" s="261"/>
      <c r="I243" s="360">
        <f t="shared" si="89"/>
        <v>5.5999999999999999E-3</v>
      </c>
      <c r="J243" s="261"/>
      <c r="K243" s="6">
        <f t="shared" si="90"/>
        <v>403</v>
      </c>
      <c r="L243" s="261"/>
      <c r="M243" s="360">
        <f t="shared" si="91"/>
        <v>5.5327500000000003E-3</v>
      </c>
      <c r="N243" s="261"/>
      <c r="O243" s="6">
        <f t="shared" si="92"/>
        <v>398</v>
      </c>
    </row>
    <row r="244" spans="1:15">
      <c r="A244" s="86" t="s">
        <v>244</v>
      </c>
      <c r="C244" s="245">
        <v>1085171.1854546787</v>
      </c>
      <c r="D244" s="261"/>
      <c r="E244" s="280">
        <v>-2.0670999999999999</v>
      </c>
      <c r="F244" s="253" t="s">
        <v>10</v>
      </c>
      <c r="G244" s="43">
        <v>-22432</v>
      </c>
      <c r="H244" s="261"/>
      <c r="I244" s="360">
        <f t="shared" si="89"/>
        <v>5.5999999999999999E-3</v>
      </c>
      <c r="J244" s="261"/>
      <c r="K244" s="6">
        <f t="shared" si="90"/>
        <v>-126</v>
      </c>
      <c r="L244" s="261"/>
      <c r="M244" s="360">
        <f t="shared" si="91"/>
        <v>5.5327500000000003E-3</v>
      </c>
      <c r="N244" s="261"/>
      <c r="O244" s="6">
        <f t="shared" si="92"/>
        <v>-124</v>
      </c>
    </row>
    <row r="245" spans="1:15">
      <c r="A245" s="86" t="s">
        <v>16</v>
      </c>
      <c r="C245" s="245">
        <v>0</v>
      </c>
      <c r="E245" s="247">
        <v>-0.61</v>
      </c>
      <c r="F245" s="247"/>
      <c r="G245" s="43">
        <v>0</v>
      </c>
      <c r="I245" s="360">
        <f t="shared" si="89"/>
        <v>5.5999999999999999E-3</v>
      </c>
      <c r="K245" s="6">
        <f t="shared" si="90"/>
        <v>0</v>
      </c>
      <c r="M245" s="360">
        <f t="shared" si="91"/>
        <v>5.5327500000000003E-3</v>
      </c>
      <c r="O245" s="6">
        <f t="shared" si="92"/>
        <v>0</v>
      </c>
    </row>
    <row r="246" spans="1:15">
      <c r="A246" s="257" t="s">
        <v>228</v>
      </c>
      <c r="C246" s="245">
        <v>0</v>
      </c>
      <c r="E246" s="276">
        <v>7.125</v>
      </c>
      <c r="F246" s="253" t="s">
        <v>10</v>
      </c>
      <c r="G246" s="43">
        <v>0</v>
      </c>
      <c r="I246" s="360">
        <f t="shared" si="89"/>
        <v>5.5999999999999999E-3</v>
      </c>
      <c r="K246" s="6">
        <f t="shared" si="90"/>
        <v>0</v>
      </c>
      <c r="M246" s="360">
        <f t="shared" si="91"/>
        <v>5.5327500000000003E-3</v>
      </c>
      <c r="O246" s="6">
        <f t="shared" si="92"/>
        <v>0</v>
      </c>
    </row>
    <row r="247" spans="1:15">
      <c r="A247" s="86" t="s">
        <v>245</v>
      </c>
      <c r="C247" s="245">
        <v>3952240.3804399925</v>
      </c>
      <c r="E247" s="247"/>
      <c r="F247" s="247"/>
      <c r="G247" s="43">
        <v>426048</v>
      </c>
      <c r="I247" s="247"/>
      <c r="K247" s="282">
        <f>SUM(K236:K246)</f>
        <v>2339</v>
      </c>
      <c r="M247" s="247"/>
      <c r="O247" s="282">
        <f>SUM(O236:O246)</f>
        <v>2311</v>
      </c>
    </row>
    <row r="248" spans="1:15">
      <c r="A248" s="86"/>
      <c r="E248" s="247"/>
      <c r="F248" s="247"/>
      <c r="I248" s="247"/>
      <c r="K248" s="10"/>
      <c r="M248" s="247"/>
      <c r="O248" s="10"/>
    </row>
    <row r="249" spans="1:15">
      <c r="A249" s="86" t="s">
        <v>7</v>
      </c>
      <c r="C249" s="245">
        <v>157.84953632148375</v>
      </c>
      <c r="E249" s="261">
        <v>53</v>
      </c>
      <c r="F249" s="261"/>
      <c r="G249" s="43">
        <v>8366</v>
      </c>
      <c r="I249" s="261"/>
      <c r="K249" s="6"/>
      <c r="M249" s="261"/>
      <c r="O249" s="6"/>
    </row>
    <row r="250" spans="1:15">
      <c r="A250" s="86" t="s">
        <v>17</v>
      </c>
      <c r="C250" s="245">
        <v>0</v>
      </c>
      <c r="E250" s="261">
        <v>636</v>
      </c>
      <c r="F250" s="261"/>
      <c r="G250" s="43">
        <v>0</v>
      </c>
      <c r="I250" s="261"/>
      <c r="K250" s="6"/>
      <c r="M250" s="261"/>
      <c r="O250" s="6"/>
    </row>
    <row r="251" spans="1:15">
      <c r="A251" s="86" t="s">
        <v>219</v>
      </c>
      <c r="C251" s="245">
        <v>0</v>
      </c>
      <c r="E251" s="261">
        <v>53</v>
      </c>
      <c r="F251" s="261"/>
      <c r="G251" s="43">
        <v>0</v>
      </c>
      <c r="I251" s="261"/>
      <c r="K251" s="6"/>
      <c r="M251" s="261"/>
      <c r="O251" s="6"/>
    </row>
    <row r="252" spans="1:15">
      <c r="A252" s="86" t="s">
        <v>26</v>
      </c>
      <c r="C252" s="245">
        <v>21101</v>
      </c>
      <c r="E252" s="261">
        <v>3.99</v>
      </c>
      <c r="F252" s="261"/>
      <c r="G252" s="43">
        <v>84193</v>
      </c>
      <c r="I252" s="42">
        <f>$I$138</f>
        <v>5.4999999999999997E-3</v>
      </c>
      <c r="K252" s="6">
        <f t="shared" ref="K252" si="93">ROUND($G252*I252,0)</f>
        <v>463</v>
      </c>
      <c r="M252" s="360">
        <f>$M$138</f>
        <v>5.4147400000000004E-3</v>
      </c>
      <c r="O252" s="6">
        <f t="shared" ref="O252" si="94">ROUND($G252*M252,0)</f>
        <v>456</v>
      </c>
    </row>
    <row r="253" spans="1:15">
      <c r="A253" s="86" t="s">
        <v>247</v>
      </c>
      <c r="C253" s="245">
        <v>8990</v>
      </c>
      <c r="E253" s="261">
        <v>13.27</v>
      </c>
      <c r="F253" s="261"/>
      <c r="G253" s="43">
        <v>119297</v>
      </c>
      <c r="I253" s="42">
        <f t="shared" ref="I253:I257" si="95">$I$138</f>
        <v>5.4999999999999997E-3</v>
      </c>
      <c r="K253" s="6">
        <f t="shared" ref="K253:K257" si="96">ROUND($G253*I253,0)</f>
        <v>656</v>
      </c>
      <c r="M253" s="360">
        <f t="shared" ref="M253:M257" si="97">$M$138</f>
        <v>5.4147400000000004E-3</v>
      </c>
      <c r="O253" s="6">
        <f t="shared" ref="O253:O257" si="98">ROUND($G253*M253,0)</f>
        <v>646</v>
      </c>
    </row>
    <row r="254" spans="1:15">
      <c r="A254" s="86" t="s">
        <v>248</v>
      </c>
      <c r="C254" s="245">
        <v>12111</v>
      </c>
      <c r="E254" s="261">
        <v>11.74</v>
      </c>
      <c r="F254" s="261"/>
      <c r="G254" s="43">
        <v>142183</v>
      </c>
      <c r="I254" s="42">
        <f t="shared" si="95"/>
        <v>5.4999999999999997E-3</v>
      </c>
      <c r="K254" s="6">
        <f t="shared" si="96"/>
        <v>782</v>
      </c>
      <c r="M254" s="360">
        <f t="shared" si="97"/>
        <v>5.4147400000000004E-3</v>
      </c>
      <c r="O254" s="6">
        <f t="shared" si="98"/>
        <v>770</v>
      </c>
    </row>
    <row r="255" spans="1:15">
      <c r="A255" s="86" t="s">
        <v>249</v>
      </c>
      <c r="C255" s="245">
        <v>1511731.3804399925</v>
      </c>
      <c r="E255" s="276">
        <v>3.8877999999999999</v>
      </c>
      <c r="F255" s="253" t="s">
        <v>10</v>
      </c>
      <c r="G255" s="43">
        <v>58773</v>
      </c>
      <c r="I255" s="42">
        <f t="shared" si="95"/>
        <v>5.4999999999999997E-3</v>
      </c>
      <c r="K255" s="6">
        <f t="shared" si="96"/>
        <v>323</v>
      </c>
      <c r="M255" s="360">
        <f t="shared" si="97"/>
        <v>5.4147400000000004E-3</v>
      </c>
      <c r="O255" s="6">
        <f t="shared" si="98"/>
        <v>318</v>
      </c>
    </row>
    <row r="256" spans="1:15">
      <c r="A256" s="86" t="s">
        <v>250</v>
      </c>
      <c r="C256" s="245">
        <v>2440509</v>
      </c>
      <c r="E256" s="276">
        <v>3.4405000000000001</v>
      </c>
      <c r="F256" s="253" t="s">
        <v>10</v>
      </c>
      <c r="G256" s="43">
        <v>83966</v>
      </c>
      <c r="I256" s="42">
        <f t="shared" si="95"/>
        <v>5.4999999999999997E-3</v>
      </c>
      <c r="K256" s="6">
        <f t="shared" si="96"/>
        <v>462</v>
      </c>
      <c r="M256" s="360">
        <f t="shared" si="97"/>
        <v>5.4147400000000004E-3</v>
      </c>
      <c r="O256" s="6">
        <f t="shared" si="98"/>
        <v>455</v>
      </c>
    </row>
    <row r="257" spans="1:18">
      <c r="A257" s="86" t="s">
        <v>16</v>
      </c>
      <c r="C257" s="245">
        <v>0</v>
      </c>
      <c r="E257" s="261">
        <v>-0.96</v>
      </c>
      <c r="F257" s="261"/>
      <c r="G257" s="43">
        <v>0</v>
      </c>
      <c r="I257" s="42">
        <f t="shared" si="95"/>
        <v>5.4999999999999997E-3</v>
      </c>
      <c r="K257" s="6">
        <f t="shared" si="96"/>
        <v>0</v>
      </c>
      <c r="M257" s="360">
        <f t="shared" si="97"/>
        <v>5.4147400000000004E-3</v>
      </c>
      <c r="O257" s="6">
        <f t="shared" si="98"/>
        <v>0</v>
      </c>
    </row>
    <row r="258" spans="1:18" ht="16.5" thickBot="1">
      <c r="A258" s="86" t="s">
        <v>14</v>
      </c>
      <c r="C258" s="278">
        <v>3952240.3804399925</v>
      </c>
      <c r="E258" s="74"/>
      <c r="G258" s="279">
        <v>496778</v>
      </c>
      <c r="I258" s="74"/>
      <c r="K258" s="13">
        <f>SUM(K249:K257)</f>
        <v>2686</v>
      </c>
      <c r="M258" s="74"/>
      <c r="O258" s="13">
        <f>SUM(O249:O257)</f>
        <v>2645</v>
      </c>
    </row>
    <row r="259" spans="1:18" ht="16.5" thickTop="1">
      <c r="I259" s="70"/>
      <c r="K259" s="10"/>
      <c r="M259" s="70"/>
      <c r="O259" s="10"/>
    </row>
    <row r="260" spans="1:18">
      <c r="A260" s="246" t="s">
        <v>253</v>
      </c>
      <c r="D260" s="261"/>
      <c r="H260" s="261"/>
      <c r="I260" s="70"/>
      <c r="J260" s="261"/>
      <c r="K260" s="10"/>
      <c r="L260" s="261"/>
      <c r="M260" s="70"/>
      <c r="N260" s="261"/>
      <c r="O260" s="10"/>
    </row>
    <row r="261" spans="1:18">
      <c r="A261" s="86" t="s">
        <v>7</v>
      </c>
      <c r="C261" s="245">
        <v>69.151622418879057</v>
      </c>
      <c r="E261" s="247">
        <v>53</v>
      </c>
      <c r="F261" s="247"/>
      <c r="G261" s="43">
        <v>3665</v>
      </c>
      <c r="I261" s="360">
        <f t="shared" ref="I261:I271" si="99">$I$286</f>
        <v>5.5999999999999999E-3</v>
      </c>
      <c r="K261" s="6">
        <f t="shared" ref="K261" si="100">ROUND($G261*I261,0)</f>
        <v>21</v>
      </c>
      <c r="M261" s="360">
        <f t="shared" ref="M261:M271" si="101">$M$286</f>
        <v>5.5327500000000003E-3</v>
      </c>
      <c r="O261" s="6">
        <f t="shared" ref="O261" si="102">ROUND($G261*M261,0)</f>
        <v>20</v>
      </c>
    </row>
    <row r="262" spans="1:18">
      <c r="A262" s="86" t="s">
        <v>237</v>
      </c>
      <c r="C262" s="245">
        <v>23181.405554894285</v>
      </c>
      <c r="D262" s="261"/>
      <c r="E262" s="280">
        <v>22.156199999999998</v>
      </c>
      <c r="F262" s="253" t="s">
        <v>10</v>
      </c>
      <c r="G262" s="43">
        <v>5136</v>
      </c>
      <c r="H262" s="261"/>
      <c r="I262" s="360">
        <f t="shared" si="99"/>
        <v>5.5999999999999999E-3</v>
      </c>
      <c r="J262" s="261"/>
      <c r="K262" s="6">
        <f t="shared" ref="K262:K271" si="103">ROUND($G262*I262,0)</f>
        <v>29</v>
      </c>
      <c r="L262" s="261"/>
      <c r="M262" s="360">
        <f t="shared" si="101"/>
        <v>5.5327500000000003E-3</v>
      </c>
      <c r="N262" s="261"/>
      <c r="O262" s="6">
        <f t="shared" ref="O262:O271" si="104">ROUND($G262*M262,0)</f>
        <v>28</v>
      </c>
    </row>
    <row r="263" spans="1:18">
      <c r="A263" s="86" t="s">
        <v>238</v>
      </c>
      <c r="C263" s="245">
        <v>32182.25158153542</v>
      </c>
      <c r="D263" s="261"/>
      <c r="E263" s="280">
        <v>4.309899999999999</v>
      </c>
      <c r="F263" s="253" t="s">
        <v>10</v>
      </c>
      <c r="G263" s="43">
        <v>1387</v>
      </c>
      <c r="H263" s="261"/>
      <c r="I263" s="360">
        <f t="shared" si="99"/>
        <v>5.5999999999999999E-3</v>
      </c>
      <c r="J263" s="261"/>
      <c r="K263" s="6">
        <f t="shared" si="103"/>
        <v>8</v>
      </c>
      <c r="L263" s="261"/>
      <c r="M263" s="360">
        <f t="shared" si="101"/>
        <v>5.5327500000000003E-3</v>
      </c>
      <c r="N263" s="261"/>
      <c r="O263" s="6">
        <f t="shared" si="104"/>
        <v>8</v>
      </c>
    </row>
    <row r="264" spans="1:18">
      <c r="A264" s="86" t="s">
        <v>239</v>
      </c>
      <c r="C264" s="245">
        <v>59234.229549653035</v>
      </c>
      <c r="D264" s="261"/>
      <c r="E264" s="280">
        <v>19.607299999999999</v>
      </c>
      <c r="F264" s="253" t="s">
        <v>10</v>
      </c>
      <c r="G264" s="43">
        <v>11614</v>
      </c>
      <c r="H264" s="261"/>
      <c r="I264" s="360">
        <f t="shared" si="99"/>
        <v>5.5999999999999999E-3</v>
      </c>
      <c r="J264" s="261"/>
      <c r="K264" s="6">
        <f t="shared" si="103"/>
        <v>65</v>
      </c>
      <c r="L264" s="261"/>
      <c r="M264" s="360">
        <f t="shared" si="101"/>
        <v>5.5327500000000003E-3</v>
      </c>
      <c r="N264" s="261"/>
      <c r="O264" s="6">
        <f t="shared" si="104"/>
        <v>64</v>
      </c>
    </row>
    <row r="265" spans="1:18">
      <c r="A265" s="86" t="s">
        <v>240</v>
      </c>
      <c r="C265" s="245">
        <v>26202.396718020587</v>
      </c>
      <c r="D265" s="261"/>
      <c r="E265" s="280">
        <v>3.8140999999999989</v>
      </c>
      <c r="F265" s="253" t="s">
        <v>10</v>
      </c>
      <c r="G265" s="43">
        <v>999</v>
      </c>
      <c r="H265" s="261"/>
      <c r="I265" s="360">
        <f t="shared" si="99"/>
        <v>5.5999999999999999E-3</v>
      </c>
      <c r="J265" s="261"/>
      <c r="K265" s="6">
        <f t="shared" si="103"/>
        <v>6</v>
      </c>
      <c r="L265" s="261"/>
      <c r="M265" s="360">
        <f t="shared" si="101"/>
        <v>5.5327500000000003E-3</v>
      </c>
      <c r="N265" s="261"/>
      <c r="O265" s="6">
        <f t="shared" si="104"/>
        <v>6</v>
      </c>
    </row>
    <row r="266" spans="1:18">
      <c r="A266" s="86" t="s">
        <v>241</v>
      </c>
      <c r="C266" s="245">
        <v>30746.234881977271</v>
      </c>
      <c r="D266" s="261"/>
      <c r="E266" s="280">
        <v>6</v>
      </c>
      <c r="F266" s="253" t="s">
        <v>10</v>
      </c>
      <c r="G266" s="43">
        <v>1845</v>
      </c>
      <c r="H266" s="261"/>
      <c r="I266" s="360">
        <f t="shared" si="99"/>
        <v>5.5999999999999999E-3</v>
      </c>
      <c r="J266" s="261"/>
      <c r="K266" s="6">
        <f t="shared" si="103"/>
        <v>10</v>
      </c>
      <c r="L266" s="261"/>
      <c r="M266" s="360">
        <f t="shared" si="101"/>
        <v>5.5327500000000003E-3</v>
      </c>
      <c r="N266" s="261"/>
      <c r="O266" s="6">
        <f t="shared" si="104"/>
        <v>10</v>
      </c>
    </row>
    <row r="267" spans="1:18">
      <c r="A267" s="86" t="s">
        <v>242</v>
      </c>
      <c r="C267" s="245">
        <v>24617.422254452438</v>
      </c>
      <c r="D267" s="261"/>
      <c r="E267" s="280">
        <v>-2.335799999999999</v>
      </c>
      <c r="F267" s="253" t="s">
        <v>10</v>
      </c>
      <c r="G267" s="43">
        <v>-575</v>
      </c>
      <c r="H267" s="261"/>
      <c r="I267" s="360">
        <f t="shared" si="99"/>
        <v>5.5999999999999999E-3</v>
      </c>
      <c r="J267" s="261"/>
      <c r="K267" s="6">
        <f t="shared" si="103"/>
        <v>-3</v>
      </c>
      <c r="L267" s="261"/>
      <c r="M267" s="360">
        <f t="shared" si="101"/>
        <v>5.5327500000000003E-3</v>
      </c>
      <c r="N267" s="261"/>
      <c r="O267" s="6">
        <f t="shared" si="104"/>
        <v>-3</v>
      </c>
    </row>
    <row r="268" spans="1:18">
      <c r="A268" s="86" t="s">
        <v>243</v>
      </c>
      <c r="C268" s="245">
        <v>47447.273439259698</v>
      </c>
      <c r="D268" s="261"/>
      <c r="E268" s="280">
        <v>5.3097000000000003</v>
      </c>
      <c r="F268" s="253" t="s">
        <v>10</v>
      </c>
      <c r="G268" s="43">
        <v>2519</v>
      </c>
      <c r="H268" s="261"/>
      <c r="I268" s="360">
        <f t="shared" si="99"/>
        <v>5.5999999999999999E-3</v>
      </c>
      <c r="J268" s="261"/>
      <c r="K268" s="6">
        <f t="shared" si="103"/>
        <v>14</v>
      </c>
      <c r="L268" s="261"/>
      <c r="M268" s="360">
        <f t="shared" si="101"/>
        <v>5.5327500000000003E-3</v>
      </c>
      <c r="N268" s="261"/>
      <c r="O268" s="6">
        <f t="shared" si="104"/>
        <v>14</v>
      </c>
    </row>
    <row r="269" spans="1:18">
      <c r="A269" s="86" t="s">
        <v>244</v>
      </c>
      <c r="C269" s="245">
        <v>37989.352828413917</v>
      </c>
      <c r="D269" s="261"/>
      <c r="E269" s="280">
        <v>-2.0670999999999999</v>
      </c>
      <c r="F269" s="253" t="s">
        <v>10</v>
      </c>
      <c r="G269" s="43">
        <v>-785</v>
      </c>
      <c r="H269" s="261"/>
      <c r="I269" s="360">
        <f t="shared" si="99"/>
        <v>5.5999999999999999E-3</v>
      </c>
      <c r="J269" s="261"/>
      <c r="K269" s="6">
        <f t="shared" si="103"/>
        <v>-4</v>
      </c>
      <c r="L269" s="261"/>
      <c r="M269" s="360">
        <f t="shared" si="101"/>
        <v>5.5327500000000003E-3</v>
      </c>
      <c r="N269" s="261"/>
      <c r="O269" s="6">
        <f t="shared" si="104"/>
        <v>-4</v>
      </c>
    </row>
    <row r="270" spans="1:18">
      <c r="A270" s="86" t="s">
        <v>16</v>
      </c>
      <c r="C270" s="245">
        <v>0</v>
      </c>
      <c r="E270" s="247">
        <v>-0.61</v>
      </c>
      <c r="F270" s="247"/>
      <c r="G270" s="43">
        <v>0</v>
      </c>
      <c r="I270" s="360">
        <f t="shared" si="99"/>
        <v>5.5999999999999999E-3</v>
      </c>
      <c r="K270" s="6">
        <f t="shared" si="103"/>
        <v>0</v>
      </c>
      <c r="M270" s="360">
        <f t="shared" si="101"/>
        <v>5.5327500000000003E-3</v>
      </c>
      <c r="O270" s="6">
        <f t="shared" si="104"/>
        <v>0</v>
      </c>
    </row>
    <row r="271" spans="1:18">
      <c r="A271" s="257" t="s">
        <v>228</v>
      </c>
      <c r="C271" s="245">
        <v>0</v>
      </c>
      <c r="E271" s="276">
        <v>7.125</v>
      </c>
      <c r="F271" s="253" t="s">
        <v>10</v>
      </c>
      <c r="G271" s="43">
        <v>0</v>
      </c>
      <c r="I271" s="360">
        <f t="shared" si="99"/>
        <v>5.5999999999999999E-3</v>
      </c>
      <c r="K271" s="6">
        <f t="shared" si="103"/>
        <v>0</v>
      </c>
      <c r="M271" s="360">
        <f t="shared" si="101"/>
        <v>5.5327500000000003E-3</v>
      </c>
      <c r="O271" s="6">
        <f t="shared" si="104"/>
        <v>0</v>
      </c>
      <c r="Q271" s="67"/>
      <c r="R271" s="67"/>
    </row>
    <row r="272" spans="1:18">
      <c r="A272" s="86" t="s">
        <v>245</v>
      </c>
      <c r="C272" s="245">
        <v>140800.28340410333</v>
      </c>
      <c r="E272" s="247"/>
      <c r="F272" s="247"/>
      <c r="G272" s="43">
        <v>25805</v>
      </c>
      <c r="I272" s="247"/>
      <c r="K272" s="282">
        <f>SUM(K261:K271)</f>
        <v>146</v>
      </c>
      <c r="M272" s="247"/>
      <c r="O272" s="282">
        <f>SUM(O261:O271)</f>
        <v>143</v>
      </c>
      <c r="Q272" s="67"/>
      <c r="R272" s="67"/>
    </row>
    <row r="273" spans="1:19">
      <c r="A273" s="86"/>
      <c r="E273" s="247"/>
      <c r="F273" s="247"/>
      <c r="I273" s="247"/>
      <c r="K273" s="10"/>
      <c r="M273" s="247"/>
      <c r="O273" s="10"/>
      <c r="Q273" s="67"/>
      <c r="R273" s="67"/>
    </row>
    <row r="274" spans="1:19">
      <c r="A274" s="86" t="s">
        <v>7</v>
      </c>
      <c r="C274" s="245">
        <v>69.151622418879057</v>
      </c>
      <c r="E274" s="247">
        <v>53</v>
      </c>
      <c r="F274" s="247"/>
      <c r="G274" s="43">
        <v>3665</v>
      </c>
      <c r="I274" s="247"/>
      <c r="K274" s="6"/>
      <c r="M274" s="247"/>
      <c r="O274" s="6"/>
      <c r="Q274" s="67"/>
      <c r="R274" s="67"/>
    </row>
    <row r="275" spans="1:19">
      <c r="A275" s="86" t="s">
        <v>17</v>
      </c>
      <c r="C275" s="245">
        <v>0</v>
      </c>
      <c r="D275" s="261"/>
      <c r="E275" s="247">
        <v>636</v>
      </c>
      <c r="F275" s="247"/>
      <c r="G275" s="43">
        <v>0</v>
      </c>
      <c r="H275" s="261"/>
      <c r="I275" s="247"/>
      <c r="J275" s="261"/>
      <c r="K275" s="6"/>
      <c r="L275" s="261"/>
      <c r="M275" s="247"/>
      <c r="N275" s="261"/>
      <c r="O275" s="6"/>
      <c r="Q275" s="67"/>
      <c r="R275" s="67"/>
    </row>
    <row r="276" spans="1:19">
      <c r="A276" s="86" t="s">
        <v>246</v>
      </c>
      <c r="E276" s="261"/>
      <c r="F276" s="261"/>
      <c r="I276" s="261"/>
      <c r="K276" s="6"/>
      <c r="M276" s="261"/>
      <c r="O276" s="6"/>
      <c r="Q276" s="67"/>
      <c r="R276" s="67"/>
    </row>
    <row r="277" spans="1:19">
      <c r="A277" s="86" t="s">
        <v>26</v>
      </c>
      <c r="C277" s="245">
        <v>2794</v>
      </c>
      <c r="E277" s="247">
        <v>3.99</v>
      </c>
      <c r="F277" s="247"/>
      <c r="G277" s="43">
        <v>11148</v>
      </c>
      <c r="I277" s="42">
        <f>$I$138</f>
        <v>5.4999999999999997E-3</v>
      </c>
      <c r="K277" s="6">
        <f t="shared" ref="K277" si="105">ROUND($G277*I277,0)</f>
        <v>61</v>
      </c>
      <c r="M277" s="360">
        <f>$M$138</f>
        <v>5.4147400000000004E-3</v>
      </c>
      <c r="O277" s="6">
        <f t="shared" ref="O277" si="106">ROUND($G277*M277,0)</f>
        <v>60</v>
      </c>
      <c r="Q277" s="67"/>
      <c r="R277" s="67"/>
    </row>
    <row r="278" spans="1:19">
      <c r="A278" s="86" t="s">
        <v>254</v>
      </c>
      <c r="C278" s="245">
        <v>832</v>
      </c>
      <c r="E278" s="261">
        <v>13.27</v>
      </c>
      <c r="F278" s="261"/>
      <c r="G278" s="43">
        <v>11041</v>
      </c>
      <c r="I278" s="42">
        <f t="shared" ref="I278:I282" si="107">$I$138</f>
        <v>5.4999999999999997E-3</v>
      </c>
      <c r="K278" s="6">
        <f t="shared" ref="K278:K282" si="108">ROUND($G278*I278,0)</f>
        <v>61</v>
      </c>
      <c r="M278" s="360">
        <f t="shared" ref="M278:M282" si="109">$M$138</f>
        <v>5.4147400000000004E-3</v>
      </c>
      <c r="O278" s="6">
        <f t="shared" ref="O278:O282" si="110">ROUND($G278*M278,0)</f>
        <v>60</v>
      </c>
      <c r="Q278" s="67"/>
      <c r="R278" s="67"/>
    </row>
    <row r="279" spans="1:19">
      <c r="A279" s="86" t="s">
        <v>255</v>
      </c>
      <c r="C279" s="245">
        <v>1962</v>
      </c>
      <c r="E279" s="261">
        <v>11.74</v>
      </c>
      <c r="F279" s="261"/>
      <c r="G279" s="43">
        <v>23034</v>
      </c>
      <c r="I279" s="42">
        <f t="shared" si="107"/>
        <v>5.4999999999999997E-3</v>
      </c>
      <c r="K279" s="6">
        <f t="shared" si="108"/>
        <v>127</v>
      </c>
      <c r="M279" s="360">
        <f t="shared" si="109"/>
        <v>5.4147400000000004E-3</v>
      </c>
      <c r="O279" s="6">
        <f t="shared" si="110"/>
        <v>125</v>
      </c>
      <c r="Q279" s="67"/>
      <c r="R279" s="67"/>
    </row>
    <row r="280" spans="1:19">
      <c r="A280" s="86" t="s">
        <v>249</v>
      </c>
      <c r="C280" s="245">
        <v>55363.283404103327</v>
      </c>
      <c r="E280" s="276">
        <v>3.8877999999999999</v>
      </c>
      <c r="F280" s="253" t="s">
        <v>10</v>
      </c>
      <c r="G280" s="43">
        <v>2152</v>
      </c>
      <c r="I280" s="42">
        <f t="shared" si="107"/>
        <v>5.4999999999999997E-3</v>
      </c>
      <c r="K280" s="6">
        <f t="shared" si="108"/>
        <v>12</v>
      </c>
      <c r="M280" s="360">
        <f t="shared" si="109"/>
        <v>5.4147400000000004E-3</v>
      </c>
      <c r="O280" s="6">
        <f t="shared" si="110"/>
        <v>12</v>
      </c>
      <c r="Q280" s="67"/>
      <c r="R280" s="67"/>
    </row>
    <row r="281" spans="1:19">
      <c r="A281" s="86" t="s">
        <v>250</v>
      </c>
      <c r="C281" s="245">
        <v>85437</v>
      </c>
      <c r="E281" s="276">
        <v>3.4405000000000001</v>
      </c>
      <c r="F281" s="253" t="s">
        <v>10</v>
      </c>
      <c r="G281" s="43">
        <v>2939</v>
      </c>
      <c r="I281" s="42">
        <f t="shared" si="107"/>
        <v>5.4999999999999997E-3</v>
      </c>
      <c r="K281" s="6">
        <f t="shared" si="108"/>
        <v>16</v>
      </c>
      <c r="M281" s="360">
        <f t="shared" si="109"/>
        <v>5.4147400000000004E-3</v>
      </c>
      <c r="O281" s="6">
        <f t="shared" si="110"/>
        <v>16</v>
      </c>
      <c r="Q281" s="67"/>
      <c r="R281" s="67"/>
    </row>
    <row r="282" spans="1:19">
      <c r="A282" s="86" t="s">
        <v>16</v>
      </c>
      <c r="C282" s="245">
        <v>0</v>
      </c>
      <c r="E282" s="247">
        <v>-0.96</v>
      </c>
      <c r="F282" s="247"/>
      <c r="G282" s="43">
        <v>0</v>
      </c>
      <c r="I282" s="42">
        <f t="shared" si="107"/>
        <v>5.4999999999999997E-3</v>
      </c>
      <c r="K282" s="6">
        <f t="shared" si="108"/>
        <v>0</v>
      </c>
      <c r="M282" s="360">
        <f t="shared" si="109"/>
        <v>5.4147400000000004E-3</v>
      </c>
      <c r="O282" s="6">
        <f t="shared" si="110"/>
        <v>0</v>
      </c>
      <c r="Q282" s="67"/>
      <c r="R282" s="67"/>
    </row>
    <row r="283" spans="1:19" ht="16.5" thickBot="1">
      <c r="A283" s="86" t="s">
        <v>14</v>
      </c>
      <c r="C283" s="278">
        <v>140800.28340410333</v>
      </c>
      <c r="E283" s="74"/>
      <c r="G283" s="279">
        <v>53979</v>
      </c>
      <c r="I283" s="74"/>
      <c r="K283" s="13">
        <f>SUM(K274:K282)</f>
        <v>277</v>
      </c>
      <c r="M283" s="74"/>
      <c r="O283" s="13">
        <f>SUM(O274:O282)</f>
        <v>273</v>
      </c>
      <c r="Q283" s="67"/>
      <c r="R283" s="67"/>
    </row>
    <row r="284" spans="1:19" ht="16.5" thickTop="1">
      <c r="I284" s="70"/>
      <c r="K284" s="6"/>
      <c r="M284" s="70"/>
      <c r="O284" s="6"/>
      <c r="Q284" s="67"/>
      <c r="R284" s="67"/>
    </row>
    <row r="285" spans="1:19">
      <c r="A285" s="246" t="s">
        <v>19</v>
      </c>
      <c r="E285" s="276"/>
      <c r="F285" s="276"/>
      <c r="I285" s="276"/>
      <c r="K285" s="10"/>
      <c r="M285" s="276"/>
      <c r="O285" s="10"/>
      <c r="Q285" s="67"/>
      <c r="R285" s="67"/>
    </row>
    <row r="286" spans="1:19">
      <c r="A286" s="86" t="s">
        <v>237</v>
      </c>
      <c r="C286" s="245">
        <v>44585441.124639124</v>
      </c>
      <c r="D286" s="261"/>
      <c r="E286" s="280">
        <v>22.156199999999998</v>
      </c>
      <c r="F286" s="253" t="s">
        <v>10</v>
      </c>
      <c r="G286" s="43">
        <v>9878440</v>
      </c>
      <c r="H286" s="261"/>
      <c r="I286" s="359">
        <v>5.5999999999999999E-3</v>
      </c>
      <c r="J286" s="261"/>
      <c r="K286" s="6">
        <f>ROUND($G286*I286,0)</f>
        <v>55319</v>
      </c>
      <c r="L286" s="261"/>
      <c r="M286" s="359">
        <f>ROUND(R288/SUM(G286:G293,G295:G296,G301:G308,G310,G519:G527),$R$8)</f>
        <v>5.5327500000000003E-3</v>
      </c>
      <c r="N286" s="261"/>
      <c r="O286" s="6">
        <f>ROUND($G286*M286,0)</f>
        <v>54655</v>
      </c>
      <c r="Q286" s="2" t="s">
        <v>350</v>
      </c>
      <c r="R286" s="283"/>
      <c r="S286" s="356"/>
    </row>
    <row r="287" spans="1:19">
      <c r="A287" s="86" t="s">
        <v>238</v>
      </c>
      <c r="C287" s="245">
        <v>80754202</v>
      </c>
      <c r="D287" s="261"/>
      <c r="E287" s="280">
        <v>4.309899999999999</v>
      </c>
      <c r="F287" s="253" t="s">
        <v>10</v>
      </c>
      <c r="G287" s="43">
        <v>3480425</v>
      </c>
      <c r="H287" s="261"/>
      <c r="I287" s="360">
        <f t="shared" ref="I287:I293" si="111">$I$286</f>
        <v>5.5999999999999999E-3</v>
      </c>
      <c r="J287" s="261"/>
      <c r="K287" s="6">
        <f t="shared" ref="K287:K293" si="112">ROUND($G287*I287,0)</f>
        <v>19490</v>
      </c>
      <c r="L287" s="261"/>
      <c r="M287" s="360">
        <f>$M$286</f>
        <v>5.5327500000000003E-3</v>
      </c>
      <c r="N287" s="261"/>
      <c r="O287" s="6">
        <f t="shared" ref="O287:O293" si="113">ROUND($G287*M287,0)</f>
        <v>19256</v>
      </c>
      <c r="Q287" s="275" t="s">
        <v>11</v>
      </c>
      <c r="R287" s="7">
        <f>SUM(O298,O311,O528)</f>
        <v>250736</v>
      </c>
      <c r="S287" s="356"/>
    </row>
    <row r="288" spans="1:19">
      <c r="A288" s="86" t="s">
        <v>239</v>
      </c>
      <c r="C288" s="245">
        <v>73546803</v>
      </c>
      <c r="D288" s="261"/>
      <c r="E288" s="280">
        <v>19.607299999999999</v>
      </c>
      <c r="F288" s="253" t="s">
        <v>10</v>
      </c>
      <c r="G288" s="43">
        <v>14420542</v>
      </c>
      <c r="H288" s="261"/>
      <c r="I288" s="360">
        <f t="shared" si="111"/>
        <v>5.5999999999999999E-3</v>
      </c>
      <c r="J288" s="261"/>
      <c r="K288" s="6">
        <f t="shared" si="112"/>
        <v>80755</v>
      </c>
      <c r="L288" s="261"/>
      <c r="M288" s="360">
        <f t="shared" ref="M288:M293" si="114">$M$286</f>
        <v>5.5327500000000003E-3</v>
      </c>
      <c r="N288" s="261"/>
      <c r="O288" s="6">
        <f t="shared" si="113"/>
        <v>79785</v>
      </c>
      <c r="Q288" s="249" t="s">
        <v>12</v>
      </c>
      <c r="R288" s="8">
        <f>'Exhibit-RMP(RMM-3) page 2'!K21*1000</f>
        <v>250735.27142998207</v>
      </c>
      <c r="S288" s="356"/>
    </row>
    <row r="289" spans="1:19">
      <c r="A289" s="86" t="s">
        <v>240</v>
      </c>
      <c r="C289" s="245">
        <v>153778261</v>
      </c>
      <c r="D289" s="261"/>
      <c r="E289" s="280">
        <v>3.8140999999999989</v>
      </c>
      <c r="F289" s="253" t="s">
        <v>10</v>
      </c>
      <c r="G289" s="43">
        <v>5865257</v>
      </c>
      <c r="H289" s="261"/>
      <c r="I289" s="360">
        <f t="shared" si="111"/>
        <v>5.5999999999999999E-3</v>
      </c>
      <c r="J289" s="261"/>
      <c r="K289" s="6">
        <f t="shared" si="112"/>
        <v>32845</v>
      </c>
      <c r="L289" s="261"/>
      <c r="M289" s="360">
        <f t="shared" si="114"/>
        <v>5.5327500000000003E-3</v>
      </c>
      <c r="N289" s="261"/>
      <c r="O289" s="6">
        <f t="shared" si="113"/>
        <v>32451</v>
      </c>
      <c r="Q289" s="250" t="s">
        <v>13</v>
      </c>
      <c r="R289" s="9">
        <f>R288-R287</f>
        <v>-0.72857001793454401</v>
      </c>
      <c r="S289" s="356"/>
    </row>
    <row r="290" spans="1:19">
      <c r="A290" s="86" t="s">
        <v>241</v>
      </c>
      <c r="C290" s="245">
        <v>65422495.124639124</v>
      </c>
      <c r="D290" s="261"/>
      <c r="E290" s="280">
        <v>6</v>
      </c>
      <c r="F290" s="253" t="s">
        <v>10</v>
      </c>
      <c r="G290" s="43">
        <v>3925350</v>
      </c>
      <c r="H290" s="261"/>
      <c r="I290" s="360">
        <f t="shared" si="111"/>
        <v>5.5999999999999999E-3</v>
      </c>
      <c r="J290" s="261"/>
      <c r="K290" s="6">
        <f t="shared" si="112"/>
        <v>21982</v>
      </c>
      <c r="L290" s="261"/>
      <c r="M290" s="360">
        <f t="shared" si="114"/>
        <v>5.5327500000000003E-3</v>
      </c>
      <c r="N290" s="261"/>
      <c r="O290" s="6">
        <f t="shared" si="113"/>
        <v>21718</v>
      </c>
      <c r="Q290" s="373"/>
      <c r="R290" s="374"/>
      <c r="S290" s="356"/>
    </row>
    <row r="291" spans="1:19">
      <c r="A291" s="86" t="s">
        <v>242</v>
      </c>
      <c r="C291" s="245">
        <v>59917149</v>
      </c>
      <c r="D291" s="261"/>
      <c r="E291" s="280">
        <v>-2.335799999999999</v>
      </c>
      <c r="F291" s="253" t="s">
        <v>10</v>
      </c>
      <c r="G291" s="43">
        <v>-1399545</v>
      </c>
      <c r="H291" s="261"/>
      <c r="I291" s="360">
        <f t="shared" si="111"/>
        <v>5.5999999999999999E-3</v>
      </c>
      <c r="J291" s="261"/>
      <c r="K291" s="6">
        <f t="shared" si="112"/>
        <v>-7837</v>
      </c>
      <c r="L291" s="261"/>
      <c r="M291" s="360">
        <f t="shared" si="114"/>
        <v>5.5327500000000003E-3</v>
      </c>
      <c r="N291" s="261"/>
      <c r="O291" s="6">
        <f t="shared" si="113"/>
        <v>-7743</v>
      </c>
      <c r="Q291" s="2"/>
      <c r="R291" s="375"/>
      <c r="S291" s="356"/>
    </row>
    <row r="292" spans="1:19">
      <c r="A292" s="86" t="s">
        <v>243</v>
      </c>
      <c r="C292" s="245">
        <v>124025012</v>
      </c>
      <c r="D292" s="261"/>
      <c r="E292" s="280">
        <v>5.3097000000000003</v>
      </c>
      <c r="F292" s="253" t="s">
        <v>10</v>
      </c>
      <c r="G292" s="43">
        <v>6585356</v>
      </c>
      <c r="H292" s="261"/>
      <c r="I292" s="360">
        <f t="shared" si="111"/>
        <v>5.5999999999999999E-3</v>
      </c>
      <c r="J292" s="261"/>
      <c r="K292" s="6">
        <f t="shared" si="112"/>
        <v>36878</v>
      </c>
      <c r="L292" s="261"/>
      <c r="M292" s="360">
        <f t="shared" si="114"/>
        <v>5.5327500000000003E-3</v>
      </c>
      <c r="N292" s="261"/>
      <c r="O292" s="6">
        <f t="shared" si="113"/>
        <v>36435</v>
      </c>
      <c r="Q292" s="263"/>
      <c r="R292" s="263"/>
      <c r="S292" s="356"/>
    </row>
    <row r="293" spans="1:19">
      <c r="A293" s="86" t="s">
        <v>244</v>
      </c>
      <c r="C293" s="245">
        <v>103300051</v>
      </c>
      <c r="D293" s="261"/>
      <c r="E293" s="280">
        <v>-2.0670999999999999</v>
      </c>
      <c r="F293" s="253" t="s">
        <v>10</v>
      </c>
      <c r="G293" s="43">
        <v>-2135315</v>
      </c>
      <c r="H293" s="261"/>
      <c r="I293" s="360">
        <f t="shared" si="111"/>
        <v>5.5999999999999999E-3</v>
      </c>
      <c r="J293" s="261"/>
      <c r="K293" s="6">
        <f t="shared" si="112"/>
        <v>-11958</v>
      </c>
      <c r="L293" s="261"/>
      <c r="M293" s="360">
        <f t="shared" si="114"/>
        <v>5.5327500000000003E-3</v>
      </c>
      <c r="N293" s="261"/>
      <c r="O293" s="6">
        <f t="shared" si="113"/>
        <v>-11814</v>
      </c>
      <c r="Q293" s="67"/>
      <c r="R293" s="67"/>
      <c r="S293" s="356"/>
    </row>
    <row r="294" spans="1:19">
      <c r="A294" s="86" t="s">
        <v>7</v>
      </c>
      <c r="C294" s="245">
        <v>31870</v>
      </c>
      <c r="E294" s="247">
        <v>53</v>
      </c>
      <c r="F294" s="247"/>
      <c r="G294" s="43">
        <v>1689110</v>
      </c>
      <c r="I294" s="247"/>
      <c r="K294" s="6"/>
      <c r="M294" s="247"/>
      <c r="O294" s="6"/>
      <c r="Q294" s="67"/>
      <c r="R294" s="67"/>
    </row>
    <row r="295" spans="1:19">
      <c r="A295" s="86" t="s">
        <v>16</v>
      </c>
      <c r="C295" s="245">
        <v>203454</v>
      </c>
      <c r="D295" s="261"/>
      <c r="E295" s="247">
        <v>-0.61</v>
      </c>
      <c r="F295" s="247"/>
      <c r="G295" s="43">
        <v>-124107</v>
      </c>
      <c r="H295" s="261"/>
      <c r="I295" s="360">
        <f t="shared" ref="I295:I296" si="115">$I$286</f>
        <v>5.5999999999999999E-3</v>
      </c>
      <c r="J295" s="261"/>
      <c r="K295" s="6">
        <f t="shared" ref="K295:K296" si="116">ROUND($G295*I295,0)</f>
        <v>-695</v>
      </c>
      <c r="L295" s="261"/>
      <c r="M295" s="360">
        <f t="shared" ref="M295:M296" si="117">$M$286</f>
        <v>5.5327500000000003E-3</v>
      </c>
      <c r="N295" s="261"/>
      <c r="O295" s="6">
        <f t="shared" ref="O295:O296" si="118">ROUND($G295*M295,0)</f>
        <v>-687</v>
      </c>
      <c r="Q295" s="67"/>
      <c r="R295" s="67"/>
    </row>
    <row r="296" spans="1:19">
      <c r="A296" s="257" t="s">
        <v>228</v>
      </c>
      <c r="C296" s="245">
        <v>29568815</v>
      </c>
      <c r="E296" s="276">
        <v>7.125</v>
      </c>
      <c r="F296" s="253" t="s">
        <v>10</v>
      </c>
      <c r="G296" s="43">
        <v>2106778</v>
      </c>
      <c r="I296" s="360">
        <f t="shared" si="115"/>
        <v>5.5999999999999999E-3</v>
      </c>
      <c r="K296" s="6">
        <f t="shared" si="116"/>
        <v>11798</v>
      </c>
      <c r="M296" s="360">
        <f t="shared" si="117"/>
        <v>5.5327500000000003E-3</v>
      </c>
      <c r="O296" s="6">
        <f t="shared" si="118"/>
        <v>11656</v>
      </c>
      <c r="Q296" s="67"/>
      <c r="R296" s="67"/>
    </row>
    <row r="297" spans="1:19">
      <c r="A297" s="257" t="s">
        <v>229</v>
      </c>
      <c r="C297" s="245">
        <v>-1649518</v>
      </c>
      <c r="E297" s="42"/>
      <c r="F297" s="261"/>
      <c r="K297" s="6"/>
      <c r="O297" s="6"/>
      <c r="Q297" s="67"/>
      <c r="R297" s="67"/>
    </row>
    <row r="298" spans="1:19" ht="16.5" thickBot="1">
      <c r="A298" s="86" t="s">
        <v>14</v>
      </c>
      <c r="C298" s="278">
        <v>380584004.12463915</v>
      </c>
      <c r="E298" s="74"/>
      <c r="G298" s="211">
        <v>44292291</v>
      </c>
      <c r="I298" s="74"/>
      <c r="K298" s="13">
        <f>SUM(K286:K297)</f>
        <v>238577</v>
      </c>
      <c r="M298" s="74"/>
      <c r="O298" s="13">
        <f>SUM(O286:O297)</f>
        <v>235712</v>
      </c>
      <c r="Q298" s="67"/>
      <c r="R298" s="67"/>
    </row>
    <row r="299" spans="1:19" ht="16.5" thickTop="1">
      <c r="I299" s="70"/>
      <c r="K299" s="6"/>
      <c r="M299" s="70"/>
      <c r="O299" s="6"/>
      <c r="Q299" s="67"/>
      <c r="R299" s="67"/>
    </row>
    <row r="300" spans="1:19">
      <c r="A300" s="246" t="s">
        <v>258</v>
      </c>
      <c r="E300" s="276"/>
      <c r="F300" s="276"/>
      <c r="I300" s="276"/>
      <c r="K300" s="6"/>
      <c r="M300" s="276"/>
      <c r="O300" s="6"/>
      <c r="Q300" s="67"/>
      <c r="R300" s="67"/>
    </row>
    <row r="301" spans="1:19">
      <c r="A301" s="86" t="s">
        <v>237</v>
      </c>
      <c r="C301" s="245">
        <v>1790597.1011697315</v>
      </c>
      <c r="D301" s="261"/>
      <c r="E301" s="280">
        <v>22.156199999999998</v>
      </c>
      <c r="F301" s="253" t="s">
        <v>10</v>
      </c>
      <c r="G301" s="43">
        <v>396728</v>
      </c>
      <c r="H301" s="261"/>
      <c r="I301" s="360">
        <f t="shared" ref="I301:I308" si="119">$I$286</f>
        <v>5.5999999999999999E-3</v>
      </c>
      <c r="J301" s="261"/>
      <c r="K301" s="6">
        <f t="shared" ref="K301:K308" si="120">ROUND($G301*I301,0)</f>
        <v>2222</v>
      </c>
      <c r="L301" s="261"/>
      <c r="M301" s="360">
        <f t="shared" ref="M301:M308" si="121">$M$286</f>
        <v>5.5327500000000003E-3</v>
      </c>
      <c r="N301" s="261"/>
      <c r="O301" s="6">
        <f t="shared" ref="O301:O308" si="122">ROUND($G301*M301,0)</f>
        <v>2195</v>
      </c>
      <c r="Q301" s="67"/>
      <c r="R301" s="67"/>
    </row>
    <row r="302" spans="1:19">
      <c r="A302" s="86" t="s">
        <v>238</v>
      </c>
      <c r="C302" s="245">
        <v>3521773</v>
      </c>
      <c r="D302" s="261"/>
      <c r="E302" s="280">
        <v>4.309899999999999</v>
      </c>
      <c r="F302" s="253" t="s">
        <v>10</v>
      </c>
      <c r="G302" s="43">
        <v>151785</v>
      </c>
      <c r="H302" s="261"/>
      <c r="I302" s="360">
        <f t="shared" si="119"/>
        <v>5.5999999999999999E-3</v>
      </c>
      <c r="J302" s="261"/>
      <c r="K302" s="6">
        <f t="shared" si="120"/>
        <v>850</v>
      </c>
      <c r="L302" s="261"/>
      <c r="M302" s="360">
        <f t="shared" si="121"/>
        <v>5.5327500000000003E-3</v>
      </c>
      <c r="N302" s="261"/>
      <c r="O302" s="6">
        <f t="shared" si="122"/>
        <v>840</v>
      </c>
      <c r="Q302" s="67"/>
      <c r="R302" s="67"/>
    </row>
    <row r="303" spans="1:19">
      <c r="A303" s="86" t="s">
        <v>239</v>
      </c>
      <c r="C303" s="245">
        <v>5330608</v>
      </c>
      <c r="D303" s="261"/>
      <c r="E303" s="280">
        <v>19.607299999999999</v>
      </c>
      <c r="F303" s="253" t="s">
        <v>10</v>
      </c>
      <c r="G303" s="43">
        <v>1045188</v>
      </c>
      <c r="H303" s="261"/>
      <c r="I303" s="360">
        <f t="shared" si="119"/>
        <v>5.5999999999999999E-3</v>
      </c>
      <c r="J303" s="261"/>
      <c r="K303" s="6">
        <f t="shared" si="120"/>
        <v>5853</v>
      </c>
      <c r="L303" s="261"/>
      <c r="M303" s="360">
        <f t="shared" si="121"/>
        <v>5.5327500000000003E-3</v>
      </c>
      <c r="N303" s="261"/>
      <c r="O303" s="6">
        <f t="shared" si="122"/>
        <v>5783</v>
      </c>
      <c r="Q303" s="67"/>
      <c r="R303" s="67"/>
    </row>
    <row r="304" spans="1:19">
      <c r="A304" s="86" t="s">
        <v>240</v>
      </c>
      <c r="C304" s="245">
        <v>12790668</v>
      </c>
      <c r="D304" s="261"/>
      <c r="E304" s="280">
        <v>3.8140999999999989</v>
      </c>
      <c r="F304" s="253" t="s">
        <v>10</v>
      </c>
      <c r="G304" s="43">
        <v>487849</v>
      </c>
      <c r="H304" s="261"/>
      <c r="I304" s="360">
        <f t="shared" si="119"/>
        <v>5.5999999999999999E-3</v>
      </c>
      <c r="J304" s="261"/>
      <c r="K304" s="6">
        <f t="shared" si="120"/>
        <v>2732</v>
      </c>
      <c r="L304" s="261"/>
      <c r="M304" s="360">
        <f t="shared" si="121"/>
        <v>5.5327500000000003E-3</v>
      </c>
      <c r="N304" s="261"/>
      <c r="O304" s="6">
        <f t="shared" si="122"/>
        <v>2699</v>
      </c>
      <c r="Q304" s="67"/>
      <c r="R304" s="67"/>
    </row>
    <row r="305" spans="1:18">
      <c r="A305" s="86" t="s">
        <v>241</v>
      </c>
      <c r="C305" s="245">
        <v>3345042.1011697315</v>
      </c>
      <c r="D305" s="261"/>
      <c r="E305" s="280">
        <v>6</v>
      </c>
      <c r="F305" s="253" t="s">
        <v>10</v>
      </c>
      <c r="G305" s="43">
        <v>200703</v>
      </c>
      <c r="H305" s="261"/>
      <c r="I305" s="360">
        <f t="shared" si="119"/>
        <v>5.5999999999999999E-3</v>
      </c>
      <c r="J305" s="261"/>
      <c r="K305" s="6">
        <f t="shared" si="120"/>
        <v>1124</v>
      </c>
      <c r="L305" s="261"/>
      <c r="M305" s="360">
        <f t="shared" si="121"/>
        <v>5.5327500000000003E-3</v>
      </c>
      <c r="N305" s="261"/>
      <c r="O305" s="6">
        <f t="shared" si="122"/>
        <v>1110</v>
      </c>
      <c r="Q305" s="67"/>
      <c r="R305" s="67"/>
    </row>
    <row r="306" spans="1:18">
      <c r="A306" s="86" t="s">
        <v>242</v>
      </c>
      <c r="C306" s="245">
        <v>1967328</v>
      </c>
      <c r="D306" s="261"/>
      <c r="E306" s="280">
        <v>-2.335799999999999</v>
      </c>
      <c r="F306" s="253" t="s">
        <v>10</v>
      </c>
      <c r="G306" s="43">
        <v>-45953</v>
      </c>
      <c r="H306" s="261"/>
      <c r="I306" s="360">
        <f t="shared" si="119"/>
        <v>5.5999999999999999E-3</v>
      </c>
      <c r="J306" s="261"/>
      <c r="K306" s="6">
        <f t="shared" si="120"/>
        <v>-257</v>
      </c>
      <c r="L306" s="261"/>
      <c r="M306" s="360">
        <f t="shared" si="121"/>
        <v>5.5327500000000003E-3</v>
      </c>
      <c r="N306" s="261"/>
      <c r="O306" s="6">
        <f t="shared" si="122"/>
        <v>-254</v>
      </c>
      <c r="Q306" s="67"/>
      <c r="R306" s="67"/>
    </row>
    <row r="307" spans="1:18">
      <c r="A307" s="86" t="s">
        <v>243</v>
      </c>
      <c r="C307" s="245">
        <v>10972800</v>
      </c>
      <c r="D307" s="261"/>
      <c r="E307" s="280">
        <v>5.3097000000000003</v>
      </c>
      <c r="F307" s="253" t="s">
        <v>10</v>
      </c>
      <c r="G307" s="43">
        <v>582623</v>
      </c>
      <c r="H307" s="261"/>
      <c r="I307" s="360">
        <f t="shared" si="119"/>
        <v>5.5999999999999999E-3</v>
      </c>
      <c r="J307" s="261"/>
      <c r="K307" s="6">
        <f t="shared" si="120"/>
        <v>3263</v>
      </c>
      <c r="L307" s="261"/>
      <c r="M307" s="360">
        <f t="shared" si="121"/>
        <v>5.5327500000000003E-3</v>
      </c>
      <c r="N307" s="261"/>
      <c r="O307" s="6">
        <f t="shared" si="122"/>
        <v>3224</v>
      </c>
      <c r="Q307" s="67"/>
      <c r="R307" s="67"/>
    </row>
    <row r="308" spans="1:18">
      <c r="A308" s="86" t="s">
        <v>244</v>
      </c>
      <c r="C308" s="245">
        <v>7148476</v>
      </c>
      <c r="D308" s="261"/>
      <c r="E308" s="280">
        <v>-2.0670999999999999</v>
      </c>
      <c r="F308" s="253" t="s">
        <v>10</v>
      </c>
      <c r="G308" s="43">
        <v>-147766</v>
      </c>
      <c r="H308" s="261"/>
      <c r="I308" s="360">
        <f t="shared" si="119"/>
        <v>5.5999999999999999E-3</v>
      </c>
      <c r="J308" s="261"/>
      <c r="K308" s="6">
        <f t="shared" si="120"/>
        <v>-827</v>
      </c>
      <c r="L308" s="261"/>
      <c r="M308" s="360">
        <f t="shared" si="121"/>
        <v>5.5327500000000003E-3</v>
      </c>
      <c r="N308" s="261"/>
      <c r="O308" s="6">
        <f t="shared" si="122"/>
        <v>-818</v>
      </c>
      <c r="Q308" s="67"/>
      <c r="R308" s="67"/>
    </row>
    <row r="309" spans="1:18">
      <c r="A309" s="86" t="s">
        <v>7</v>
      </c>
      <c r="C309" s="245">
        <v>1797</v>
      </c>
      <c r="E309" s="247">
        <v>53</v>
      </c>
      <c r="F309" s="247"/>
      <c r="G309" s="43">
        <v>95241</v>
      </c>
      <c r="I309" s="247"/>
      <c r="K309" s="6"/>
      <c r="M309" s="247"/>
      <c r="O309" s="6"/>
      <c r="Q309" s="67"/>
      <c r="R309" s="67"/>
    </row>
    <row r="310" spans="1:18">
      <c r="A310" s="86" t="s">
        <v>16</v>
      </c>
      <c r="C310" s="245">
        <v>16106</v>
      </c>
      <c r="D310" s="261"/>
      <c r="E310" s="247">
        <v>-0.61</v>
      </c>
      <c r="F310" s="247"/>
      <c r="G310" s="43">
        <v>-9825</v>
      </c>
      <c r="H310" s="261"/>
      <c r="I310" s="360">
        <f t="shared" ref="I310" si="123">$I$286</f>
        <v>5.5999999999999999E-3</v>
      </c>
      <c r="J310" s="261"/>
      <c r="K310" s="6">
        <f>ROUND($G310*I310,0)</f>
        <v>-55</v>
      </c>
      <c r="L310" s="261"/>
      <c r="M310" s="360">
        <f t="shared" ref="M310" si="124">$M$286</f>
        <v>5.5327500000000003E-3</v>
      </c>
      <c r="N310" s="261"/>
      <c r="O310" s="6">
        <f>ROUND($G310*M310,0)</f>
        <v>-54</v>
      </c>
      <c r="Q310" s="67"/>
      <c r="R310" s="67"/>
    </row>
    <row r="311" spans="1:18" ht="16.5" thickBot="1">
      <c r="A311" s="86" t="s">
        <v>14</v>
      </c>
      <c r="C311" s="278">
        <v>23433646.101169731</v>
      </c>
      <c r="E311" s="74"/>
      <c r="G311" s="279">
        <v>2756573</v>
      </c>
      <c r="I311" s="74"/>
      <c r="K311" s="13">
        <f>SUM(K301:K310)</f>
        <v>14905</v>
      </c>
      <c r="M311" s="74"/>
      <c r="O311" s="13">
        <f>SUM(O301:O310)</f>
        <v>14725</v>
      </c>
      <c r="Q311" s="67"/>
      <c r="R311" s="67"/>
    </row>
    <row r="312" spans="1:18" ht="16.5" thickTop="1">
      <c r="I312" s="70"/>
      <c r="K312" s="6"/>
      <c r="M312" s="70"/>
      <c r="O312" s="6"/>
      <c r="Q312" s="67"/>
      <c r="R312" s="348"/>
    </row>
    <row r="313" spans="1:18">
      <c r="A313" s="246" t="s">
        <v>204</v>
      </c>
      <c r="I313" s="70"/>
      <c r="K313" s="6"/>
      <c r="M313" s="70"/>
      <c r="O313" s="6"/>
      <c r="Q313" s="33" t="s">
        <v>359</v>
      </c>
      <c r="R313" s="248"/>
    </row>
    <row r="314" spans="1:18" s="284" customFormat="1">
      <c r="A314" s="86" t="s">
        <v>332</v>
      </c>
      <c r="B314" s="70"/>
      <c r="C314" s="245">
        <v>80036.668179696673</v>
      </c>
      <c r="D314" s="70"/>
      <c r="E314" s="247">
        <v>9.1</v>
      </c>
      <c r="F314" s="247"/>
      <c r="G314" s="43">
        <f>C314*E314</f>
        <v>728333.68043523969</v>
      </c>
      <c r="H314" s="70"/>
      <c r="I314" s="358">
        <v>5.4000000000000003E-3</v>
      </c>
      <c r="J314" s="70"/>
      <c r="K314" s="6">
        <f>ROUND($G314*I314,0)</f>
        <v>3933</v>
      </c>
      <c r="L314" s="70"/>
      <c r="M314" s="358">
        <f>ROUND(R315/G318,$S$8)</f>
        <v>5.3230600000000001E-3</v>
      </c>
      <c r="N314" s="70"/>
      <c r="O314" s="6">
        <f>ROUND($G314*M314,0)</f>
        <v>3877</v>
      </c>
      <c r="Q314" s="249" t="s">
        <v>11</v>
      </c>
      <c r="R314" s="8">
        <f>O318</f>
        <v>7363</v>
      </c>
    </row>
    <row r="315" spans="1:18" s="284" customFormat="1">
      <c r="A315" s="86" t="s">
        <v>333</v>
      </c>
      <c r="B315" s="70"/>
      <c r="C315" s="245">
        <v>23297.820701740242</v>
      </c>
      <c r="D315" s="70"/>
      <c r="E315" s="247">
        <v>10.61</v>
      </c>
      <c r="F315" s="247"/>
      <c r="G315" s="43">
        <f t="shared" ref="G315:G316" si="125">C315*E315</f>
        <v>247189.87764546394</v>
      </c>
      <c r="H315" s="70"/>
      <c r="I315" s="361">
        <f>$I$314</f>
        <v>5.4000000000000003E-3</v>
      </c>
      <c r="J315" s="70"/>
      <c r="K315" s="6">
        <f>ROUND($G315*I315,0)</f>
        <v>1335</v>
      </c>
      <c r="L315" s="70"/>
      <c r="M315" s="361">
        <f>$M$314</f>
        <v>5.3230600000000001E-3</v>
      </c>
      <c r="N315" s="70"/>
      <c r="O315" s="6">
        <f>ROUND($G315*M315,0)</f>
        <v>1316</v>
      </c>
      <c r="Q315" s="249" t="s">
        <v>12</v>
      </c>
      <c r="R315" s="8">
        <f>'Exhibit-RMP(RMM-3) page 2'!K40*1000</f>
        <v>7363.2176589985866</v>
      </c>
    </row>
    <row r="316" spans="1:18" s="284" customFormat="1">
      <c r="A316" s="86" t="s">
        <v>334</v>
      </c>
      <c r="B316" s="70"/>
      <c r="C316" s="245">
        <v>31461.675344580435</v>
      </c>
      <c r="D316" s="70"/>
      <c r="E316" s="247">
        <v>12.96</v>
      </c>
      <c r="F316" s="247"/>
      <c r="G316" s="43">
        <f t="shared" si="125"/>
        <v>407743.31246576249</v>
      </c>
      <c r="H316" s="70"/>
      <c r="I316" s="361">
        <f>$I$314</f>
        <v>5.4000000000000003E-3</v>
      </c>
      <c r="J316" s="70"/>
      <c r="K316" s="6">
        <f>ROUND($G316*I316,0)</f>
        <v>2202</v>
      </c>
      <c r="L316" s="70"/>
      <c r="M316" s="361">
        <f>$M$314</f>
        <v>5.3230600000000001E-3</v>
      </c>
      <c r="N316" s="70"/>
      <c r="O316" s="6">
        <f>ROUND($G316*M316,0)</f>
        <v>2170</v>
      </c>
      <c r="Q316" s="250" t="s">
        <v>13</v>
      </c>
      <c r="R316" s="9">
        <f>R315-R314</f>
        <v>0.21765899858655757</v>
      </c>
    </row>
    <row r="317" spans="1:18">
      <c r="A317" s="86" t="s">
        <v>23</v>
      </c>
      <c r="C317" s="245">
        <v>6491</v>
      </c>
      <c r="G317" s="285"/>
      <c r="I317" s="70"/>
      <c r="K317" s="10"/>
      <c r="M317" s="70"/>
      <c r="O317" s="10"/>
      <c r="Q317" s="373"/>
      <c r="R317" s="374"/>
    </row>
    <row r="318" spans="1:18" ht="16.5" thickBot="1">
      <c r="A318" s="86" t="s">
        <v>24</v>
      </c>
      <c r="C318" s="286">
        <v>10497984.469308628</v>
      </c>
      <c r="E318" s="73"/>
      <c r="G318" s="211">
        <v>1383266.8705464662</v>
      </c>
      <c r="I318" s="73"/>
      <c r="K318" s="13">
        <f>SUM(K314:K317)</f>
        <v>7470</v>
      </c>
      <c r="M318" s="73"/>
      <c r="O318" s="13">
        <f>SUM(O314:O317)</f>
        <v>7363</v>
      </c>
      <c r="Q318" s="2"/>
      <c r="R318" s="375"/>
    </row>
    <row r="319" spans="1:18" ht="16.5" thickTop="1">
      <c r="D319" s="261"/>
      <c r="H319" s="261"/>
      <c r="I319" s="70"/>
      <c r="J319" s="261"/>
      <c r="K319" s="10"/>
      <c r="L319" s="261"/>
      <c r="M319" s="70"/>
      <c r="N319" s="261"/>
      <c r="O319" s="10"/>
      <c r="Q319" s="263"/>
      <c r="R319" s="263"/>
    </row>
    <row r="320" spans="1:18">
      <c r="A320" s="246" t="s">
        <v>25</v>
      </c>
      <c r="I320" s="70"/>
      <c r="K320" s="10"/>
      <c r="M320" s="70"/>
      <c r="O320" s="10"/>
    </row>
    <row r="321" spans="1:18">
      <c r="A321" s="86" t="s">
        <v>7</v>
      </c>
      <c r="C321" s="245">
        <v>2823</v>
      </c>
      <c r="E321" s="247">
        <v>71</v>
      </c>
      <c r="F321" s="247"/>
      <c r="G321" s="43">
        <v>200433</v>
      </c>
      <c r="I321" s="247"/>
      <c r="K321" s="6"/>
      <c r="M321" s="247"/>
      <c r="O321" s="6"/>
      <c r="Q321" s="2" t="s">
        <v>354</v>
      </c>
      <c r="R321" s="349"/>
    </row>
    <row r="322" spans="1:18">
      <c r="A322" s="86" t="s">
        <v>26</v>
      </c>
      <c r="C322" s="245">
        <v>4249794</v>
      </c>
      <c r="E322" s="247">
        <v>4.8099999999999996</v>
      </c>
      <c r="F322" s="247"/>
      <c r="G322" s="43">
        <v>20441509</v>
      </c>
      <c r="I322" s="359">
        <v>5.4000000000000003E-3</v>
      </c>
      <c r="K322" s="6">
        <f t="shared" ref="K322:K323" si="126">ROUND($G322*I322,0)</f>
        <v>110384</v>
      </c>
      <c r="M322" s="359">
        <f>ROUND(R323/SUM(G322:G329,G334:G341),$R$8)</f>
        <v>5.3307099999999998E-3</v>
      </c>
      <c r="O322" s="6">
        <f t="shared" ref="O322:O323" si="127">ROUND($G322*M322,0)</f>
        <v>108968</v>
      </c>
      <c r="Q322" s="275" t="s">
        <v>11</v>
      </c>
      <c r="R322" s="7">
        <f>SUM(O330,O342)</f>
        <v>788485</v>
      </c>
    </row>
    <row r="323" spans="1:18">
      <c r="A323" s="86" t="s">
        <v>259</v>
      </c>
      <c r="C323" s="245">
        <v>1442193</v>
      </c>
      <c r="E323" s="261">
        <v>15.73</v>
      </c>
      <c r="F323" s="261"/>
      <c r="G323" s="43">
        <v>22685696</v>
      </c>
      <c r="I323" s="42">
        <f t="shared" ref="I323:I329" si="128">$I$322</f>
        <v>5.4000000000000003E-3</v>
      </c>
      <c r="K323" s="6">
        <f t="shared" si="126"/>
        <v>122503</v>
      </c>
      <c r="M323" s="42">
        <f t="shared" ref="M323:M329" si="129">$M$322</f>
        <v>5.3307099999999998E-3</v>
      </c>
      <c r="O323" s="6">
        <f t="shared" si="127"/>
        <v>120931</v>
      </c>
      <c r="Q323" s="249" t="s">
        <v>12</v>
      </c>
      <c r="R323" s="8">
        <f>'Exhibit-RMP(RMM-3) page 2'!K23*1000</f>
        <v>788483.47813764471</v>
      </c>
    </row>
    <row r="324" spans="1:18">
      <c r="A324" s="86" t="s">
        <v>260</v>
      </c>
      <c r="C324" s="245">
        <v>2597774</v>
      </c>
      <c r="E324" s="261">
        <v>13.92</v>
      </c>
      <c r="F324" s="261"/>
      <c r="G324" s="43">
        <v>36161014</v>
      </c>
      <c r="I324" s="42">
        <f t="shared" si="128"/>
        <v>5.4000000000000003E-3</v>
      </c>
      <c r="K324" s="6">
        <f t="shared" ref="K324:K329" si="130">ROUND($G324*I324,0)</f>
        <v>195269</v>
      </c>
      <c r="M324" s="42">
        <f t="shared" si="129"/>
        <v>5.3307099999999998E-3</v>
      </c>
      <c r="O324" s="6">
        <f t="shared" ref="O324:O329" si="131">ROUND($G324*M324,0)</f>
        <v>192764</v>
      </c>
      <c r="Q324" s="250" t="s">
        <v>13</v>
      </c>
      <c r="R324" s="9">
        <f>R323-R322</f>
        <v>-1.5218623552937061</v>
      </c>
    </row>
    <row r="325" spans="1:18">
      <c r="A325" s="86" t="s">
        <v>221</v>
      </c>
      <c r="C325" s="245">
        <v>186186148.05356526</v>
      </c>
      <c r="E325" s="276">
        <v>5.8281999999999998</v>
      </c>
      <c r="F325" s="253" t="s">
        <v>10</v>
      </c>
      <c r="G325" s="43">
        <v>10851301</v>
      </c>
      <c r="I325" s="42">
        <f t="shared" si="128"/>
        <v>5.4000000000000003E-3</v>
      </c>
      <c r="K325" s="6">
        <f t="shared" si="130"/>
        <v>58597</v>
      </c>
      <c r="M325" s="42">
        <f t="shared" si="129"/>
        <v>5.3307099999999998E-3</v>
      </c>
      <c r="O325" s="6">
        <f t="shared" si="131"/>
        <v>57845</v>
      </c>
      <c r="Q325" s="373"/>
      <c r="R325" s="374"/>
    </row>
    <row r="326" spans="1:18">
      <c r="A326" s="86" t="s">
        <v>261</v>
      </c>
      <c r="C326" s="245">
        <v>270238556</v>
      </c>
      <c r="E326" s="276">
        <v>5.1577000000000002</v>
      </c>
      <c r="F326" s="253" t="s">
        <v>10</v>
      </c>
      <c r="G326" s="43">
        <v>13938094</v>
      </c>
      <c r="I326" s="42">
        <f t="shared" si="128"/>
        <v>5.4000000000000003E-3</v>
      </c>
      <c r="K326" s="6">
        <f t="shared" si="130"/>
        <v>75266</v>
      </c>
      <c r="M326" s="42">
        <f t="shared" si="129"/>
        <v>5.3307099999999998E-3</v>
      </c>
      <c r="O326" s="6">
        <f t="shared" si="131"/>
        <v>74300</v>
      </c>
      <c r="Q326" s="2"/>
      <c r="R326" s="375"/>
    </row>
    <row r="327" spans="1:18">
      <c r="A327" s="86" t="s">
        <v>222</v>
      </c>
      <c r="C327" s="245">
        <v>524787623</v>
      </c>
      <c r="E327" s="276">
        <v>2.9624000000000001</v>
      </c>
      <c r="F327" s="253" t="s">
        <v>10</v>
      </c>
      <c r="G327" s="43">
        <v>15546309</v>
      </c>
      <c r="I327" s="42">
        <f t="shared" si="128"/>
        <v>5.4000000000000003E-3</v>
      </c>
      <c r="K327" s="6">
        <f t="shared" si="130"/>
        <v>83950</v>
      </c>
      <c r="M327" s="42">
        <f t="shared" si="129"/>
        <v>5.3307099999999998E-3</v>
      </c>
      <c r="O327" s="6">
        <f t="shared" si="131"/>
        <v>82873</v>
      </c>
      <c r="Q327" s="263"/>
      <c r="R327" s="263"/>
    </row>
    <row r="328" spans="1:18">
      <c r="A328" s="86" t="s">
        <v>262</v>
      </c>
      <c r="C328" s="245">
        <v>976265495</v>
      </c>
      <c r="E328" s="276">
        <v>2.6215999999999999</v>
      </c>
      <c r="F328" s="253" t="s">
        <v>10</v>
      </c>
      <c r="G328" s="43">
        <v>25593776</v>
      </c>
      <c r="I328" s="42">
        <f t="shared" si="128"/>
        <v>5.4000000000000003E-3</v>
      </c>
      <c r="K328" s="6">
        <f t="shared" si="130"/>
        <v>138206</v>
      </c>
      <c r="M328" s="42">
        <f t="shared" si="129"/>
        <v>5.3307099999999998E-3</v>
      </c>
      <c r="O328" s="6">
        <f t="shared" si="131"/>
        <v>136433</v>
      </c>
      <c r="Q328" s="67"/>
      <c r="R328" s="67"/>
    </row>
    <row r="329" spans="1:18">
      <c r="A329" s="86" t="s">
        <v>16</v>
      </c>
      <c r="C329" s="245">
        <v>1886120</v>
      </c>
      <c r="E329" s="247">
        <v>-1.1299999999999999</v>
      </c>
      <c r="F329" s="247"/>
      <c r="G329" s="43">
        <v>-2131316</v>
      </c>
      <c r="I329" s="42">
        <f t="shared" si="128"/>
        <v>5.4000000000000003E-3</v>
      </c>
      <c r="K329" s="6">
        <f t="shared" si="130"/>
        <v>-11509</v>
      </c>
      <c r="M329" s="42">
        <f t="shared" si="129"/>
        <v>5.3307099999999998E-3</v>
      </c>
      <c r="O329" s="6">
        <f t="shared" si="131"/>
        <v>-11361</v>
      </c>
      <c r="Q329" s="67"/>
      <c r="R329" s="67"/>
    </row>
    <row r="330" spans="1:18" ht="16.5" thickBot="1">
      <c r="A330" s="86" t="s">
        <v>14</v>
      </c>
      <c r="C330" s="278">
        <v>1957477822.0535653</v>
      </c>
      <c r="E330" s="73"/>
      <c r="G330" s="211">
        <v>143286816</v>
      </c>
      <c r="I330" s="73"/>
      <c r="K330" s="13">
        <f>SUM(K321:K329)</f>
        <v>772666</v>
      </c>
      <c r="M330" s="73"/>
      <c r="O330" s="13">
        <f>SUM(O321:O329)</f>
        <v>762753</v>
      </c>
      <c r="Q330" s="67"/>
      <c r="R330" s="67"/>
    </row>
    <row r="331" spans="1:18" ht="16.5" thickTop="1">
      <c r="I331" s="70"/>
      <c r="K331" s="6"/>
      <c r="M331" s="70"/>
      <c r="O331" s="6"/>
      <c r="Q331" s="67"/>
      <c r="R331" s="67"/>
    </row>
    <row r="332" spans="1:18">
      <c r="A332" s="246" t="s">
        <v>263</v>
      </c>
      <c r="I332" s="70"/>
      <c r="K332" s="10"/>
      <c r="M332" s="70"/>
      <c r="O332" s="10"/>
      <c r="Q332" s="67"/>
      <c r="R332" s="67"/>
    </row>
    <row r="333" spans="1:18">
      <c r="A333" s="86" t="s">
        <v>7</v>
      </c>
      <c r="C333" s="245">
        <v>168</v>
      </c>
      <c r="E333" s="261">
        <v>71</v>
      </c>
      <c r="F333" s="261"/>
      <c r="G333" s="43">
        <v>11928</v>
      </c>
      <c r="I333" s="261"/>
      <c r="K333" s="6"/>
      <c r="M333" s="261"/>
      <c r="O333" s="6"/>
      <c r="Q333" s="67"/>
      <c r="R333" s="67"/>
    </row>
    <row r="334" spans="1:18">
      <c r="A334" s="86" t="s">
        <v>26</v>
      </c>
      <c r="C334" s="245">
        <v>150062</v>
      </c>
      <c r="E334" s="261">
        <v>4.8099999999999996</v>
      </c>
      <c r="F334" s="261"/>
      <c r="G334" s="43">
        <v>721798</v>
      </c>
      <c r="I334" s="42">
        <f t="shared" ref="I334:I341" si="132">$I$322</f>
        <v>5.4000000000000003E-3</v>
      </c>
      <c r="K334" s="6">
        <f t="shared" ref="K334" si="133">ROUND($G334*I334,0)</f>
        <v>3898</v>
      </c>
      <c r="M334" s="42">
        <f t="shared" ref="M334:M341" si="134">$M$322</f>
        <v>5.3307099999999998E-3</v>
      </c>
      <c r="O334" s="6">
        <f t="shared" ref="O334" si="135">ROUND($G334*M334,0)</f>
        <v>3848</v>
      </c>
      <c r="Q334" s="67"/>
      <c r="R334" s="67"/>
    </row>
    <row r="335" spans="1:18">
      <c r="A335" s="86" t="s">
        <v>259</v>
      </c>
      <c r="C335" s="245">
        <v>50706</v>
      </c>
      <c r="E335" s="261">
        <v>15.73</v>
      </c>
      <c r="F335" s="261"/>
      <c r="G335" s="43">
        <v>797605</v>
      </c>
      <c r="I335" s="42">
        <f t="shared" si="132"/>
        <v>5.4000000000000003E-3</v>
      </c>
      <c r="K335" s="6">
        <f t="shared" ref="K335:K341" si="136">ROUND($G335*I335,0)</f>
        <v>4307</v>
      </c>
      <c r="M335" s="42">
        <f t="shared" si="134"/>
        <v>5.3307099999999998E-3</v>
      </c>
      <c r="O335" s="6">
        <f t="shared" ref="O335:O341" si="137">ROUND($G335*M335,0)</f>
        <v>4252</v>
      </c>
      <c r="Q335" s="67"/>
      <c r="R335" s="67"/>
    </row>
    <row r="336" spans="1:18">
      <c r="A336" s="86" t="s">
        <v>260</v>
      </c>
      <c r="C336" s="245">
        <v>91835</v>
      </c>
      <c r="E336" s="261">
        <v>13.92</v>
      </c>
      <c r="F336" s="261"/>
      <c r="G336" s="43">
        <v>1278343</v>
      </c>
      <c r="I336" s="42">
        <f t="shared" si="132"/>
        <v>5.4000000000000003E-3</v>
      </c>
      <c r="K336" s="6">
        <f t="shared" si="136"/>
        <v>6903</v>
      </c>
      <c r="M336" s="42">
        <f t="shared" si="134"/>
        <v>5.3307099999999998E-3</v>
      </c>
      <c r="O336" s="6">
        <f t="shared" si="137"/>
        <v>6814</v>
      </c>
      <c r="Q336" s="67"/>
      <c r="R336" s="67"/>
    </row>
    <row r="337" spans="1:18">
      <c r="A337" s="86" t="s">
        <v>221</v>
      </c>
      <c r="C337" s="245">
        <v>5879321.1969696805</v>
      </c>
      <c r="E337" s="276">
        <v>5.8281999999999998</v>
      </c>
      <c r="F337" s="253" t="s">
        <v>10</v>
      </c>
      <c r="G337" s="43">
        <v>342659</v>
      </c>
      <c r="I337" s="42">
        <f t="shared" si="132"/>
        <v>5.4000000000000003E-3</v>
      </c>
      <c r="K337" s="6">
        <f t="shared" si="136"/>
        <v>1850</v>
      </c>
      <c r="M337" s="42">
        <f t="shared" si="134"/>
        <v>5.3307099999999998E-3</v>
      </c>
      <c r="O337" s="6">
        <f t="shared" si="137"/>
        <v>1827</v>
      </c>
      <c r="Q337" s="67"/>
      <c r="R337" s="67"/>
    </row>
    <row r="338" spans="1:18">
      <c r="A338" s="86" t="s">
        <v>261</v>
      </c>
      <c r="C338" s="245">
        <v>8781642</v>
      </c>
      <c r="E338" s="276">
        <v>5.1577000000000002</v>
      </c>
      <c r="F338" s="253" t="s">
        <v>10</v>
      </c>
      <c r="G338" s="43">
        <v>452931</v>
      </c>
      <c r="I338" s="42">
        <f t="shared" si="132"/>
        <v>5.4000000000000003E-3</v>
      </c>
      <c r="K338" s="6">
        <f t="shared" si="136"/>
        <v>2446</v>
      </c>
      <c r="M338" s="42">
        <f t="shared" si="134"/>
        <v>5.3307099999999998E-3</v>
      </c>
      <c r="O338" s="6">
        <f t="shared" si="137"/>
        <v>2414</v>
      </c>
      <c r="Q338" s="67"/>
      <c r="R338" s="67"/>
    </row>
    <row r="339" spans="1:18">
      <c r="A339" s="86" t="s">
        <v>222</v>
      </c>
      <c r="C339" s="245">
        <v>16950396</v>
      </c>
      <c r="E339" s="276">
        <v>2.9624000000000001</v>
      </c>
      <c r="F339" s="253" t="s">
        <v>10</v>
      </c>
      <c r="G339" s="43">
        <v>502139</v>
      </c>
      <c r="I339" s="42">
        <f t="shared" si="132"/>
        <v>5.4000000000000003E-3</v>
      </c>
      <c r="K339" s="6">
        <f t="shared" si="136"/>
        <v>2712</v>
      </c>
      <c r="M339" s="42">
        <f t="shared" si="134"/>
        <v>5.3307099999999998E-3</v>
      </c>
      <c r="O339" s="6">
        <f t="shared" si="137"/>
        <v>2677</v>
      </c>
      <c r="Q339" s="67"/>
      <c r="R339" s="67"/>
    </row>
    <row r="340" spans="1:18">
      <c r="A340" s="86" t="s">
        <v>262</v>
      </c>
      <c r="C340" s="245">
        <v>31614263</v>
      </c>
      <c r="E340" s="276">
        <v>2.6215999999999999</v>
      </c>
      <c r="F340" s="253" t="s">
        <v>10</v>
      </c>
      <c r="G340" s="43">
        <v>828800</v>
      </c>
      <c r="I340" s="42">
        <f t="shared" si="132"/>
        <v>5.4000000000000003E-3</v>
      </c>
      <c r="K340" s="6">
        <f t="shared" si="136"/>
        <v>4476</v>
      </c>
      <c r="M340" s="42">
        <f t="shared" si="134"/>
        <v>5.3307099999999998E-3</v>
      </c>
      <c r="O340" s="6">
        <f t="shared" si="137"/>
        <v>4418</v>
      </c>
      <c r="Q340" s="67"/>
      <c r="R340" s="67"/>
    </row>
    <row r="341" spans="1:18">
      <c r="A341" s="86" t="s">
        <v>16</v>
      </c>
      <c r="C341" s="245">
        <v>85966</v>
      </c>
      <c r="E341" s="261">
        <v>-1.1299999999999999</v>
      </c>
      <c r="F341" s="261"/>
      <c r="G341" s="43">
        <v>-97142</v>
      </c>
      <c r="I341" s="42">
        <f t="shared" si="132"/>
        <v>5.4000000000000003E-3</v>
      </c>
      <c r="K341" s="6">
        <f t="shared" si="136"/>
        <v>-525</v>
      </c>
      <c r="M341" s="42">
        <f t="shared" si="134"/>
        <v>5.3307099999999998E-3</v>
      </c>
      <c r="O341" s="6">
        <f t="shared" si="137"/>
        <v>-518</v>
      </c>
      <c r="Q341" s="67"/>
      <c r="R341" s="67"/>
    </row>
    <row r="342" spans="1:18" ht="16.5" thickBot="1">
      <c r="A342" s="86" t="s">
        <v>14</v>
      </c>
      <c r="C342" s="278">
        <v>63225622.19696968</v>
      </c>
      <c r="E342" s="74"/>
      <c r="G342" s="279">
        <v>4839061</v>
      </c>
      <c r="I342" s="74"/>
      <c r="K342" s="13">
        <f>SUM(K333:K341)</f>
        <v>26067</v>
      </c>
      <c r="M342" s="74"/>
      <c r="O342" s="13">
        <f>SUM(O333:O341)</f>
        <v>25732</v>
      </c>
      <c r="Q342" s="67"/>
      <c r="R342" s="67"/>
    </row>
    <row r="343" spans="1:18" ht="16.5" thickTop="1">
      <c r="A343" s="287"/>
      <c r="B343" s="287"/>
      <c r="C343" s="288"/>
      <c r="D343" s="287"/>
      <c r="E343" s="287"/>
      <c r="F343" s="287"/>
      <c r="G343" s="289"/>
      <c r="H343" s="287"/>
      <c r="I343" s="287"/>
      <c r="J343" s="287"/>
      <c r="K343" s="10"/>
      <c r="L343" s="287"/>
      <c r="M343" s="287"/>
      <c r="N343" s="287"/>
      <c r="O343" s="10"/>
      <c r="Q343" s="67"/>
      <c r="R343" s="67"/>
    </row>
    <row r="344" spans="1:18">
      <c r="A344" s="246" t="s">
        <v>28</v>
      </c>
      <c r="I344" s="70"/>
      <c r="K344" s="10"/>
      <c r="M344" s="70"/>
      <c r="O344" s="10"/>
    </row>
    <row r="345" spans="1:18">
      <c r="A345" s="86" t="s">
        <v>7</v>
      </c>
      <c r="C345" s="245">
        <v>1872</v>
      </c>
      <c r="E345" s="247">
        <v>266</v>
      </c>
      <c r="F345" s="247"/>
      <c r="G345" s="43">
        <v>497952</v>
      </c>
      <c r="I345" s="247"/>
      <c r="K345" s="6"/>
      <c r="M345" s="247"/>
      <c r="O345" s="6"/>
      <c r="Q345" s="283" t="s">
        <v>357</v>
      </c>
      <c r="R345" s="209"/>
    </row>
    <row r="346" spans="1:18">
      <c r="A346" s="86" t="s">
        <v>26</v>
      </c>
      <c r="C346" s="245">
        <v>8792631</v>
      </c>
      <c r="E346" s="247">
        <v>2.2799999999999998</v>
      </c>
      <c r="F346" s="247"/>
      <c r="G346" s="43">
        <v>20047199</v>
      </c>
      <c r="I346" s="359">
        <v>5.4000000000000003E-3</v>
      </c>
      <c r="K346" s="6">
        <f t="shared" ref="K346:K347" si="138">ROUND($G346*I346,0)</f>
        <v>108255</v>
      </c>
      <c r="M346" s="359">
        <f>ROUND(R347/SUM(G346:G352,G531:G537),$R$8)</f>
        <v>5.3328899999999999E-3</v>
      </c>
      <c r="O346" s="6">
        <f t="shared" ref="O346:O347" si="139">ROUND($G346*M346,0)</f>
        <v>106910</v>
      </c>
      <c r="Q346" s="275" t="s">
        <v>11</v>
      </c>
      <c r="R346" s="7">
        <f>SUM(O353,O538)</f>
        <v>1455042</v>
      </c>
    </row>
    <row r="347" spans="1:18">
      <c r="A347" s="86" t="s">
        <v>259</v>
      </c>
      <c r="C347" s="245">
        <v>2857444</v>
      </c>
      <c r="E347" s="261">
        <v>14.33</v>
      </c>
      <c r="F347" s="261"/>
      <c r="G347" s="43">
        <v>40947173</v>
      </c>
      <c r="I347" s="42">
        <f t="shared" ref="I347:I352" si="140">$I$346</f>
        <v>5.4000000000000003E-3</v>
      </c>
      <c r="K347" s="6">
        <f t="shared" si="138"/>
        <v>221115</v>
      </c>
      <c r="M347" s="42">
        <f t="shared" ref="M347:M352" si="141">$M$346</f>
        <v>5.3328899999999999E-3</v>
      </c>
      <c r="O347" s="6">
        <f t="shared" si="139"/>
        <v>218367</v>
      </c>
      <c r="Q347" s="249" t="s">
        <v>12</v>
      </c>
      <c r="R347" s="8">
        <f>'Exhibit-RMP(RMM-3) page 2'!K24*1000</f>
        <v>1455041.5169600677</v>
      </c>
    </row>
    <row r="348" spans="1:18">
      <c r="A348" s="86" t="s">
        <v>260</v>
      </c>
      <c r="C348" s="245">
        <v>5600405</v>
      </c>
      <c r="E348" s="261">
        <v>12.68</v>
      </c>
      <c r="F348" s="261"/>
      <c r="G348" s="43">
        <v>71013135</v>
      </c>
      <c r="I348" s="42">
        <f t="shared" si="140"/>
        <v>5.4000000000000003E-3</v>
      </c>
      <c r="K348" s="6">
        <f t="shared" ref="K348:K352" si="142">ROUND($G348*I348,0)</f>
        <v>383471</v>
      </c>
      <c r="M348" s="42">
        <f t="shared" si="141"/>
        <v>5.3328899999999999E-3</v>
      </c>
      <c r="O348" s="6">
        <f t="shared" ref="O348:O352" si="143">ROUND($G348*M348,0)</f>
        <v>378705</v>
      </c>
      <c r="Q348" s="250" t="s">
        <v>13</v>
      </c>
      <c r="R348" s="9">
        <f>R347-R346</f>
        <v>-0.48303993232548237</v>
      </c>
    </row>
    <row r="349" spans="1:18">
      <c r="A349" s="86" t="s">
        <v>221</v>
      </c>
      <c r="C349" s="245">
        <v>337257779</v>
      </c>
      <c r="E349" s="276">
        <v>5.1477000000000004</v>
      </c>
      <c r="F349" s="253" t="s">
        <v>10</v>
      </c>
      <c r="G349" s="43">
        <v>17361019</v>
      </c>
      <c r="I349" s="42">
        <f t="shared" si="140"/>
        <v>5.4000000000000003E-3</v>
      </c>
      <c r="K349" s="6">
        <f t="shared" si="142"/>
        <v>93750</v>
      </c>
      <c r="M349" s="42">
        <f t="shared" si="141"/>
        <v>5.3328899999999999E-3</v>
      </c>
      <c r="O349" s="6">
        <f t="shared" si="143"/>
        <v>92584</v>
      </c>
      <c r="Q349" s="373"/>
      <c r="R349" s="374"/>
    </row>
    <row r="350" spans="1:18">
      <c r="A350" s="86" t="s">
        <v>261</v>
      </c>
      <c r="C350" s="245">
        <v>653220065</v>
      </c>
      <c r="E350" s="276">
        <v>4.5555000000000003</v>
      </c>
      <c r="F350" s="253" t="s">
        <v>10</v>
      </c>
      <c r="G350" s="43">
        <v>29757440</v>
      </c>
      <c r="I350" s="42">
        <f t="shared" si="140"/>
        <v>5.4000000000000003E-3</v>
      </c>
      <c r="K350" s="6">
        <f t="shared" si="142"/>
        <v>160690</v>
      </c>
      <c r="M350" s="42">
        <f t="shared" si="141"/>
        <v>5.3328899999999999E-3</v>
      </c>
      <c r="O350" s="6">
        <f t="shared" si="143"/>
        <v>158693</v>
      </c>
      <c r="Q350" s="2"/>
      <c r="R350" s="375"/>
    </row>
    <row r="351" spans="1:18">
      <c r="A351" s="86" t="s">
        <v>222</v>
      </c>
      <c r="C351" s="245">
        <v>1318310247</v>
      </c>
      <c r="E351" s="276">
        <v>2.6164999999999998</v>
      </c>
      <c r="F351" s="253" t="s">
        <v>10</v>
      </c>
      <c r="G351" s="43">
        <v>34493588</v>
      </c>
      <c r="I351" s="42">
        <f t="shared" si="140"/>
        <v>5.4000000000000003E-3</v>
      </c>
      <c r="K351" s="6">
        <f t="shared" si="142"/>
        <v>186265</v>
      </c>
      <c r="M351" s="42">
        <f t="shared" si="141"/>
        <v>5.3328899999999999E-3</v>
      </c>
      <c r="O351" s="6">
        <f t="shared" si="143"/>
        <v>183951</v>
      </c>
      <c r="Q351" s="263"/>
      <c r="R351" s="263"/>
    </row>
    <row r="352" spans="1:18">
      <c r="A352" s="86" t="s">
        <v>262</v>
      </c>
      <c r="C352" s="245">
        <v>2538543863.3051271</v>
      </c>
      <c r="E352" s="276">
        <v>2.3155000000000001</v>
      </c>
      <c r="F352" s="253" t="s">
        <v>10</v>
      </c>
      <c r="G352" s="43">
        <v>58779983</v>
      </c>
      <c r="I352" s="42">
        <f t="shared" si="140"/>
        <v>5.4000000000000003E-3</v>
      </c>
      <c r="K352" s="6">
        <f t="shared" si="142"/>
        <v>317412</v>
      </c>
      <c r="M352" s="42">
        <f t="shared" si="141"/>
        <v>5.3328899999999999E-3</v>
      </c>
      <c r="O352" s="6">
        <f t="shared" si="143"/>
        <v>313467</v>
      </c>
      <c r="Q352" s="67"/>
      <c r="R352" s="67"/>
    </row>
    <row r="353" spans="1:18" ht="16.5" thickBot="1">
      <c r="A353" s="86" t="s">
        <v>14</v>
      </c>
      <c r="C353" s="278">
        <v>4847331954.3051271</v>
      </c>
      <c r="E353" s="74"/>
      <c r="G353" s="279">
        <v>272897489</v>
      </c>
      <c r="I353" s="74"/>
      <c r="K353" s="185">
        <f>SUM(K345:K352)</f>
        <v>1470958</v>
      </c>
      <c r="M353" s="74"/>
      <c r="O353" s="185">
        <f>SUM(O345:O352)</f>
        <v>1452677</v>
      </c>
      <c r="Q353" s="67"/>
      <c r="R353" s="67"/>
    </row>
    <row r="354" spans="1:18" ht="16.5" thickTop="1">
      <c r="I354" s="70"/>
      <c r="K354" s="10"/>
      <c r="M354" s="70"/>
      <c r="O354" s="10"/>
      <c r="Q354" s="67"/>
      <c r="R354" s="67"/>
    </row>
    <row r="355" spans="1:18">
      <c r="A355" s="246" t="s">
        <v>172</v>
      </c>
      <c r="E355" s="276"/>
      <c r="F355" s="276"/>
      <c r="I355" s="276"/>
      <c r="K355" s="43"/>
      <c r="M355" s="276"/>
      <c r="Q355" s="67"/>
      <c r="R355" s="67"/>
    </row>
    <row r="356" spans="1:18">
      <c r="A356" s="86" t="s">
        <v>7</v>
      </c>
      <c r="C356" s="245">
        <v>108</v>
      </c>
      <c r="E356" s="247">
        <v>266</v>
      </c>
      <c r="F356" s="247"/>
      <c r="G356" s="43">
        <v>28728</v>
      </c>
      <c r="I356" s="247"/>
      <c r="K356" s="6"/>
      <c r="M356" s="247"/>
      <c r="O356" s="6"/>
      <c r="Q356" s="283" t="s">
        <v>358</v>
      </c>
      <c r="R356" s="209"/>
    </row>
    <row r="357" spans="1:18">
      <c r="A357" s="86" t="s">
        <v>31</v>
      </c>
      <c r="C357" s="245">
        <v>243087</v>
      </c>
      <c r="E357" s="247">
        <v>2.2799999999999998</v>
      </c>
      <c r="F357" s="247"/>
      <c r="G357" s="43">
        <v>554238</v>
      </c>
      <c r="I357" s="359">
        <v>5.4000000000000003E-3</v>
      </c>
      <c r="K357" s="6">
        <f t="shared" ref="K357:K358" si="144">ROUND($G357*I357,0)</f>
        <v>2993</v>
      </c>
      <c r="M357" s="359">
        <f>ROUND(R358/SUM(G357:G363),$R$8)</f>
        <v>5.3746499999999999E-3</v>
      </c>
      <c r="O357" s="6">
        <f t="shared" ref="O357:O358" si="145">ROUND($G357*M357,0)</f>
        <v>2979</v>
      </c>
      <c r="Q357" s="275" t="s">
        <v>11</v>
      </c>
      <c r="R357" s="7">
        <f>O364</f>
        <v>15933</v>
      </c>
    </row>
    <row r="358" spans="1:18">
      <c r="A358" s="86" t="s">
        <v>259</v>
      </c>
      <c r="C358" s="245">
        <v>76062</v>
      </c>
      <c r="E358" s="261">
        <v>4.7300000000000004</v>
      </c>
      <c r="F358" s="261"/>
      <c r="G358" s="43">
        <v>359773</v>
      </c>
      <c r="I358" s="42">
        <f t="shared" ref="I358:I363" si="146">$I$357</f>
        <v>5.4000000000000003E-3</v>
      </c>
      <c r="K358" s="6">
        <f t="shared" si="144"/>
        <v>1943</v>
      </c>
      <c r="M358" s="42">
        <f t="shared" ref="M358:M363" si="147">$M$357</f>
        <v>5.3746499999999999E-3</v>
      </c>
      <c r="O358" s="6">
        <f t="shared" si="145"/>
        <v>1934</v>
      </c>
      <c r="Q358" s="249" t="s">
        <v>12</v>
      </c>
      <c r="R358" s="8">
        <f>'Exhibit-RMP(RMM-3) page 2'!K25*1000</f>
        <v>15932.930374885545</v>
      </c>
    </row>
    <row r="359" spans="1:18">
      <c r="A359" s="86" t="s">
        <v>260</v>
      </c>
      <c r="C359" s="245">
        <v>169650</v>
      </c>
      <c r="E359" s="261">
        <v>4.18</v>
      </c>
      <c r="F359" s="261"/>
      <c r="G359" s="43">
        <v>709137</v>
      </c>
      <c r="I359" s="42">
        <f t="shared" si="146"/>
        <v>5.4000000000000003E-3</v>
      </c>
      <c r="K359" s="6">
        <f t="shared" ref="K359:K363" si="148">ROUND($G359*I359,0)</f>
        <v>3829</v>
      </c>
      <c r="M359" s="42">
        <f t="shared" si="147"/>
        <v>5.3746499999999999E-3</v>
      </c>
      <c r="O359" s="6">
        <f t="shared" ref="O359:O363" si="149">ROUND($G359*M359,0)</f>
        <v>3811</v>
      </c>
      <c r="Q359" s="250" t="s">
        <v>13</v>
      </c>
      <c r="R359" s="9">
        <f>R358-R357</f>
        <v>-6.9625114454538561E-2</v>
      </c>
    </row>
    <row r="360" spans="1:18">
      <c r="A360" s="86" t="s">
        <v>221</v>
      </c>
      <c r="C360" s="245">
        <v>6818306</v>
      </c>
      <c r="E360" s="276">
        <v>5.1477000000000004</v>
      </c>
      <c r="F360" s="253" t="s">
        <v>10</v>
      </c>
      <c r="G360" s="43">
        <v>350986</v>
      </c>
      <c r="I360" s="42">
        <f t="shared" si="146"/>
        <v>5.4000000000000003E-3</v>
      </c>
      <c r="K360" s="6">
        <f t="shared" si="148"/>
        <v>1895</v>
      </c>
      <c r="M360" s="42">
        <f t="shared" si="147"/>
        <v>5.3746499999999999E-3</v>
      </c>
      <c r="O360" s="6">
        <f t="shared" si="149"/>
        <v>1886</v>
      </c>
      <c r="Q360" s="373"/>
      <c r="R360" s="374"/>
    </row>
    <row r="361" spans="1:18">
      <c r="A361" s="86" t="s">
        <v>261</v>
      </c>
      <c r="C361" s="245">
        <v>7138084</v>
      </c>
      <c r="E361" s="276">
        <v>4.5555000000000003</v>
      </c>
      <c r="F361" s="253" t="s">
        <v>10</v>
      </c>
      <c r="G361" s="43">
        <v>325175</v>
      </c>
      <c r="I361" s="42">
        <f t="shared" si="146"/>
        <v>5.4000000000000003E-3</v>
      </c>
      <c r="K361" s="6">
        <f t="shared" si="148"/>
        <v>1756</v>
      </c>
      <c r="M361" s="42">
        <f t="shared" si="147"/>
        <v>5.3746499999999999E-3</v>
      </c>
      <c r="O361" s="6">
        <f t="shared" si="149"/>
        <v>1748</v>
      </c>
      <c r="Q361" s="2"/>
      <c r="R361" s="375"/>
    </row>
    <row r="362" spans="1:18">
      <c r="A362" s="86" t="s">
        <v>222</v>
      </c>
      <c r="C362" s="245">
        <v>5708900</v>
      </c>
      <c r="E362" s="276">
        <v>2.6164999999999998</v>
      </c>
      <c r="F362" s="253" t="s">
        <v>10</v>
      </c>
      <c r="G362" s="43">
        <v>149373</v>
      </c>
      <c r="I362" s="42">
        <f t="shared" si="146"/>
        <v>5.4000000000000003E-3</v>
      </c>
      <c r="K362" s="6">
        <f t="shared" si="148"/>
        <v>807</v>
      </c>
      <c r="M362" s="42">
        <f t="shared" si="147"/>
        <v>5.3746499999999999E-3</v>
      </c>
      <c r="O362" s="6">
        <f t="shared" si="149"/>
        <v>803</v>
      </c>
      <c r="Q362" s="263"/>
      <c r="R362" s="263"/>
    </row>
    <row r="363" spans="1:18">
      <c r="A363" s="86" t="s">
        <v>262</v>
      </c>
      <c r="C363" s="245">
        <v>22274997.423445866</v>
      </c>
      <c r="E363" s="276">
        <v>2.3155000000000001</v>
      </c>
      <c r="F363" s="253" t="s">
        <v>10</v>
      </c>
      <c r="G363" s="43">
        <v>515778</v>
      </c>
      <c r="I363" s="42">
        <f t="shared" si="146"/>
        <v>5.4000000000000003E-3</v>
      </c>
      <c r="K363" s="6">
        <f t="shared" si="148"/>
        <v>2785</v>
      </c>
      <c r="M363" s="42">
        <f t="shared" si="147"/>
        <v>5.3746499999999999E-3</v>
      </c>
      <c r="O363" s="6">
        <f t="shared" si="149"/>
        <v>2772</v>
      </c>
      <c r="Q363" s="291"/>
      <c r="R363" s="292"/>
    </row>
    <row r="364" spans="1:18" ht="16.5" thickBot="1">
      <c r="A364" s="86" t="s">
        <v>14</v>
      </c>
      <c r="C364" s="278">
        <v>41940288</v>
      </c>
      <c r="E364" s="74"/>
      <c r="G364" s="279">
        <v>2993188</v>
      </c>
      <c r="I364" s="74"/>
      <c r="K364" s="185">
        <f>SUM(K356:K363)</f>
        <v>16008</v>
      </c>
      <c r="M364" s="74"/>
      <c r="O364" s="185">
        <f>SUM(O356:O363)</f>
        <v>15933</v>
      </c>
    </row>
    <row r="365" spans="1:18" ht="16.5" thickTop="1">
      <c r="I365" s="70"/>
      <c r="K365" s="6"/>
      <c r="M365" s="70"/>
      <c r="O365" s="6"/>
    </row>
    <row r="366" spans="1:18">
      <c r="A366" s="246" t="s">
        <v>33</v>
      </c>
      <c r="I366" s="70"/>
      <c r="K366" s="10"/>
      <c r="M366" s="70"/>
      <c r="O366" s="10"/>
    </row>
    <row r="367" spans="1:18">
      <c r="A367" s="86" t="s">
        <v>34</v>
      </c>
      <c r="C367" s="245">
        <v>10</v>
      </c>
      <c r="E367" s="261">
        <v>122</v>
      </c>
      <c r="F367" s="261"/>
      <c r="G367" s="43">
        <v>1220</v>
      </c>
      <c r="I367" s="261"/>
      <c r="K367" s="6"/>
      <c r="M367" s="261"/>
      <c r="O367" s="6"/>
      <c r="Q367" s="275" t="s">
        <v>11</v>
      </c>
      <c r="R367" s="7">
        <f>O379+O396+O411</f>
        <v>95316</v>
      </c>
    </row>
    <row r="368" spans="1:18">
      <c r="A368" s="86" t="s">
        <v>35</v>
      </c>
      <c r="C368" s="245">
        <v>3273</v>
      </c>
      <c r="E368" s="261">
        <v>37</v>
      </c>
      <c r="F368" s="261"/>
      <c r="G368" s="43">
        <v>121101</v>
      </c>
      <c r="I368" s="261"/>
      <c r="K368" s="6"/>
      <c r="M368" s="261"/>
      <c r="O368" s="6"/>
      <c r="Q368" s="249" t="s">
        <v>12</v>
      </c>
      <c r="R368" s="8">
        <f>'Exhibit-RMP(RMM-3) page 2'!K29*1000</f>
        <v>95315.360399177807</v>
      </c>
    </row>
    <row r="369" spans="1:18">
      <c r="A369" s="86" t="s">
        <v>36</v>
      </c>
      <c r="C369" s="245">
        <v>14850</v>
      </c>
      <c r="E369" s="261">
        <v>14</v>
      </c>
      <c r="F369" s="261"/>
      <c r="G369" s="43">
        <v>207900</v>
      </c>
      <c r="I369" s="261"/>
      <c r="K369" s="6"/>
      <c r="M369" s="261"/>
      <c r="O369" s="6"/>
      <c r="Q369" s="250" t="s">
        <v>13</v>
      </c>
      <c r="R369" s="9">
        <f>R368-R367</f>
        <v>-0.63960082219273318</v>
      </c>
    </row>
    <row r="370" spans="1:18">
      <c r="A370" s="86" t="s">
        <v>37</v>
      </c>
      <c r="C370" s="245">
        <v>425282</v>
      </c>
      <c r="E370" s="261">
        <v>7.14</v>
      </c>
      <c r="F370" s="261"/>
      <c r="G370" s="43">
        <v>3036513</v>
      </c>
      <c r="I370" s="359">
        <v>5.4999999999999997E-3</v>
      </c>
      <c r="K370" s="6">
        <f>ROUND($G370*I370,0)</f>
        <v>16701</v>
      </c>
      <c r="M370" s="359">
        <f>ROUND(R368/SUM(G370:G373,G377,G385:G390,G394,G402:G405,G409),$R$8)</f>
        <v>5.4377499999999999E-3</v>
      </c>
      <c r="O370" s="6">
        <f>ROUND($G370*M370,0)</f>
        <v>16512</v>
      </c>
      <c r="Q370" s="373"/>
      <c r="R370" s="374"/>
    </row>
    <row r="371" spans="1:18">
      <c r="A371" s="86" t="s">
        <v>16</v>
      </c>
      <c r="C371" s="245">
        <v>4699</v>
      </c>
      <c r="E371" s="261">
        <v>-2.0499999999999998</v>
      </c>
      <c r="F371" s="261"/>
      <c r="G371" s="43">
        <v>-9633</v>
      </c>
      <c r="I371" s="42">
        <f>$I$370</f>
        <v>5.4999999999999997E-3</v>
      </c>
      <c r="K371" s="6">
        <f t="shared" ref="K371:K373" si="150">ROUND($G371*I371,0)</f>
        <v>-53</v>
      </c>
      <c r="M371" s="42">
        <f>$M$370</f>
        <v>5.4377499999999999E-3</v>
      </c>
      <c r="O371" s="6">
        <f t="shared" ref="O371:O373" si="151">ROUND($G371*M371,0)</f>
        <v>-52</v>
      </c>
      <c r="Q371" s="2"/>
      <c r="R371" s="375"/>
    </row>
    <row r="372" spans="1:18">
      <c r="A372" s="86" t="s">
        <v>38</v>
      </c>
      <c r="C372" s="245">
        <v>90734008</v>
      </c>
      <c r="E372" s="252">
        <v>7.1125999999999996</v>
      </c>
      <c r="F372" s="253" t="s">
        <v>10</v>
      </c>
      <c r="G372" s="43">
        <v>6453547</v>
      </c>
      <c r="I372" s="42">
        <f>$I$370</f>
        <v>5.4999999999999997E-3</v>
      </c>
      <c r="K372" s="6">
        <f t="shared" si="150"/>
        <v>35495</v>
      </c>
      <c r="M372" s="42">
        <f t="shared" ref="M372:M373" si="152">$M$370</f>
        <v>5.4377499999999999E-3</v>
      </c>
      <c r="O372" s="6">
        <f t="shared" si="151"/>
        <v>35093</v>
      </c>
      <c r="Q372" s="263"/>
      <c r="R372" s="263"/>
    </row>
    <row r="373" spans="1:18">
      <c r="A373" s="86" t="s">
        <v>39</v>
      </c>
      <c r="C373" s="293">
        <v>54847557</v>
      </c>
      <c r="E373" s="252">
        <v>5.2572999999999999</v>
      </c>
      <c r="F373" s="253" t="s">
        <v>10</v>
      </c>
      <c r="G373" s="43">
        <v>2883501</v>
      </c>
      <c r="I373" s="42">
        <f>$I$370</f>
        <v>5.4999999999999997E-3</v>
      </c>
      <c r="K373" s="6">
        <f t="shared" si="150"/>
        <v>15859</v>
      </c>
      <c r="M373" s="42">
        <f t="shared" si="152"/>
        <v>5.4377499999999999E-3</v>
      </c>
      <c r="O373" s="6">
        <f t="shared" si="151"/>
        <v>15680</v>
      </c>
      <c r="Q373" s="294"/>
      <c r="R373" s="1"/>
    </row>
    <row r="374" spans="1:18">
      <c r="A374" s="86" t="s">
        <v>40</v>
      </c>
      <c r="C374" s="293">
        <v>145581565</v>
      </c>
      <c r="E374" s="295"/>
      <c r="G374" s="296">
        <v>12694149</v>
      </c>
      <c r="I374" s="295"/>
      <c r="K374" s="10">
        <f>SUM(K367:K373)</f>
        <v>68002</v>
      </c>
      <c r="M374" s="295"/>
      <c r="O374" s="10">
        <f>SUM(O367:O373)</f>
        <v>67233</v>
      </c>
      <c r="Q374" s="2"/>
      <c r="R374" s="206"/>
    </row>
    <row r="375" spans="1:18">
      <c r="A375" s="86" t="s">
        <v>41</v>
      </c>
      <c r="I375" s="70"/>
      <c r="K375" s="10"/>
      <c r="M375" s="70"/>
      <c r="O375" s="10"/>
      <c r="Q375" s="2"/>
      <c r="R375" s="206"/>
    </row>
    <row r="376" spans="1:18">
      <c r="A376" s="86" t="s">
        <v>205</v>
      </c>
      <c r="C376" s="245">
        <v>7027</v>
      </c>
      <c r="E376" s="261">
        <v>14</v>
      </c>
      <c r="F376" s="261"/>
      <c r="G376" s="43">
        <v>98378</v>
      </c>
      <c r="K376" s="6"/>
      <c r="O376" s="6"/>
      <c r="Q376" s="272"/>
      <c r="R376" s="206"/>
    </row>
    <row r="377" spans="1:18">
      <c r="A377" s="86" t="s">
        <v>42</v>
      </c>
      <c r="C377" s="293">
        <v>51252091</v>
      </c>
      <c r="E377" s="252">
        <v>4.8788999999999998</v>
      </c>
      <c r="F377" s="253" t="s">
        <v>10</v>
      </c>
      <c r="G377" s="43">
        <v>2500538</v>
      </c>
      <c r="I377" s="42">
        <f t="shared" ref="I377" si="153">$I$370</f>
        <v>5.4999999999999997E-3</v>
      </c>
      <c r="K377" s="6">
        <f t="shared" ref="K377" si="154">ROUND($G377*I377,0)</f>
        <v>13753</v>
      </c>
      <c r="M377" s="42">
        <f t="shared" ref="M377" si="155">$M$370</f>
        <v>5.4377499999999999E-3</v>
      </c>
      <c r="O377" s="6">
        <f t="shared" ref="O377" si="156">ROUND($G377*M377,0)</f>
        <v>13597</v>
      </c>
      <c r="Q377" s="2"/>
      <c r="R377" s="273"/>
    </row>
    <row r="378" spans="1:18">
      <c r="A378" s="86" t="s">
        <v>43</v>
      </c>
      <c r="C378" s="293">
        <v>51252091</v>
      </c>
      <c r="E378" s="295"/>
      <c r="G378" s="296">
        <v>2598916</v>
      </c>
      <c r="I378" s="295"/>
      <c r="K378" s="186">
        <f>SUM(K376:K377)</f>
        <v>13753</v>
      </c>
      <c r="M378" s="295"/>
      <c r="O378" s="186">
        <f>SUM(O376:O377)</f>
        <v>13597</v>
      </c>
    </row>
    <row r="379" spans="1:18" ht="16.5" thickBot="1">
      <c r="A379" s="86" t="s">
        <v>44</v>
      </c>
      <c r="C379" s="278">
        <v>196833656</v>
      </c>
      <c r="E379" s="74"/>
      <c r="G379" s="279">
        <v>15293065</v>
      </c>
      <c r="I379" s="74"/>
      <c r="K379" s="185">
        <f>K374+K378</f>
        <v>81755</v>
      </c>
      <c r="M379" s="74"/>
      <c r="O379" s="185">
        <f>O374+O378</f>
        <v>80830</v>
      </c>
      <c r="Q379" s="3"/>
      <c r="R379" s="297"/>
    </row>
    <row r="380" spans="1:18" ht="16.5" thickTop="1">
      <c r="I380" s="70"/>
      <c r="K380" s="6"/>
      <c r="M380" s="70"/>
      <c r="O380" s="6"/>
      <c r="Q380" s="3"/>
      <c r="R380" s="1"/>
    </row>
    <row r="381" spans="1:18">
      <c r="A381" s="246" t="s">
        <v>264</v>
      </c>
      <c r="I381" s="70"/>
      <c r="K381" s="10"/>
      <c r="M381" s="70"/>
      <c r="O381" s="10"/>
      <c r="Q381" s="1"/>
      <c r="R381" s="1"/>
    </row>
    <row r="382" spans="1:18">
      <c r="A382" s="86" t="s">
        <v>34</v>
      </c>
      <c r="C382" s="245">
        <v>1</v>
      </c>
      <c r="E382" s="261">
        <v>122</v>
      </c>
      <c r="F382" s="261"/>
      <c r="G382" s="43">
        <v>122</v>
      </c>
      <c r="I382" s="261"/>
      <c r="K382" s="6"/>
      <c r="M382" s="261"/>
      <c r="O382" s="6"/>
      <c r="Q382" s="1"/>
      <c r="R382" s="1"/>
    </row>
    <row r="383" spans="1:18">
      <c r="A383" s="86" t="s">
        <v>35</v>
      </c>
      <c r="C383" s="245">
        <v>55</v>
      </c>
      <c r="E383" s="261">
        <v>37</v>
      </c>
      <c r="F383" s="261"/>
      <c r="G383" s="43">
        <v>2035</v>
      </c>
      <c r="I383" s="261"/>
      <c r="K383" s="6"/>
      <c r="M383" s="261"/>
      <c r="O383" s="6"/>
      <c r="Q383" s="1"/>
      <c r="R383" s="1"/>
    </row>
    <row r="384" spans="1:18">
      <c r="A384" s="86" t="s">
        <v>36</v>
      </c>
      <c r="C384" s="245">
        <v>285</v>
      </c>
      <c r="E384" s="261">
        <v>14</v>
      </c>
      <c r="F384" s="261"/>
      <c r="G384" s="43">
        <v>3990</v>
      </c>
      <c r="I384" s="261"/>
      <c r="K384" s="6"/>
      <c r="M384" s="261"/>
      <c r="O384" s="6"/>
      <c r="Q384" s="1"/>
      <c r="R384" s="1"/>
    </row>
    <row r="385" spans="1:18">
      <c r="A385" s="86" t="s">
        <v>37</v>
      </c>
      <c r="C385" s="245">
        <v>26155</v>
      </c>
      <c r="E385" s="261">
        <v>7.14</v>
      </c>
      <c r="F385" s="261"/>
      <c r="G385" s="43">
        <v>186747</v>
      </c>
      <c r="I385" s="42">
        <f t="shared" ref="I385:I390" si="157">$I$370</f>
        <v>5.4999999999999997E-3</v>
      </c>
      <c r="K385" s="6">
        <f t="shared" ref="K385:K390" si="158">ROUND($G385*I385,0)</f>
        <v>1027</v>
      </c>
      <c r="M385" s="42">
        <f t="shared" ref="M385:M390" si="159">$M$370</f>
        <v>5.4377499999999999E-3</v>
      </c>
      <c r="O385" s="6">
        <f t="shared" ref="O385:O390" si="160">ROUND($G385*M385,0)</f>
        <v>1015</v>
      </c>
      <c r="Q385" s="1"/>
      <c r="R385" s="1"/>
    </row>
    <row r="386" spans="1:18">
      <c r="A386" s="86" t="s">
        <v>16</v>
      </c>
      <c r="C386" s="245">
        <v>10</v>
      </c>
      <c r="E386" s="261">
        <v>-2.0499999999999998</v>
      </c>
      <c r="F386" s="261"/>
      <c r="G386" s="43">
        <v>-21</v>
      </c>
      <c r="I386" s="42">
        <f t="shared" si="157"/>
        <v>5.4999999999999997E-3</v>
      </c>
      <c r="K386" s="6">
        <f t="shared" si="158"/>
        <v>0</v>
      </c>
      <c r="M386" s="42">
        <f t="shared" si="159"/>
        <v>5.4377499999999999E-3</v>
      </c>
      <c r="O386" s="6">
        <f t="shared" si="160"/>
        <v>0</v>
      </c>
      <c r="Q386" s="1"/>
      <c r="R386" s="298"/>
    </row>
    <row r="387" spans="1:18">
      <c r="A387" s="86" t="s">
        <v>38</v>
      </c>
      <c r="C387" s="245">
        <v>3703888</v>
      </c>
      <c r="E387" s="252">
        <v>7.1125999999999996</v>
      </c>
      <c r="F387" s="253" t="s">
        <v>10</v>
      </c>
      <c r="G387" s="43">
        <v>263443</v>
      </c>
      <c r="I387" s="42">
        <f t="shared" si="157"/>
        <v>5.4999999999999997E-3</v>
      </c>
      <c r="K387" s="6">
        <f t="shared" si="158"/>
        <v>1449</v>
      </c>
      <c r="M387" s="42">
        <f t="shared" si="159"/>
        <v>5.4377499999999999E-3</v>
      </c>
      <c r="O387" s="6">
        <f t="shared" si="160"/>
        <v>1433</v>
      </c>
      <c r="Q387" s="209"/>
      <c r="R387" s="299"/>
    </row>
    <row r="388" spans="1:18">
      <c r="A388" s="86" t="s">
        <v>39</v>
      </c>
      <c r="C388" s="293">
        <v>3271622</v>
      </c>
      <c r="E388" s="252">
        <v>5.2572999999999999</v>
      </c>
      <c r="F388" s="253" t="s">
        <v>10</v>
      </c>
      <c r="G388" s="43">
        <v>171999</v>
      </c>
      <c r="I388" s="42">
        <f t="shared" si="157"/>
        <v>5.4999999999999997E-3</v>
      </c>
      <c r="K388" s="6">
        <f t="shared" si="158"/>
        <v>946</v>
      </c>
      <c r="M388" s="42">
        <f t="shared" si="159"/>
        <v>5.4377499999999999E-3</v>
      </c>
      <c r="O388" s="6">
        <f t="shared" si="160"/>
        <v>935</v>
      </c>
      <c r="Q388" s="2"/>
      <c r="R388" s="206"/>
    </row>
    <row r="389" spans="1:18">
      <c r="A389" s="86" t="s">
        <v>32</v>
      </c>
      <c r="C389" s="245">
        <v>132217</v>
      </c>
      <c r="E389" s="252">
        <v>14.052</v>
      </c>
      <c r="F389" s="253" t="s">
        <v>10</v>
      </c>
      <c r="G389" s="43">
        <v>18579</v>
      </c>
      <c r="I389" s="42">
        <f t="shared" si="157"/>
        <v>5.4999999999999997E-3</v>
      </c>
      <c r="K389" s="6">
        <f t="shared" si="158"/>
        <v>102</v>
      </c>
      <c r="M389" s="42">
        <f t="shared" si="159"/>
        <v>5.4377499999999999E-3</v>
      </c>
      <c r="O389" s="6">
        <f t="shared" si="160"/>
        <v>101</v>
      </c>
      <c r="Q389" s="2"/>
      <c r="R389" s="206"/>
    </row>
    <row r="390" spans="1:18">
      <c r="A390" s="86" t="s">
        <v>27</v>
      </c>
      <c r="C390" s="293">
        <v>494707</v>
      </c>
      <c r="E390" s="252">
        <v>4.0491999999999999</v>
      </c>
      <c r="F390" s="253" t="s">
        <v>10</v>
      </c>
      <c r="G390" s="43">
        <v>20032</v>
      </c>
      <c r="I390" s="42">
        <f t="shared" si="157"/>
        <v>5.4999999999999997E-3</v>
      </c>
      <c r="K390" s="6">
        <f t="shared" si="158"/>
        <v>110</v>
      </c>
      <c r="M390" s="42">
        <f t="shared" si="159"/>
        <v>5.4377499999999999E-3</v>
      </c>
      <c r="O390" s="6">
        <f t="shared" si="160"/>
        <v>109</v>
      </c>
      <c r="Q390" s="272"/>
      <c r="R390" s="206"/>
    </row>
    <row r="391" spans="1:18">
      <c r="A391" s="86" t="s">
        <v>40</v>
      </c>
      <c r="C391" s="293">
        <v>7602434</v>
      </c>
      <c r="E391" s="295"/>
      <c r="G391" s="296">
        <v>666926</v>
      </c>
      <c r="I391" s="295"/>
      <c r="K391" s="10">
        <f>SUM(K382:K390)</f>
        <v>3634</v>
      </c>
      <c r="M391" s="295"/>
      <c r="O391" s="10">
        <f>SUM(O382:O390)</f>
        <v>3593</v>
      </c>
      <c r="Q391" s="2"/>
      <c r="R391" s="273"/>
    </row>
    <row r="392" spans="1:18">
      <c r="A392" s="86" t="s">
        <v>41</v>
      </c>
      <c r="I392" s="70"/>
      <c r="K392" s="10"/>
      <c r="M392" s="70"/>
      <c r="O392" s="10"/>
      <c r="Q392" s="290"/>
      <c r="R392" s="277"/>
    </row>
    <row r="393" spans="1:18">
      <c r="A393" s="86" t="s">
        <v>205</v>
      </c>
      <c r="C393" s="245">
        <v>123</v>
      </c>
      <c r="E393" s="261">
        <v>14</v>
      </c>
      <c r="F393" s="261"/>
      <c r="G393" s="6">
        <f t="shared" ref="G393" si="161">ROUND($C393*E393,0)</f>
        <v>1722</v>
      </c>
      <c r="K393" s="6"/>
      <c r="O393" s="6"/>
      <c r="Q393" s="290"/>
      <c r="R393" s="277"/>
    </row>
    <row r="394" spans="1:18">
      <c r="A394" s="86" t="s">
        <v>42</v>
      </c>
      <c r="C394" s="293">
        <v>1697995.5822001491</v>
      </c>
      <c r="E394" s="276">
        <v>4.8788999999999998</v>
      </c>
      <c r="F394" s="253" t="s">
        <v>10</v>
      </c>
      <c r="G394" s="43">
        <v>82844</v>
      </c>
      <c r="I394" s="42">
        <f t="shared" ref="I394" si="162">$I$370</f>
        <v>5.4999999999999997E-3</v>
      </c>
      <c r="K394" s="6">
        <f t="shared" ref="K394" si="163">ROUND($G394*I394,0)</f>
        <v>456</v>
      </c>
      <c r="M394" s="42">
        <f t="shared" ref="M394" si="164">$M$370</f>
        <v>5.4377499999999999E-3</v>
      </c>
      <c r="O394" s="6">
        <f t="shared" ref="O394" si="165">ROUND($G394*M394,0)</f>
        <v>450</v>
      </c>
      <c r="Q394" s="14"/>
      <c r="R394" s="15"/>
    </row>
    <row r="395" spans="1:18">
      <c r="A395" s="86" t="s">
        <v>43</v>
      </c>
      <c r="C395" s="293">
        <v>1697995.5822001491</v>
      </c>
      <c r="E395" s="295"/>
      <c r="G395" s="296">
        <f>SUM(G393:G394)</f>
        <v>84566</v>
      </c>
      <c r="I395" s="295"/>
      <c r="K395" s="10">
        <f>SUM(K393:K394)</f>
        <v>456</v>
      </c>
      <c r="M395" s="295"/>
      <c r="O395" s="10">
        <f>SUM(O393:O394)</f>
        <v>450</v>
      </c>
    </row>
    <row r="396" spans="1:18" ht="16.5" thickBot="1">
      <c r="A396" s="86" t="s">
        <v>265</v>
      </c>
      <c r="C396" s="278">
        <v>9300429.5822001491</v>
      </c>
      <c r="E396" s="74"/>
      <c r="G396" s="279">
        <f>SUM(G391+G395)</f>
        <v>751492</v>
      </c>
      <c r="I396" s="74"/>
      <c r="K396" s="185">
        <f>K391+K395</f>
        <v>4090</v>
      </c>
      <c r="M396" s="74"/>
      <c r="O396" s="185">
        <f>O391+O395</f>
        <v>4043</v>
      </c>
    </row>
    <row r="397" spans="1:18" ht="16.5" thickTop="1">
      <c r="I397" s="70"/>
      <c r="K397" s="10"/>
      <c r="M397" s="70"/>
      <c r="O397" s="10"/>
    </row>
    <row r="398" spans="1:18">
      <c r="A398" s="246" t="s">
        <v>45</v>
      </c>
      <c r="I398" s="70"/>
      <c r="K398" s="10"/>
      <c r="M398" s="70"/>
      <c r="O398" s="10"/>
    </row>
    <row r="399" spans="1:18">
      <c r="A399" s="86" t="s">
        <v>34</v>
      </c>
      <c r="C399" s="245">
        <v>3</v>
      </c>
      <c r="E399" s="261">
        <v>122</v>
      </c>
      <c r="F399" s="261"/>
      <c r="G399" s="43">
        <v>366</v>
      </c>
      <c r="I399" s="261"/>
      <c r="K399" s="6"/>
      <c r="M399" s="261"/>
      <c r="O399" s="6"/>
    </row>
    <row r="400" spans="1:18">
      <c r="A400" s="86" t="s">
        <v>35</v>
      </c>
      <c r="C400" s="245">
        <v>266</v>
      </c>
      <c r="E400" s="261">
        <v>37</v>
      </c>
      <c r="F400" s="261"/>
      <c r="G400" s="43">
        <v>9842</v>
      </c>
      <c r="I400" s="261"/>
      <c r="K400" s="6"/>
      <c r="M400" s="261"/>
      <c r="O400" s="6"/>
    </row>
    <row r="401" spans="1:18">
      <c r="A401" s="86" t="s">
        <v>46</v>
      </c>
      <c r="C401" s="245">
        <v>1196</v>
      </c>
      <c r="E401" s="261">
        <v>14</v>
      </c>
      <c r="F401" s="261"/>
      <c r="G401" s="43">
        <v>16744</v>
      </c>
      <c r="I401" s="261"/>
      <c r="K401" s="6"/>
      <c r="M401" s="261"/>
      <c r="O401" s="6"/>
    </row>
    <row r="402" spans="1:18">
      <c r="A402" s="86" t="s">
        <v>37</v>
      </c>
      <c r="C402" s="245">
        <v>63002</v>
      </c>
      <c r="E402" s="261">
        <v>7.14</v>
      </c>
      <c r="F402" s="261"/>
      <c r="G402" s="43">
        <v>449834</v>
      </c>
      <c r="I402" s="42">
        <f t="shared" ref="I402:I405" si="166">$I$370</f>
        <v>5.4999999999999997E-3</v>
      </c>
      <c r="K402" s="6">
        <f t="shared" ref="K402:K405" si="167">ROUND($G402*I402,0)</f>
        <v>2474</v>
      </c>
      <c r="M402" s="42">
        <f t="shared" ref="M402:M405" si="168">$M$370</f>
        <v>5.4377499999999999E-3</v>
      </c>
      <c r="O402" s="6">
        <f t="shared" ref="O402:O405" si="169">ROUND($G402*M402,0)</f>
        <v>2446</v>
      </c>
    </row>
    <row r="403" spans="1:18">
      <c r="A403" s="86" t="s">
        <v>47</v>
      </c>
      <c r="C403" s="245">
        <v>2363</v>
      </c>
      <c r="E403" s="261">
        <v>-2.0499999999999998</v>
      </c>
      <c r="F403" s="261"/>
      <c r="G403" s="43">
        <v>-4844</v>
      </c>
      <c r="I403" s="42">
        <f t="shared" si="166"/>
        <v>5.4999999999999997E-3</v>
      </c>
      <c r="K403" s="6">
        <f t="shared" si="167"/>
        <v>-27</v>
      </c>
      <c r="M403" s="42">
        <f t="shared" si="168"/>
        <v>5.4377499999999999E-3</v>
      </c>
      <c r="O403" s="6">
        <f t="shared" si="169"/>
        <v>-26</v>
      </c>
    </row>
    <row r="404" spans="1:18">
      <c r="A404" s="86" t="s">
        <v>32</v>
      </c>
      <c r="C404" s="245">
        <v>4395923</v>
      </c>
      <c r="E404" s="252">
        <v>14.052</v>
      </c>
      <c r="F404" s="253" t="s">
        <v>10</v>
      </c>
      <c r="G404" s="43">
        <v>617715</v>
      </c>
      <c r="I404" s="42">
        <f t="shared" si="166"/>
        <v>5.4999999999999997E-3</v>
      </c>
      <c r="K404" s="6">
        <f t="shared" si="167"/>
        <v>3397</v>
      </c>
      <c r="M404" s="42">
        <f t="shared" si="168"/>
        <v>5.4377499999999999E-3</v>
      </c>
      <c r="O404" s="6">
        <f t="shared" si="169"/>
        <v>3359</v>
      </c>
    </row>
    <row r="405" spans="1:18">
      <c r="A405" s="86" t="s">
        <v>27</v>
      </c>
      <c r="C405" s="293">
        <v>13428677</v>
      </c>
      <c r="E405" s="252">
        <v>4.0491999999999999</v>
      </c>
      <c r="F405" s="253" t="s">
        <v>10</v>
      </c>
      <c r="G405" s="43">
        <v>543754</v>
      </c>
      <c r="I405" s="42">
        <f t="shared" si="166"/>
        <v>5.4999999999999997E-3</v>
      </c>
      <c r="K405" s="6">
        <f t="shared" si="167"/>
        <v>2991</v>
      </c>
      <c r="M405" s="42">
        <f t="shared" si="168"/>
        <v>5.4377499999999999E-3</v>
      </c>
      <c r="O405" s="6">
        <f t="shared" si="169"/>
        <v>2957</v>
      </c>
    </row>
    <row r="406" spans="1:18">
      <c r="A406" s="86" t="s">
        <v>40</v>
      </c>
      <c r="C406" s="293">
        <v>17824600</v>
      </c>
      <c r="E406" s="295"/>
      <c r="G406" s="296">
        <v>1633411</v>
      </c>
      <c r="I406" s="295"/>
      <c r="K406" s="10">
        <f>SUM(K399:K405)</f>
        <v>8835</v>
      </c>
      <c r="M406" s="295"/>
      <c r="O406" s="10">
        <f>SUM(O399:O405)</f>
        <v>8736</v>
      </c>
    </row>
    <row r="407" spans="1:18">
      <c r="A407" s="86" t="s">
        <v>41</v>
      </c>
      <c r="I407" s="70"/>
      <c r="K407" s="10"/>
      <c r="M407" s="70"/>
      <c r="O407" s="10"/>
    </row>
    <row r="408" spans="1:18">
      <c r="A408" s="86" t="s">
        <v>205</v>
      </c>
      <c r="C408" s="245">
        <v>605</v>
      </c>
      <c r="E408" s="261">
        <v>14</v>
      </c>
      <c r="F408" s="261"/>
      <c r="G408" s="6">
        <f t="shared" ref="G408" si="170">ROUND($C408*E408,0)</f>
        <v>8470</v>
      </c>
      <c r="K408" s="6"/>
      <c r="O408" s="6"/>
    </row>
    <row r="409" spans="1:18">
      <c r="A409" s="86" t="s">
        <v>42</v>
      </c>
      <c r="C409" s="293">
        <v>6433787.1371411681</v>
      </c>
      <c r="E409" s="276">
        <v>4.8788999999999998</v>
      </c>
      <c r="F409" s="253" t="s">
        <v>10</v>
      </c>
      <c r="G409" s="43">
        <v>313898</v>
      </c>
      <c r="I409" s="42">
        <f t="shared" ref="I409" si="171">$I$370</f>
        <v>5.4999999999999997E-3</v>
      </c>
      <c r="K409" s="6">
        <f t="shared" ref="K409" si="172">ROUND($G409*I409,0)</f>
        <v>1726</v>
      </c>
      <c r="M409" s="42">
        <f t="shared" ref="M409" si="173">$M$370</f>
        <v>5.4377499999999999E-3</v>
      </c>
      <c r="O409" s="6">
        <f t="shared" ref="O409" si="174">ROUND($G409*M409,0)</f>
        <v>1707</v>
      </c>
    </row>
    <row r="410" spans="1:18">
      <c r="A410" s="86" t="s">
        <v>43</v>
      </c>
      <c r="C410" s="293">
        <v>6433787.1371411681</v>
      </c>
      <c r="E410" s="295"/>
      <c r="G410" s="296">
        <f>SUM(G408:G409)</f>
        <v>322368</v>
      </c>
      <c r="I410" s="295"/>
      <c r="K410" s="10">
        <f>SUM(K408:K409)</f>
        <v>1726</v>
      </c>
      <c r="M410" s="295"/>
      <c r="O410" s="10">
        <f>SUM(O408:O409)</f>
        <v>1707</v>
      </c>
    </row>
    <row r="411" spans="1:18" ht="16.5" thickBot="1">
      <c r="A411" s="86" t="s">
        <v>48</v>
      </c>
      <c r="C411" s="278">
        <v>24258387.137141168</v>
      </c>
      <c r="E411" s="74"/>
      <c r="G411" s="279">
        <f>SUM(G406+G410)</f>
        <v>1955779</v>
      </c>
      <c r="I411" s="74"/>
      <c r="K411" s="185">
        <f>K406+K410</f>
        <v>10561</v>
      </c>
      <c r="M411" s="74"/>
      <c r="O411" s="185">
        <f>O406+O410</f>
        <v>10443</v>
      </c>
    </row>
    <row r="412" spans="1:18" ht="16.5" thickTop="1">
      <c r="C412" s="245" t="s">
        <v>266</v>
      </c>
      <c r="I412" s="70"/>
      <c r="K412" s="6"/>
      <c r="M412" s="70"/>
      <c r="O412" s="6"/>
    </row>
    <row r="413" spans="1:18">
      <c r="A413" s="246" t="s">
        <v>49</v>
      </c>
      <c r="I413" s="70"/>
      <c r="K413" s="6"/>
      <c r="M413" s="70"/>
      <c r="O413" s="6"/>
    </row>
    <row r="414" spans="1:18">
      <c r="A414" s="246" t="s">
        <v>343</v>
      </c>
      <c r="I414" s="70"/>
      <c r="K414" s="6"/>
      <c r="M414" s="70"/>
      <c r="O414" s="6"/>
    </row>
    <row r="415" spans="1:18" s="253" customFormat="1">
      <c r="A415" s="86" t="s">
        <v>335</v>
      </c>
      <c r="B415" s="300"/>
      <c r="C415" s="245">
        <v>32060.279342838538</v>
      </c>
      <c r="D415" s="70"/>
      <c r="E415" s="261">
        <v>11.82</v>
      </c>
      <c r="F415" s="261"/>
      <c r="G415" s="43">
        <f t="shared" ref="G415:G431" si="175">C415*E415</f>
        <v>378952.5018323515</v>
      </c>
      <c r="H415" s="70"/>
      <c r="I415" s="359">
        <v>5.4000000000000003E-3</v>
      </c>
      <c r="J415" s="70"/>
      <c r="K415" s="6">
        <f>ROUND($G415*I415,0)</f>
        <v>2046</v>
      </c>
      <c r="L415" s="70"/>
      <c r="M415" s="359">
        <f>ROUND(R418/SUM(G415:G431),$S$8)</f>
        <v>5.3230600000000001E-3</v>
      </c>
      <c r="N415" s="70"/>
      <c r="O415" s="6">
        <f>ROUND($G415*M415,0)</f>
        <v>2017</v>
      </c>
      <c r="P415" s="251"/>
      <c r="Q415" s="67"/>
      <c r="R415" s="348"/>
    </row>
    <row r="416" spans="1:18" s="253" customFormat="1">
      <c r="A416" s="86" t="s">
        <v>336</v>
      </c>
      <c r="B416" s="300"/>
      <c r="C416" s="245">
        <v>197233.31780693663</v>
      </c>
      <c r="D416" s="70"/>
      <c r="E416" s="261">
        <v>12.74</v>
      </c>
      <c r="F416" s="261"/>
      <c r="G416" s="43">
        <f t="shared" si="175"/>
        <v>2512752.4688603724</v>
      </c>
      <c r="H416" s="70"/>
      <c r="I416" s="42">
        <f>$I$415</f>
        <v>5.4000000000000003E-3</v>
      </c>
      <c r="J416" s="70"/>
      <c r="K416" s="6">
        <f>ROUND($G416*I416,0)</f>
        <v>13569</v>
      </c>
      <c r="L416" s="70"/>
      <c r="M416" s="42">
        <f>$M$415</f>
        <v>5.3230600000000001E-3</v>
      </c>
      <c r="N416" s="70"/>
      <c r="O416" s="6">
        <f>ROUND($G416*M416,0)</f>
        <v>13376</v>
      </c>
      <c r="P416" s="251"/>
      <c r="Q416" s="33" t="s">
        <v>360</v>
      </c>
      <c r="R416" s="248"/>
    </row>
    <row r="417" spans="1:18" s="253" customFormat="1">
      <c r="A417" s="86" t="s">
        <v>337</v>
      </c>
      <c r="B417" s="300"/>
      <c r="C417" s="245">
        <v>20643.643092872899</v>
      </c>
      <c r="D417" s="70"/>
      <c r="E417" s="261">
        <v>13.19</v>
      </c>
      <c r="F417" s="261"/>
      <c r="G417" s="43">
        <f t="shared" si="175"/>
        <v>272289.65239499352</v>
      </c>
      <c r="H417" s="70"/>
      <c r="I417" s="42">
        <f t="shared" ref="I417:I420" si="176">$I$415</f>
        <v>5.4000000000000003E-3</v>
      </c>
      <c r="J417" s="70"/>
      <c r="K417" s="6">
        <f t="shared" ref="K417:K420" si="177">ROUND($G417*I417,0)</f>
        <v>1470</v>
      </c>
      <c r="L417" s="70"/>
      <c r="M417" s="42">
        <f t="shared" ref="M417:M420" si="178">$M$415</f>
        <v>5.3230600000000001E-3</v>
      </c>
      <c r="N417" s="70"/>
      <c r="O417" s="6">
        <f t="shared" ref="O417:O420" si="179">ROUND($G417*M417,0)</f>
        <v>1449</v>
      </c>
      <c r="P417" s="251"/>
      <c r="Q417" s="249" t="s">
        <v>11</v>
      </c>
      <c r="R417" s="8">
        <f>O433</f>
        <v>20012</v>
      </c>
    </row>
    <row r="418" spans="1:18" s="253" customFormat="1">
      <c r="A418" s="86" t="s">
        <v>338</v>
      </c>
      <c r="B418" s="300"/>
      <c r="C418" s="245">
        <v>574.1077419033528</v>
      </c>
      <c r="D418" s="70"/>
      <c r="E418" s="261">
        <v>13.71</v>
      </c>
      <c r="F418" s="261"/>
      <c r="G418" s="43">
        <f t="shared" si="175"/>
        <v>7871.0171414949673</v>
      </c>
      <c r="H418" s="70"/>
      <c r="I418" s="42">
        <f t="shared" si="176"/>
        <v>5.4000000000000003E-3</v>
      </c>
      <c r="J418" s="70"/>
      <c r="K418" s="6">
        <f t="shared" si="177"/>
        <v>43</v>
      </c>
      <c r="L418" s="70"/>
      <c r="M418" s="42">
        <f t="shared" si="178"/>
        <v>5.3230600000000001E-3</v>
      </c>
      <c r="N418" s="70"/>
      <c r="O418" s="6">
        <f t="shared" si="179"/>
        <v>42</v>
      </c>
      <c r="P418" s="251"/>
      <c r="Q418" s="249" t="s">
        <v>12</v>
      </c>
      <c r="R418" s="8">
        <f>'Exhibit-RMP(RMM-3) page 2'!K41*1000</f>
        <v>20011.551577486094</v>
      </c>
    </row>
    <row r="419" spans="1:18" s="253" customFormat="1">
      <c r="A419" s="86" t="s">
        <v>339</v>
      </c>
      <c r="B419" s="300"/>
      <c r="C419" s="245">
        <v>22535.613465373277</v>
      </c>
      <c r="D419" s="70"/>
      <c r="E419" s="261">
        <v>14.6</v>
      </c>
      <c r="F419" s="261"/>
      <c r="G419" s="43">
        <f t="shared" si="175"/>
        <v>329019.95659444982</v>
      </c>
      <c r="H419" s="70"/>
      <c r="I419" s="42">
        <f t="shared" si="176"/>
        <v>5.4000000000000003E-3</v>
      </c>
      <c r="J419" s="70"/>
      <c r="K419" s="6">
        <f t="shared" si="177"/>
        <v>1777</v>
      </c>
      <c r="L419" s="70"/>
      <c r="M419" s="42">
        <f t="shared" si="178"/>
        <v>5.3230600000000001E-3</v>
      </c>
      <c r="N419" s="70"/>
      <c r="O419" s="6">
        <f t="shared" si="179"/>
        <v>1751</v>
      </c>
      <c r="P419" s="251"/>
      <c r="Q419" s="250" t="s">
        <v>13</v>
      </c>
      <c r="R419" s="9">
        <f>R418-R417</f>
        <v>-0.44842251390582533</v>
      </c>
    </row>
    <row r="420" spans="1:18" s="253" customFormat="1">
      <c r="A420" s="86" t="s">
        <v>340</v>
      </c>
      <c r="B420" s="300"/>
      <c r="C420" s="245">
        <v>7799.6965729399371</v>
      </c>
      <c r="D420" s="70"/>
      <c r="E420" s="261">
        <v>17.75</v>
      </c>
      <c r="F420" s="261"/>
      <c r="G420" s="43">
        <f t="shared" si="175"/>
        <v>138444.61416968389</v>
      </c>
      <c r="H420" s="70"/>
      <c r="I420" s="42">
        <f t="shared" si="176"/>
        <v>5.4000000000000003E-3</v>
      </c>
      <c r="J420" s="70"/>
      <c r="K420" s="6">
        <f t="shared" si="177"/>
        <v>748</v>
      </c>
      <c r="L420" s="70"/>
      <c r="M420" s="42">
        <f t="shared" si="178"/>
        <v>5.3230600000000001E-3</v>
      </c>
      <c r="N420" s="70"/>
      <c r="O420" s="6">
        <f t="shared" si="179"/>
        <v>737</v>
      </c>
      <c r="P420" s="251"/>
      <c r="Q420" s="373"/>
      <c r="R420" s="374"/>
    </row>
    <row r="421" spans="1:18" s="253" customFormat="1">
      <c r="A421" s="246" t="s">
        <v>344</v>
      </c>
      <c r="B421" s="300"/>
      <c r="C421" s="245"/>
      <c r="D421" s="70"/>
      <c r="E421" s="261"/>
      <c r="F421" s="261"/>
      <c r="G421" s="43"/>
      <c r="H421" s="70"/>
      <c r="I421" s="261"/>
      <c r="J421" s="70"/>
      <c r="K421" s="6"/>
      <c r="L421" s="70"/>
      <c r="M421" s="261"/>
      <c r="N421" s="70"/>
      <c r="O421" s="6"/>
      <c r="P421" s="251"/>
      <c r="Q421" s="2"/>
      <c r="R421" s="375"/>
    </row>
    <row r="422" spans="1:18" s="253" customFormat="1">
      <c r="A422" s="86" t="s">
        <v>337</v>
      </c>
      <c r="B422" s="300"/>
      <c r="C422" s="245">
        <v>5104.3342939970698</v>
      </c>
      <c r="D422" s="70"/>
      <c r="E422" s="261">
        <v>23.15</v>
      </c>
      <c r="F422" s="261"/>
      <c r="G422" s="43">
        <f t="shared" si="175"/>
        <v>118165.33890603216</v>
      </c>
      <c r="H422" s="70"/>
      <c r="I422" s="42">
        <f>$I$415</f>
        <v>5.4000000000000003E-3</v>
      </c>
      <c r="J422" s="70"/>
      <c r="K422" s="6">
        <f>ROUND($G422*I422,0)</f>
        <v>638</v>
      </c>
      <c r="L422" s="70"/>
      <c r="M422" s="42">
        <f>$M$415</f>
        <v>5.3230600000000001E-3</v>
      </c>
      <c r="N422" s="70"/>
      <c r="O422" s="6">
        <f>ROUND($G422*M422,0)</f>
        <v>629</v>
      </c>
      <c r="P422" s="251"/>
      <c r="Q422" s="263"/>
      <c r="R422" s="263"/>
    </row>
    <row r="423" spans="1:18" s="253" customFormat="1">
      <c r="A423" s="246" t="s">
        <v>345</v>
      </c>
      <c r="B423" s="300"/>
      <c r="C423" s="245"/>
      <c r="D423" s="70"/>
      <c r="E423" s="261"/>
      <c r="F423" s="261"/>
      <c r="G423" s="43"/>
      <c r="H423" s="70"/>
      <c r="I423" s="261"/>
      <c r="J423" s="70"/>
      <c r="K423" s="6"/>
      <c r="L423" s="70"/>
      <c r="M423" s="261"/>
      <c r="N423" s="70"/>
      <c r="O423" s="6"/>
      <c r="P423" s="251"/>
      <c r="Q423" s="244"/>
      <c r="R423" s="244"/>
    </row>
    <row r="424" spans="1:18" s="253" customFormat="1">
      <c r="A424" s="86" t="s">
        <v>335</v>
      </c>
      <c r="B424" s="300"/>
      <c r="C424" s="245">
        <v>0</v>
      </c>
      <c r="D424" s="70"/>
      <c r="E424" s="261">
        <v>6.04</v>
      </c>
      <c r="F424" s="261"/>
      <c r="G424" s="43">
        <f t="shared" si="175"/>
        <v>0</v>
      </c>
      <c r="H424" s="70"/>
      <c r="I424" s="42">
        <f t="shared" ref="I424:I429" si="180">$I$415</f>
        <v>5.4000000000000003E-3</v>
      </c>
      <c r="J424" s="70"/>
      <c r="K424" s="6">
        <f t="shared" ref="K424:K429" si="181">ROUND($G424*I424,0)</f>
        <v>0</v>
      </c>
      <c r="L424" s="70"/>
      <c r="M424" s="42">
        <f t="shared" ref="M424:M429" si="182">$M$415</f>
        <v>5.3230600000000001E-3</v>
      </c>
      <c r="N424" s="70"/>
      <c r="O424" s="6">
        <f t="shared" ref="O424:O429" si="183">ROUND($G424*M424,0)</f>
        <v>0</v>
      </c>
      <c r="P424" s="251"/>
      <c r="Q424" s="244"/>
      <c r="R424" s="244"/>
    </row>
    <row r="425" spans="1:18" s="253" customFormat="1">
      <c r="A425" s="86" t="s">
        <v>336</v>
      </c>
      <c r="B425" s="300"/>
      <c r="C425" s="245">
        <v>276</v>
      </c>
      <c r="D425" s="70"/>
      <c r="E425" s="261">
        <v>6.57</v>
      </c>
      <c r="F425" s="261"/>
      <c r="G425" s="43">
        <f t="shared" si="175"/>
        <v>1813.3200000000002</v>
      </c>
      <c r="H425" s="70"/>
      <c r="I425" s="42">
        <f t="shared" si="180"/>
        <v>5.4000000000000003E-3</v>
      </c>
      <c r="J425" s="70"/>
      <c r="K425" s="6">
        <f t="shared" si="181"/>
        <v>10</v>
      </c>
      <c r="L425" s="70"/>
      <c r="M425" s="42">
        <f t="shared" si="182"/>
        <v>5.3230600000000001E-3</v>
      </c>
      <c r="N425" s="70"/>
      <c r="O425" s="6">
        <f t="shared" si="183"/>
        <v>10</v>
      </c>
      <c r="P425" s="251"/>
      <c r="Q425" s="244"/>
      <c r="R425" s="244"/>
    </row>
    <row r="426" spans="1:18" s="253" customFormat="1">
      <c r="A426" s="86" t="s">
        <v>337</v>
      </c>
      <c r="B426" s="300"/>
      <c r="C426" s="245">
        <v>0</v>
      </c>
      <c r="D426" s="70"/>
      <c r="E426" s="261">
        <v>6.99</v>
      </c>
      <c r="F426" s="261"/>
      <c r="G426" s="43">
        <f t="shared" si="175"/>
        <v>0</v>
      </c>
      <c r="H426" s="70"/>
      <c r="I426" s="42">
        <f t="shared" si="180"/>
        <v>5.4000000000000003E-3</v>
      </c>
      <c r="J426" s="70"/>
      <c r="K426" s="6">
        <f t="shared" si="181"/>
        <v>0</v>
      </c>
      <c r="L426" s="70"/>
      <c r="M426" s="42">
        <f t="shared" si="182"/>
        <v>5.3230600000000001E-3</v>
      </c>
      <c r="N426" s="70"/>
      <c r="O426" s="6">
        <f t="shared" si="183"/>
        <v>0</v>
      </c>
      <c r="P426" s="251"/>
      <c r="Q426" s="244"/>
      <c r="R426" s="244"/>
    </row>
    <row r="427" spans="1:18" s="253" customFormat="1">
      <c r="A427" s="86" t="s">
        <v>338</v>
      </c>
      <c r="B427" s="300"/>
      <c r="C427" s="245">
        <v>0</v>
      </c>
      <c r="D427" s="70"/>
      <c r="E427" s="261">
        <v>7.46</v>
      </c>
      <c r="F427" s="261"/>
      <c r="G427" s="43">
        <f t="shared" si="175"/>
        <v>0</v>
      </c>
      <c r="H427" s="70"/>
      <c r="I427" s="42">
        <f t="shared" si="180"/>
        <v>5.4000000000000003E-3</v>
      </c>
      <c r="J427" s="70"/>
      <c r="K427" s="6">
        <f t="shared" si="181"/>
        <v>0</v>
      </c>
      <c r="L427" s="70"/>
      <c r="M427" s="42">
        <f t="shared" si="182"/>
        <v>5.3230600000000001E-3</v>
      </c>
      <c r="N427" s="70"/>
      <c r="O427" s="6">
        <f t="shared" si="183"/>
        <v>0</v>
      </c>
      <c r="P427" s="251"/>
      <c r="Q427" s="244"/>
      <c r="R427" s="244"/>
    </row>
    <row r="428" spans="1:18" s="253" customFormat="1">
      <c r="A428" s="86" t="s">
        <v>339</v>
      </c>
      <c r="B428" s="300"/>
      <c r="C428" s="245">
        <v>12</v>
      </c>
      <c r="D428" s="70"/>
      <c r="E428" s="261">
        <v>8</v>
      </c>
      <c r="F428" s="261"/>
      <c r="G428" s="43">
        <f t="shared" si="175"/>
        <v>96</v>
      </c>
      <c r="H428" s="70"/>
      <c r="I428" s="42">
        <f t="shared" si="180"/>
        <v>5.4000000000000003E-3</v>
      </c>
      <c r="J428" s="70"/>
      <c r="K428" s="6">
        <f t="shared" si="181"/>
        <v>1</v>
      </c>
      <c r="L428" s="70"/>
      <c r="M428" s="42">
        <f t="shared" si="182"/>
        <v>5.3230600000000001E-3</v>
      </c>
      <c r="N428" s="70"/>
      <c r="O428" s="6">
        <f t="shared" si="183"/>
        <v>1</v>
      </c>
      <c r="P428" s="251"/>
      <c r="Q428" s="244"/>
      <c r="R428" s="244"/>
    </row>
    <row r="429" spans="1:18" s="253" customFormat="1">
      <c r="A429" s="86" t="s">
        <v>340</v>
      </c>
      <c r="B429" s="300"/>
      <c r="C429" s="245">
        <v>0</v>
      </c>
      <c r="D429" s="70"/>
      <c r="E429" s="261">
        <v>9.7200000000000006</v>
      </c>
      <c r="F429" s="261"/>
      <c r="G429" s="43">
        <f t="shared" si="175"/>
        <v>0</v>
      </c>
      <c r="H429" s="70"/>
      <c r="I429" s="42">
        <f t="shared" si="180"/>
        <v>5.4000000000000003E-3</v>
      </c>
      <c r="J429" s="70"/>
      <c r="K429" s="6">
        <f t="shared" si="181"/>
        <v>0</v>
      </c>
      <c r="L429" s="70"/>
      <c r="M429" s="42">
        <f t="shared" si="182"/>
        <v>5.3230600000000001E-3</v>
      </c>
      <c r="N429" s="70"/>
      <c r="O429" s="6">
        <f t="shared" si="183"/>
        <v>0</v>
      </c>
      <c r="P429" s="251"/>
      <c r="Q429" s="244"/>
      <c r="R429" s="244"/>
    </row>
    <row r="430" spans="1:18" s="253" customFormat="1">
      <c r="A430" s="246" t="s">
        <v>346</v>
      </c>
      <c r="B430" s="300"/>
      <c r="C430" s="245"/>
      <c r="D430" s="70"/>
      <c r="E430" s="261"/>
      <c r="F430" s="261"/>
      <c r="G430" s="43"/>
      <c r="H430" s="70"/>
      <c r="I430" s="261"/>
      <c r="J430" s="70"/>
      <c r="K430" s="6"/>
      <c r="L430" s="70"/>
      <c r="M430" s="261"/>
      <c r="N430" s="70"/>
      <c r="O430" s="6"/>
      <c r="P430" s="251"/>
      <c r="Q430" s="244"/>
      <c r="R430" s="244"/>
    </row>
    <row r="431" spans="1:18" s="253" customFormat="1">
      <c r="A431" s="86" t="s">
        <v>337</v>
      </c>
      <c r="B431" s="300"/>
      <c r="C431" s="245">
        <v>0</v>
      </c>
      <c r="D431" s="70"/>
      <c r="E431" s="261">
        <v>5.52</v>
      </c>
      <c r="F431" s="261"/>
      <c r="G431" s="43">
        <f t="shared" si="175"/>
        <v>0</v>
      </c>
      <c r="H431" s="70"/>
      <c r="I431" s="42">
        <f>$I$415</f>
        <v>5.4000000000000003E-3</v>
      </c>
      <c r="J431" s="70"/>
      <c r="K431" s="6">
        <f>ROUND($G431*I431,0)</f>
        <v>0</v>
      </c>
      <c r="L431" s="70"/>
      <c r="M431" s="42">
        <f>$M$415</f>
        <v>5.3230600000000001E-3</v>
      </c>
      <c r="N431" s="70"/>
      <c r="O431" s="6">
        <f>ROUND($G431*M431,0)</f>
        <v>0</v>
      </c>
      <c r="P431" s="251"/>
      <c r="Q431" s="244"/>
      <c r="R431" s="244"/>
    </row>
    <row r="432" spans="1:18">
      <c r="A432" s="86" t="s">
        <v>23</v>
      </c>
      <c r="C432" s="301">
        <v>715</v>
      </c>
      <c r="I432" s="70"/>
      <c r="K432" s="6"/>
      <c r="M432" s="70"/>
      <c r="O432" s="6"/>
    </row>
    <row r="433" spans="1:18" ht="16.5" thickBot="1">
      <c r="A433" s="86" t="s">
        <v>56</v>
      </c>
      <c r="C433" s="302">
        <v>13572508.23362934</v>
      </c>
      <c r="E433" s="16"/>
      <c r="F433" s="47"/>
      <c r="G433" s="185">
        <v>3759404.8698993782</v>
      </c>
      <c r="I433" s="16"/>
      <c r="K433" s="13">
        <f>SUM(K415:K432)</f>
        <v>20302</v>
      </c>
      <c r="M433" s="16"/>
      <c r="O433" s="13">
        <f>SUM(O415:O432)</f>
        <v>20012</v>
      </c>
    </row>
    <row r="434" spans="1:18" ht="16.5" thickTop="1">
      <c r="I434" s="70"/>
      <c r="K434" s="6"/>
      <c r="M434" s="70"/>
      <c r="O434" s="6"/>
    </row>
    <row r="435" spans="1:18">
      <c r="A435" s="246" t="s">
        <v>57</v>
      </c>
      <c r="I435" s="70"/>
      <c r="K435" s="6"/>
      <c r="M435" s="70"/>
      <c r="O435" s="6"/>
    </row>
    <row r="436" spans="1:18">
      <c r="A436" s="303" t="s">
        <v>58</v>
      </c>
      <c r="I436" s="70"/>
      <c r="K436" s="6"/>
      <c r="M436" s="70"/>
      <c r="O436" s="6"/>
    </row>
    <row r="437" spans="1:18">
      <c r="A437" s="304" t="s">
        <v>59</v>
      </c>
      <c r="I437" s="70"/>
      <c r="K437" s="6"/>
      <c r="M437" s="70"/>
      <c r="O437" s="6"/>
    </row>
    <row r="438" spans="1:18">
      <c r="A438" s="86" t="s">
        <v>60</v>
      </c>
      <c r="C438" s="245">
        <v>51176</v>
      </c>
      <c r="E438" s="247">
        <v>1.33</v>
      </c>
      <c r="F438" s="247"/>
      <c r="G438" s="43">
        <v>68064.08</v>
      </c>
      <c r="I438" s="359">
        <v>5.4000000000000003E-3</v>
      </c>
      <c r="K438" s="6">
        <f>ROUND($G438*I438,0)</f>
        <v>368</v>
      </c>
      <c r="M438" s="359">
        <f>ROUND(R441/SUM(G438:G448,G451:G499),$S$8)</f>
        <v>5.3230600000000001E-3</v>
      </c>
      <c r="O438" s="6">
        <f>ROUND($G438*M438,0)</f>
        <v>362</v>
      </c>
      <c r="Q438" s="67"/>
      <c r="R438" s="348"/>
    </row>
    <row r="439" spans="1:18">
      <c r="A439" s="86" t="s">
        <v>61</v>
      </c>
      <c r="C439" s="245">
        <v>80459</v>
      </c>
      <c r="E439" s="247">
        <v>1.81</v>
      </c>
      <c r="F439" s="247"/>
      <c r="G439" s="43">
        <v>145630.79</v>
      </c>
      <c r="I439" s="42">
        <f>$I$438</f>
        <v>5.4000000000000003E-3</v>
      </c>
      <c r="K439" s="6">
        <f>ROUND($G439*I439,0)</f>
        <v>786</v>
      </c>
      <c r="M439" s="42">
        <f>$M$438</f>
        <v>5.3230600000000001E-3</v>
      </c>
      <c r="O439" s="6">
        <f>ROUND($G439*M439,0)</f>
        <v>775</v>
      </c>
      <c r="Q439" s="33" t="s">
        <v>361</v>
      </c>
      <c r="R439" s="248"/>
    </row>
    <row r="440" spans="1:18">
      <c r="A440" s="86" t="s">
        <v>62</v>
      </c>
      <c r="C440" s="245">
        <v>67482</v>
      </c>
      <c r="E440" s="247">
        <v>2.65</v>
      </c>
      <c r="F440" s="247"/>
      <c r="G440" s="43">
        <v>178827.3</v>
      </c>
      <c r="I440" s="42">
        <f t="shared" ref="I440:I442" si="184">$I$438</f>
        <v>5.4000000000000003E-3</v>
      </c>
      <c r="K440" s="6">
        <f t="shared" ref="K440:K442" si="185">ROUND($G440*I440,0)</f>
        <v>966</v>
      </c>
      <c r="M440" s="42">
        <f t="shared" ref="M440:M442" si="186">$M$438</f>
        <v>5.3230600000000001E-3</v>
      </c>
      <c r="O440" s="6">
        <f t="shared" ref="O440:O442" si="187">ROUND($G440*M440,0)</f>
        <v>952</v>
      </c>
      <c r="Q440" s="249" t="s">
        <v>11</v>
      </c>
      <c r="R440" s="8">
        <f>O501</f>
        <v>7372</v>
      </c>
    </row>
    <row r="441" spans="1:18">
      <c r="A441" s="86" t="s">
        <v>63</v>
      </c>
      <c r="C441" s="245">
        <v>17154</v>
      </c>
      <c r="E441" s="247">
        <v>4.7300000000000004</v>
      </c>
      <c r="F441" s="247"/>
      <c r="G441" s="43">
        <v>81138.420000000013</v>
      </c>
      <c r="I441" s="42">
        <f t="shared" si="184"/>
        <v>5.4000000000000003E-3</v>
      </c>
      <c r="K441" s="6">
        <f t="shared" si="185"/>
        <v>438</v>
      </c>
      <c r="M441" s="42">
        <f t="shared" si="186"/>
        <v>5.3230600000000001E-3</v>
      </c>
      <c r="O441" s="6">
        <f t="shared" si="187"/>
        <v>432</v>
      </c>
      <c r="Q441" s="249" t="s">
        <v>12</v>
      </c>
      <c r="R441" s="8">
        <f>'Exhibit-RMP(RMM-3) page 2'!K42*1000</f>
        <v>7371.7964366475162</v>
      </c>
    </row>
    <row r="442" spans="1:18">
      <c r="A442" s="86" t="s">
        <v>64</v>
      </c>
      <c r="C442" s="245">
        <v>10092</v>
      </c>
      <c r="E442" s="247">
        <v>7.27</v>
      </c>
      <c r="F442" s="247"/>
      <c r="G442" s="43">
        <v>73368.84</v>
      </c>
      <c r="I442" s="42">
        <f t="shared" si="184"/>
        <v>5.4000000000000003E-3</v>
      </c>
      <c r="K442" s="6">
        <f t="shared" si="185"/>
        <v>396</v>
      </c>
      <c r="M442" s="42">
        <f t="shared" si="186"/>
        <v>5.3230600000000001E-3</v>
      </c>
      <c r="O442" s="6">
        <f t="shared" si="187"/>
        <v>391</v>
      </c>
      <c r="Q442" s="250" t="s">
        <v>13</v>
      </c>
      <c r="R442" s="9">
        <f>R441-R440</f>
        <v>-0.20356335248379764</v>
      </c>
    </row>
    <row r="443" spans="1:18">
      <c r="A443" s="304" t="s">
        <v>51</v>
      </c>
      <c r="E443" s="261"/>
      <c r="F443" s="261"/>
      <c r="I443" s="261"/>
      <c r="K443" s="6"/>
      <c r="M443" s="261"/>
      <c r="O443" s="6"/>
      <c r="Q443" s="373"/>
      <c r="R443" s="374"/>
    </row>
    <row r="444" spans="1:18">
      <c r="A444" s="86" t="s">
        <v>65</v>
      </c>
      <c r="C444" s="245">
        <v>4369</v>
      </c>
      <c r="E444" s="247">
        <v>1.85</v>
      </c>
      <c r="F444" s="247"/>
      <c r="G444" s="43">
        <v>8082.6500000000005</v>
      </c>
      <c r="I444" s="42">
        <f t="shared" ref="I444:I448" si="188">$I$438</f>
        <v>5.4000000000000003E-3</v>
      </c>
      <c r="K444" s="6">
        <f t="shared" ref="K444:K448" si="189">ROUND($G444*I444,0)</f>
        <v>44</v>
      </c>
      <c r="M444" s="42">
        <f t="shared" ref="M444:M448" si="190">$M$438</f>
        <v>5.3230600000000001E-3</v>
      </c>
      <c r="O444" s="6">
        <f t="shared" ref="O444:O448" si="191">ROUND($G444*M444,0)</f>
        <v>43</v>
      </c>
      <c r="Q444" s="2"/>
      <c r="R444" s="375"/>
    </row>
    <row r="445" spans="1:18">
      <c r="A445" s="86" t="s">
        <v>66</v>
      </c>
      <c r="C445" s="245">
        <v>9335</v>
      </c>
      <c r="E445" s="247">
        <v>3.24</v>
      </c>
      <c r="F445" s="247"/>
      <c r="G445" s="43">
        <v>30245.4</v>
      </c>
      <c r="I445" s="42">
        <f t="shared" si="188"/>
        <v>5.4000000000000003E-3</v>
      </c>
      <c r="K445" s="6">
        <f t="shared" si="189"/>
        <v>163</v>
      </c>
      <c r="M445" s="42">
        <f t="shared" si="190"/>
        <v>5.3230600000000001E-3</v>
      </c>
      <c r="O445" s="6">
        <f t="shared" si="191"/>
        <v>161</v>
      </c>
      <c r="Q445" s="263"/>
      <c r="R445" s="263"/>
    </row>
    <row r="446" spans="1:18">
      <c r="A446" s="86" t="s">
        <v>67</v>
      </c>
      <c r="C446" s="245">
        <v>10137</v>
      </c>
      <c r="E446" s="247">
        <v>4.4800000000000004</v>
      </c>
      <c r="F446" s="247"/>
      <c r="G446" s="43">
        <v>45413.760000000002</v>
      </c>
      <c r="I446" s="42">
        <f t="shared" si="188"/>
        <v>5.4000000000000003E-3</v>
      </c>
      <c r="K446" s="6">
        <f t="shared" si="189"/>
        <v>245</v>
      </c>
      <c r="M446" s="42">
        <f t="shared" si="190"/>
        <v>5.3230600000000001E-3</v>
      </c>
      <c r="O446" s="6">
        <f t="shared" si="191"/>
        <v>242</v>
      </c>
    </row>
    <row r="447" spans="1:18">
      <c r="A447" s="86" t="s">
        <v>68</v>
      </c>
      <c r="C447" s="245">
        <v>6173</v>
      </c>
      <c r="E447" s="247">
        <v>7.09</v>
      </c>
      <c r="F447" s="247"/>
      <c r="G447" s="43">
        <v>43766.57</v>
      </c>
      <c r="I447" s="42">
        <f t="shared" si="188"/>
        <v>5.4000000000000003E-3</v>
      </c>
      <c r="K447" s="6">
        <f t="shared" si="189"/>
        <v>236</v>
      </c>
      <c r="M447" s="42">
        <f t="shared" si="190"/>
        <v>5.3230600000000001E-3</v>
      </c>
      <c r="O447" s="6">
        <f t="shared" si="191"/>
        <v>233</v>
      </c>
    </row>
    <row r="448" spans="1:18">
      <c r="A448" s="304" t="s">
        <v>69</v>
      </c>
      <c r="C448" s="245">
        <v>9608182</v>
      </c>
      <c r="E448" s="48">
        <v>4.5465</v>
      </c>
      <c r="F448" s="253" t="s">
        <v>10</v>
      </c>
      <c r="G448" s="43">
        <v>436835.99462999997</v>
      </c>
      <c r="I448" s="42">
        <f t="shared" si="188"/>
        <v>5.4000000000000003E-3</v>
      </c>
      <c r="K448" s="6">
        <f t="shared" si="189"/>
        <v>2359</v>
      </c>
      <c r="M448" s="42">
        <f t="shared" si="190"/>
        <v>5.3230600000000001E-3</v>
      </c>
      <c r="O448" s="6">
        <f t="shared" si="191"/>
        <v>2325</v>
      </c>
    </row>
    <row r="449" spans="1:18">
      <c r="A449" s="305" t="s">
        <v>70</v>
      </c>
      <c r="I449" s="70"/>
      <c r="K449" s="6"/>
      <c r="M449" s="70"/>
      <c r="O449" s="6"/>
    </row>
    <row r="450" spans="1:18">
      <c r="A450" s="304" t="s">
        <v>71</v>
      </c>
      <c r="I450" s="70"/>
      <c r="K450" s="6"/>
      <c r="M450" s="70"/>
      <c r="O450" s="6"/>
    </row>
    <row r="451" spans="1:18">
      <c r="A451" s="86" t="s">
        <v>72</v>
      </c>
      <c r="C451" s="245">
        <v>46</v>
      </c>
      <c r="E451" s="247">
        <v>6.5</v>
      </c>
      <c r="F451" s="247"/>
      <c r="G451" s="43">
        <v>299</v>
      </c>
      <c r="I451" s="42">
        <f t="shared" ref="I451:I452" si="192">$I$438</f>
        <v>5.4000000000000003E-3</v>
      </c>
      <c r="K451" s="6">
        <f t="shared" ref="K451:K452" si="193">ROUND($G451*I451,0)</f>
        <v>2</v>
      </c>
      <c r="M451" s="42">
        <f t="shared" ref="M451:M452" si="194">$M$438</f>
        <v>5.3230600000000001E-3</v>
      </c>
      <c r="O451" s="6">
        <f t="shared" ref="O451:O452" si="195">ROUND($G451*M451,0)</f>
        <v>2</v>
      </c>
    </row>
    <row r="452" spans="1:18">
      <c r="A452" s="86" t="s">
        <v>52</v>
      </c>
      <c r="C452" s="245">
        <v>23</v>
      </c>
      <c r="E452" s="247">
        <v>8.84</v>
      </c>
      <c r="F452" s="247"/>
      <c r="G452" s="43">
        <v>203.32</v>
      </c>
      <c r="I452" s="42">
        <f t="shared" si="192"/>
        <v>5.4000000000000003E-3</v>
      </c>
      <c r="K452" s="6">
        <f t="shared" si="193"/>
        <v>1</v>
      </c>
      <c r="M452" s="42">
        <f t="shared" si="194"/>
        <v>5.3230600000000001E-3</v>
      </c>
      <c r="O452" s="6">
        <f t="shared" si="195"/>
        <v>1</v>
      </c>
    </row>
    <row r="453" spans="1:18">
      <c r="A453" s="304" t="s">
        <v>73</v>
      </c>
      <c r="E453" s="247"/>
      <c r="F453" s="247"/>
      <c r="I453" s="247"/>
      <c r="K453" s="6"/>
      <c r="M453" s="247"/>
      <c r="O453" s="6"/>
    </row>
    <row r="454" spans="1:18">
      <c r="A454" s="86" t="s">
        <v>52</v>
      </c>
      <c r="C454" s="245">
        <v>0</v>
      </c>
      <c r="E454" s="247">
        <v>3.37</v>
      </c>
      <c r="F454" s="247"/>
      <c r="G454" s="43">
        <v>0</v>
      </c>
      <c r="I454" s="42">
        <f t="shared" ref="I454:I457" si="196">$I$438</f>
        <v>5.4000000000000003E-3</v>
      </c>
      <c r="K454" s="6">
        <f t="shared" ref="K454:K457" si="197">ROUND($G454*I454,0)</f>
        <v>0</v>
      </c>
      <c r="M454" s="42">
        <f t="shared" ref="M454:M457" si="198">$M$438</f>
        <v>5.3230600000000001E-3</v>
      </c>
      <c r="O454" s="6">
        <f t="shared" ref="O454:O457" si="199">ROUND($G454*M454,0)</f>
        <v>0</v>
      </c>
    </row>
    <row r="455" spans="1:18">
      <c r="A455" s="86" t="s">
        <v>20</v>
      </c>
      <c r="C455" s="245">
        <v>404</v>
      </c>
      <c r="E455" s="247">
        <v>5.08</v>
      </c>
      <c r="G455" s="43">
        <v>2052.3200000000002</v>
      </c>
      <c r="I455" s="42">
        <f t="shared" si="196"/>
        <v>5.4000000000000003E-3</v>
      </c>
      <c r="K455" s="6">
        <f t="shared" si="197"/>
        <v>11</v>
      </c>
      <c r="M455" s="42">
        <f t="shared" si="198"/>
        <v>5.3230600000000001E-3</v>
      </c>
      <c r="O455" s="6">
        <f t="shared" si="199"/>
        <v>11</v>
      </c>
    </row>
    <row r="456" spans="1:18">
      <c r="A456" s="86" t="s">
        <v>21</v>
      </c>
      <c r="C456" s="245">
        <v>53</v>
      </c>
      <c r="E456" s="247">
        <v>9.67</v>
      </c>
      <c r="F456" s="247"/>
      <c r="G456" s="43">
        <v>512.51</v>
      </c>
      <c r="I456" s="42">
        <f t="shared" si="196"/>
        <v>5.4000000000000003E-3</v>
      </c>
      <c r="K456" s="6">
        <f t="shared" si="197"/>
        <v>3</v>
      </c>
      <c r="M456" s="42">
        <f t="shared" si="198"/>
        <v>5.3230600000000001E-3</v>
      </c>
      <c r="O456" s="6">
        <f t="shared" si="199"/>
        <v>3</v>
      </c>
    </row>
    <row r="457" spans="1:18">
      <c r="A457" s="86" t="s">
        <v>74</v>
      </c>
      <c r="C457" s="245">
        <v>0</v>
      </c>
      <c r="E457" s="247">
        <v>20.59</v>
      </c>
      <c r="F457" s="247"/>
      <c r="G457" s="43">
        <v>0</v>
      </c>
      <c r="I457" s="42">
        <f t="shared" si="196"/>
        <v>5.4000000000000003E-3</v>
      </c>
      <c r="K457" s="6">
        <f t="shared" si="197"/>
        <v>0</v>
      </c>
      <c r="M457" s="42">
        <f t="shared" si="198"/>
        <v>5.3230600000000001E-3</v>
      </c>
      <c r="O457" s="6">
        <f t="shared" si="199"/>
        <v>0</v>
      </c>
    </row>
    <row r="458" spans="1:18">
      <c r="A458" s="304" t="s">
        <v>75</v>
      </c>
      <c r="E458" s="247"/>
      <c r="F458" s="247"/>
      <c r="I458" s="247"/>
      <c r="K458" s="10"/>
      <c r="M458" s="247"/>
      <c r="O458" s="10"/>
    </row>
    <row r="459" spans="1:18">
      <c r="A459" s="86" t="s">
        <v>60</v>
      </c>
      <c r="C459" s="245">
        <v>1416</v>
      </c>
      <c r="E459" s="247">
        <v>2.96</v>
      </c>
      <c r="F459" s="247"/>
      <c r="G459" s="43">
        <v>4191.3599999999997</v>
      </c>
      <c r="I459" s="42">
        <f t="shared" ref="I459:I468" si="200">$I$438</f>
        <v>5.4000000000000003E-3</v>
      </c>
      <c r="K459" s="6">
        <f t="shared" ref="K459:K468" si="201">ROUND($G459*I459,0)</f>
        <v>23</v>
      </c>
      <c r="M459" s="42">
        <f t="shared" ref="M459:M468" si="202">$M$438</f>
        <v>5.3230600000000001E-3</v>
      </c>
      <c r="O459" s="6">
        <f t="shared" ref="O459:O468" si="203">ROUND($G459*M459,0)</f>
        <v>22</v>
      </c>
    </row>
    <row r="460" spans="1:18">
      <c r="A460" s="86" t="s">
        <v>61</v>
      </c>
      <c r="C460" s="245">
        <v>6699</v>
      </c>
      <c r="E460" s="247">
        <v>3.9</v>
      </c>
      <c r="F460" s="247"/>
      <c r="G460" s="43">
        <v>26126.1</v>
      </c>
      <c r="I460" s="42">
        <f t="shared" si="200"/>
        <v>5.4000000000000003E-3</v>
      </c>
      <c r="K460" s="6">
        <f t="shared" si="201"/>
        <v>141</v>
      </c>
      <c r="M460" s="42">
        <f t="shared" si="202"/>
        <v>5.3230600000000001E-3</v>
      </c>
      <c r="O460" s="6">
        <f t="shared" si="203"/>
        <v>139</v>
      </c>
      <c r="Q460" s="263"/>
      <c r="R460" s="263"/>
    </row>
    <row r="461" spans="1:18">
      <c r="A461" s="86" t="s">
        <v>76</v>
      </c>
      <c r="C461" s="245">
        <v>3869</v>
      </c>
      <c r="E461" s="247">
        <v>5.05</v>
      </c>
      <c r="F461" s="247"/>
      <c r="G461" s="43">
        <v>19538.45</v>
      </c>
      <c r="I461" s="42">
        <f t="shared" si="200"/>
        <v>5.4000000000000003E-3</v>
      </c>
      <c r="K461" s="6">
        <f t="shared" si="201"/>
        <v>106</v>
      </c>
      <c r="M461" s="42">
        <f t="shared" si="202"/>
        <v>5.3230600000000001E-3</v>
      </c>
      <c r="O461" s="6">
        <f t="shared" si="203"/>
        <v>104</v>
      </c>
      <c r="Q461" s="263"/>
      <c r="R461" s="263"/>
    </row>
    <row r="462" spans="1:18">
      <c r="A462" s="86" t="s">
        <v>62</v>
      </c>
      <c r="C462" s="245">
        <v>586</v>
      </c>
      <c r="E462" s="247">
        <v>4.7300000000000004</v>
      </c>
      <c r="F462" s="247"/>
      <c r="G462" s="43">
        <v>2771.78</v>
      </c>
      <c r="I462" s="42">
        <f t="shared" si="200"/>
        <v>5.4000000000000003E-3</v>
      </c>
      <c r="K462" s="6">
        <f t="shared" si="201"/>
        <v>15</v>
      </c>
      <c r="M462" s="42">
        <f t="shared" si="202"/>
        <v>5.3230600000000001E-3</v>
      </c>
      <c r="O462" s="6">
        <f t="shared" si="203"/>
        <v>15</v>
      </c>
      <c r="Q462" s="263"/>
      <c r="R462" s="263"/>
    </row>
    <row r="463" spans="1:18">
      <c r="A463" s="86" t="s">
        <v>77</v>
      </c>
      <c r="C463" s="245">
        <v>269</v>
      </c>
      <c r="E463" s="247">
        <v>6</v>
      </c>
      <c r="F463" s="247"/>
      <c r="G463" s="43">
        <v>1614</v>
      </c>
      <c r="I463" s="42">
        <f t="shared" si="200"/>
        <v>5.4000000000000003E-3</v>
      </c>
      <c r="K463" s="6">
        <f t="shared" si="201"/>
        <v>9</v>
      </c>
      <c r="M463" s="42">
        <f t="shared" si="202"/>
        <v>5.3230600000000001E-3</v>
      </c>
      <c r="O463" s="6">
        <f t="shared" si="203"/>
        <v>9</v>
      </c>
      <c r="Q463" s="2"/>
      <c r="R463" s="206"/>
    </row>
    <row r="464" spans="1:18">
      <c r="A464" s="86" t="s">
        <v>78</v>
      </c>
      <c r="C464" s="245">
        <v>0</v>
      </c>
      <c r="E464" s="247">
        <v>5.99</v>
      </c>
      <c r="F464" s="247"/>
      <c r="G464" s="43">
        <v>0</v>
      </c>
      <c r="I464" s="42">
        <f t="shared" si="200"/>
        <v>5.4000000000000003E-3</v>
      </c>
      <c r="K464" s="6">
        <f t="shared" si="201"/>
        <v>0</v>
      </c>
      <c r="M464" s="42">
        <f t="shared" si="202"/>
        <v>5.3230600000000001E-3</v>
      </c>
      <c r="O464" s="6">
        <f t="shared" si="203"/>
        <v>0</v>
      </c>
      <c r="Q464" s="2"/>
      <c r="R464" s="206"/>
    </row>
    <row r="465" spans="1:18">
      <c r="A465" s="86" t="s">
        <v>63</v>
      </c>
      <c r="C465" s="245">
        <v>1740</v>
      </c>
      <c r="E465" s="247">
        <v>6.96</v>
      </c>
      <c r="F465" s="247"/>
      <c r="G465" s="43">
        <v>12110.4</v>
      </c>
      <c r="I465" s="42">
        <f t="shared" si="200"/>
        <v>5.4000000000000003E-3</v>
      </c>
      <c r="K465" s="6">
        <f t="shared" si="201"/>
        <v>65</v>
      </c>
      <c r="M465" s="42">
        <f t="shared" si="202"/>
        <v>5.3230600000000001E-3</v>
      </c>
      <c r="O465" s="6">
        <f t="shared" si="203"/>
        <v>64</v>
      </c>
      <c r="Q465" s="272"/>
      <c r="R465" s="206"/>
    </row>
    <row r="466" spans="1:18">
      <c r="A466" s="86" t="s">
        <v>79</v>
      </c>
      <c r="C466" s="245">
        <v>77</v>
      </c>
      <c r="E466" s="247">
        <v>8.65</v>
      </c>
      <c r="F466" s="247"/>
      <c r="G466" s="43">
        <v>666.05000000000007</v>
      </c>
      <c r="I466" s="42">
        <f t="shared" si="200"/>
        <v>5.4000000000000003E-3</v>
      </c>
      <c r="K466" s="6">
        <f t="shared" si="201"/>
        <v>4</v>
      </c>
      <c r="M466" s="42">
        <f t="shared" si="202"/>
        <v>5.3230600000000001E-3</v>
      </c>
      <c r="O466" s="6">
        <f t="shared" si="203"/>
        <v>4</v>
      </c>
      <c r="Q466" s="2"/>
      <c r="R466" s="273"/>
    </row>
    <row r="467" spans="1:18">
      <c r="A467" s="86" t="s">
        <v>64</v>
      </c>
      <c r="C467" s="245">
        <v>4562</v>
      </c>
      <c r="E467" s="247">
        <v>10.15</v>
      </c>
      <c r="F467" s="247"/>
      <c r="G467" s="43">
        <v>46304.3</v>
      </c>
      <c r="I467" s="42">
        <f t="shared" si="200"/>
        <v>5.4000000000000003E-3</v>
      </c>
      <c r="K467" s="6">
        <f t="shared" si="201"/>
        <v>250</v>
      </c>
      <c r="M467" s="42">
        <f t="shared" si="202"/>
        <v>5.3230600000000001E-3</v>
      </c>
      <c r="O467" s="6">
        <f t="shared" si="203"/>
        <v>246</v>
      </c>
      <c r="Q467" s="263"/>
      <c r="R467" s="263"/>
    </row>
    <row r="468" spans="1:18">
      <c r="A468" s="86" t="s">
        <v>80</v>
      </c>
      <c r="C468" s="245">
        <v>76</v>
      </c>
      <c r="E468" s="247">
        <v>11.29</v>
      </c>
      <c r="F468" s="247"/>
      <c r="G468" s="43">
        <v>858.04</v>
      </c>
      <c r="I468" s="42">
        <f t="shared" si="200"/>
        <v>5.4000000000000003E-3</v>
      </c>
      <c r="K468" s="6">
        <f t="shared" si="201"/>
        <v>5</v>
      </c>
      <c r="M468" s="42">
        <f t="shared" si="202"/>
        <v>5.3230600000000001E-3</v>
      </c>
      <c r="O468" s="6">
        <f t="shared" si="203"/>
        <v>5</v>
      </c>
      <c r="Q468" s="263"/>
      <c r="R468" s="263"/>
    </row>
    <row r="469" spans="1:18">
      <c r="A469" s="304" t="s">
        <v>51</v>
      </c>
      <c r="E469" s="247"/>
      <c r="F469" s="247"/>
      <c r="I469" s="247"/>
      <c r="K469" s="43"/>
      <c r="M469" s="247"/>
      <c r="Q469" s="2"/>
      <c r="R469" s="206"/>
    </row>
    <row r="470" spans="1:18">
      <c r="A470" s="86" t="s">
        <v>81</v>
      </c>
      <c r="C470" s="245">
        <v>587</v>
      </c>
      <c r="E470" s="247">
        <v>6.67</v>
      </c>
      <c r="F470" s="247"/>
      <c r="G470" s="43">
        <v>3915.29</v>
      </c>
      <c r="I470" s="42">
        <f t="shared" ref="I470:I476" si="204">$I$438</f>
        <v>5.4000000000000003E-3</v>
      </c>
      <c r="K470" s="6">
        <f t="shared" ref="K470:K476" si="205">ROUND($G470*I470,0)</f>
        <v>21</v>
      </c>
      <c r="M470" s="42">
        <f t="shared" ref="M470:M476" si="206">$M$438</f>
        <v>5.3230600000000001E-3</v>
      </c>
      <c r="O470" s="6">
        <f t="shared" ref="O470:O476" si="207">ROUND($G470*M470,0)</f>
        <v>21</v>
      </c>
      <c r="Q470" s="2"/>
      <c r="R470" s="206"/>
    </row>
    <row r="471" spans="1:18">
      <c r="A471" s="86" t="s">
        <v>66</v>
      </c>
      <c r="C471" s="245">
        <v>847</v>
      </c>
      <c r="E471" s="247">
        <v>9.84</v>
      </c>
      <c r="F471" s="247"/>
      <c r="G471" s="43">
        <v>8334.48</v>
      </c>
      <c r="I471" s="42">
        <f t="shared" si="204"/>
        <v>5.4000000000000003E-3</v>
      </c>
      <c r="K471" s="6">
        <f t="shared" si="205"/>
        <v>45</v>
      </c>
      <c r="M471" s="42">
        <f t="shared" si="206"/>
        <v>5.3230600000000001E-3</v>
      </c>
      <c r="O471" s="6">
        <f t="shared" si="207"/>
        <v>44</v>
      </c>
      <c r="Q471" s="272"/>
      <c r="R471" s="206"/>
    </row>
    <row r="472" spans="1:18">
      <c r="A472" s="86" t="s">
        <v>82</v>
      </c>
      <c r="C472" s="245">
        <v>130</v>
      </c>
      <c r="E472" s="247">
        <v>8.0399999999999991</v>
      </c>
      <c r="F472" s="247"/>
      <c r="G472" s="43">
        <v>1045.1999999999998</v>
      </c>
      <c r="I472" s="42">
        <f t="shared" si="204"/>
        <v>5.4000000000000003E-3</v>
      </c>
      <c r="K472" s="6">
        <f t="shared" si="205"/>
        <v>6</v>
      </c>
      <c r="M472" s="42">
        <f t="shared" si="206"/>
        <v>5.3230600000000001E-3</v>
      </c>
      <c r="O472" s="6">
        <f t="shared" si="207"/>
        <v>6</v>
      </c>
      <c r="Q472" s="2"/>
      <c r="R472" s="273"/>
    </row>
    <row r="473" spans="1:18">
      <c r="A473" s="86" t="s">
        <v>67</v>
      </c>
      <c r="C473" s="245">
        <v>244</v>
      </c>
      <c r="E473" s="247">
        <v>9.94</v>
      </c>
      <c r="F473" s="247"/>
      <c r="G473" s="43">
        <v>2425.3599999999997</v>
      </c>
      <c r="I473" s="42">
        <f t="shared" si="204"/>
        <v>5.4000000000000003E-3</v>
      </c>
      <c r="K473" s="6">
        <f t="shared" si="205"/>
        <v>13</v>
      </c>
      <c r="M473" s="42">
        <f t="shared" si="206"/>
        <v>5.3230600000000001E-3</v>
      </c>
      <c r="O473" s="6">
        <f t="shared" si="207"/>
        <v>13</v>
      </c>
      <c r="Q473" s="263"/>
      <c r="R473" s="207"/>
    </row>
    <row r="474" spans="1:18">
      <c r="A474" s="86" t="s">
        <v>83</v>
      </c>
      <c r="C474" s="245">
        <v>3676</v>
      </c>
      <c r="E474" s="247">
        <v>10.25</v>
      </c>
      <c r="F474" s="247"/>
      <c r="G474" s="43">
        <v>37679</v>
      </c>
      <c r="I474" s="42">
        <f t="shared" si="204"/>
        <v>5.4000000000000003E-3</v>
      </c>
      <c r="K474" s="6">
        <f t="shared" si="205"/>
        <v>203</v>
      </c>
      <c r="M474" s="42">
        <f t="shared" si="206"/>
        <v>5.3230600000000001E-3</v>
      </c>
      <c r="O474" s="6">
        <f t="shared" si="207"/>
        <v>201</v>
      </c>
      <c r="Q474" s="263"/>
      <c r="R474" s="263"/>
    </row>
    <row r="475" spans="1:18">
      <c r="A475" s="86" t="s">
        <v>68</v>
      </c>
      <c r="C475" s="245">
        <v>122</v>
      </c>
      <c r="E475" s="247">
        <v>10.58</v>
      </c>
      <c r="F475" s="247"/>
      <c r="G475" s="43">
        <v>1290.76</v>
      </c>
      <c r="I475" s="42">
        <f t="shared" si="204"/>
        <v>5.4000000000000003E-3</v>
      </c>
      <c r="K475" s="6">
        <f t="shared" si="205"/>
        <v>7</v>
      </c>
      <c r="M475" s="42">
        <f t="shared" si="206"/>
        <v>5.3230600000000001E-3</v>
      </c>
      <c r="O475" s="6">
        <f t="shared" si="207"/>
        <v>7</v>
      </c>
      <c r="Q475" s="263"/>
      <c r="R475" s="263"/>
    </row>
    <row r="476" spans="1:18">
      <c r="A476" s="86" t="s">
        <v>84</v>
      </c>
      <c r="C476" s="245">
        <v>352</v>
      </c>
      <c r="E476" s="247">
        <v>11.45</v>
      </c>
      <c r="F476" s="247"/>
      <c r="G476" s="43">
        <v>4030.3999999999996</v>
      </c>
      <c r="I476" s="42">
        <f t="shared" si="204"/>
        <v>5.4000000000000003E-3</v>
      </c>
      <c r="K476" s="6">
        <f t="shared" si="205"/>
        <v>22</v>
      </c>
      <c r="M476" s="42">
        <f t="shared" si="206"/>
        <v>5.3230600000000001E-3</v>
      </c>
      <c r="O476" s="6">
        <f t="shared" si="207"/>
        <v>21</v>
      </c>
      <c r="Q476" s="263"/>
      <c r="R476" s="263"/>
    </row>
    <row r="477" spans="1:18">
      <c r="A477" s="304" t="s">
        <v>85</v>
      </c>
      <c r="E477" s="247"/>
      <c r="F477" s="247"/>
      <c r="I477" s="247"/>
      <c r="K477" s="6"/>
      <c r="M477" s="247"/>
      <c r="O477" s="6"/>
      <c r="Q477" s="263"/>
      <c r="R477" s="263"/>
    </row>
    <row r="478" spans="1:18">
      <c r="A478" s="86" t="s">
        <v>86</v>
      </c>
      <c r="C478" s="245">
        <v>0</v>
      </c>
      <c r="E478" s="247">
        <v>2.72</v>
      </c>
      <c r="F478" s="247"/>
      <c r="G478" s="43">
        <v>0</v>
      </c>
      <c r="I478" s="42">
        <f t="shared" ref="I478:I479" si="208">$I$438</f>
        <v>5.4000000000000003E-3</v>
      </c>
      <c r="K478" s="6">
        <f t="shared" ref="K478:K479" si="209">ROUND($G478*I478,0)</f>
        <v>0</v>
      </c>
      <c r="M478" s="42">
        <f t="shared" ref="M478:M479" si="210">$M$438</f>
        <v>5.3230600000000001E-3</v>
      </c>
      <c r="O478" s="6">
        <f t="shared" ref="O478:O479" si="211">ROUND($G478*M478,0)</f>
        <v>0</v>
      </c>
      <c r="Q478" s="263"/>
      <c r="R478" s="263"/>
    </row>
    <row r="479" spans="1:18">
      <c r="A479" s="86" t="s">
        <v>87</v>
      </c>
      <c r="C479" s="245">
        <v>53</v>
      </c>
      <c r="E479" s="247">
        <v>10.1</v>
      </c>
      <c r="F479" s="247"/>
      <c r="G479" s="43">
        <v>535.29999999999995</v>
      </c>
      <c r="I479" s="42">
        <f t="shared" si="208"/>
        <v>5.4000000000000003E-3</v>
      </c>
      <c r="K479" s="6">
        <f t="shared" si="209"/>
        <v>3</v>
      </c>
      <c r="M479" s="42">
        <f t="shared" si="210"/>
        <v>5.3230600000000001E-3</v>
      </c>
      <c r="O479" s="6">
        <f t="shared" si="211"/>
        <v>3</v>
      </c>
      <c r="Q479" s="263"/>
      <c r="R479" s="263"/>
    </row>
    <row r="480" spans="1:18">
      <c r="A480" s="305" t="s">
        <v>88</v>
      </c>
      <c r="E480" s="247"/>
      <c r="F480" s="247"/>
      <c r="I480" s="247"/>
      <c r="K480" s="6"/>
      <c r="M480" s="247"/>
      <c r="O480" s="6"/>
      <c r="Q480" s="263"/>
      <c r="R480" s="263"/>
    </row>
    <row r="481" spans="1:18">
      <c r="A481" s="304" t="s">
        <v>71</v>
      </c>
      <c r="E481" s="247"/>
      <c r="F481" s="247"/>
      <c r="I481" s="247"/>
      <c r="K481" s="6"/>
      <c r="M481" s="247"/>
      <c r="O481" s="6"/>
      <c r="Q481" s="263"/>
      <c r="R481" s="263"/>
    </row>
    <row r="482" spans="1:18">
      <c r="A482" s="86" t="s">
        <v>54</v>
      </c>
      <c r="C482" s="245">
        <v>37</v>
      </c>
      <c r="E482" s="247">
        <v>12.86</v>
      </c>
      <c r="F482" s="247"/>
      <c r="G482" s="43">
        <v>475.82</v>
      </c>
      <c r="I482" s="42">
        <f t="shared" ref="I482:I483" si="212">$I$438</f>
        <v>5.4000000000000003E-3</v>
      </c>
      <c r="K482" s="6">
        <f t="shared" ref="K482:K483" si="213">ROUND($G482*I482,0)</f>
        <v>3</v>
      </c>
      <c r="M482" s="42">
        <f t="shared" ref="M482:M483" si="214">$M$438</f>
        <v>5.3230600000000001E-3</v>
      </c>
      <c r="O482" s="6">
        <f t="shared" ref="O482:O483" si="215">ROUND($G482*M482,0)</f>
        <v>3</v>
      </c>
      <c r="Q482" s="263"/>
      <c r="R482" s="263"/>
    </row>
    <row r="483" spans="1:18">
      <c r="A483" s="86" t="s">
        <v>53</v>
      </c>
      <c r="C483" s="245">
        <v>12</v>
      </c>
      <c r="E483" s="247">
        <v>16.97</v>
      </c>
      <c r="F483" s="247"/>
      <c r="G483" s="43">
        <v>203.64</v>
      </c>
      <c r="I483" s="42">
        <f t="shared" si="212"/>
        <v>5.4000000000000003E-3</v>
      </c>
      <c r="K483" s="6">
        <f t="shared" si="213"/>
        <v>1</v>
      </c>
      <c r="M483" s="42">
        <f t="shared" si="214"/>
        <v>5.3230600000000001E-3</v>
      </c>
      <c r="O483" s="6">
        <f t="shared" si="215"/>
        <v>1</v>
      </c>
      <c r="Q483" s="263"/>
      <c r="R483" s="263"/>
    </row>
    <row r="484" spans="1:18">
      <c r="A484" s="304" t="s">
        <v>73</v>
      </c>
      <c r="I484" s="70"/>
      <c r="K484" s="6"/>
      <c r="M484" s="70"/>
      <c r="O484" s="6"/>
      <c r="Q484" s="263"/>
      <c r="R484" s="263"/>
    </row>
    <row r="485" spans="1:18">
      <c r="A485" s="86" t="s">
        <v>20</v>
      </c>
      <c r="C485" s="245">
        <v>25</v>
      </c>
      <c r="E485" s="247">
        <v>5.82</v>
      </c>
      <c r="F485" s="247"/>
      <c r="G485" s="43">
        <v>145.5</v>
      </c>
      <c r="I485" s="42">
        <f t="shared" ref="I485:I487" si="216">$I$438</f>
        <v>5.4000000000000003E-3</v>
      </c>
      <c r="K485" s="6">
        <f t="shared" ref="K485:K487" si="217">ROUND($G485*I485,0)</f>
        <v>1</v>
      </c>
      <c r="M485" s="42">
        <f t="shared" ref="M485:M487" si="218">$M$438</f>
        <v>5.3230600000000001E-3</v>
      </c>
      <c r="O485" s="6">
        <f t="shared" ref="O485:O487" si="219">ROUND($G485*M485,0)</f>
        <v>1</v>
      </c>
      <c r="Q485" s="263"/>
      <c r="R485" s="263"/>
    </row>
    <row r="486" spans="1:18">
      <c r="A486" s="86" t="s">
        <v>21</v>
      </c>
      <c r="C486" s="245">
        <v>0</v>
      </c>
      <c r="E486" s="247">
        <v>11.1</v>
      </c>
      <c r="F486" s="247"/>
      <c r="G486" s="43">
        <v>0</v>
      </c>
      <c r="I486" s="42">
        <f t="shared" si="216"/>
        <v>5.4000000000000003E-3</v>
      </c>
      <c r="K486" s="6">
        <f t="shared" si="217"/>
        <v>0</v>
      </c>
      <c r="M486" s="42">
        <f t="shared" si="218"/>
        <v>5.3230600000000001E-3</v>
      </c>
      <c r="O486" s="6">
        <f t="shared" si="219"/>
        <v>0</v>
      </c>
      <c r="Q486" s="263"/>
      <c r="R486" s="263"/>
    </row>
    <row r="487" spans="1:18">
      <c r="A487" s="86" t="s">
        <v>74</v>
      </c>
      <c r="C487" s="245">
        <v>0</v>
      </c>
      <c r="E487" s="247">
        <v>23.56</v>
      </c>
      <c r="F487" s="247"/>
      <c r="G487" s="43">
        <v>0</v>
      </c>
      <c r="I487" s="42">
        <f t="shared" si="216"/>
        <v>5.4000000000000003E-3</v>
      </c>
      <c r="K487" s="6">
        <f t="shared" si="217"/>
        <v>0</v>
      </c>
      <c r="M487" s="42">
        <f t="shared" si="218"/>
        <v>5.3230600000000001E-3</v>
      </c>
      <c r="O487" s="6">
        <f t="shared" si="219"/>
        <v>0</v>
      </c>
    </row>
    <row r="488" spans="1:18" ht="14.25" customHeight="1">
      <c r="A488" s="304" t="s">
        <v>50</v>
      </c>
      <c r="E488" s="261"/>
      <c r="F488" s="261"/>
      <c r="I488" s="261"/>
      <c r="K488" s="6"/>
      <c r="M488" s="261"/>
      <c r="O488" s="6"/>
    </row>
    <row r="489" spans="1:18">
      <c r="A489" s="86" t="s">
        <v>60</v>
      </c>
      <c r="C489" s="245">
        <v>4183</v>
      </c>
      <c r="E489" s="247">
        <v>3.39</v>
      </c>
      <c r="F489" s="247"/>
      <c r="G489" s="43">
        <v>14180.37</v>
      </c>
      <c r="I489" s="42">
        <f t="shared" ref="I489:I494" si="220">$I$438</f>
        <v>5.4000000000000003E-3</v>
      </c>
      <c r="K489" s="6">
        <f t="shared" ref="K489:K494" si="221">ROUND($G489*I489,0)</f>
        <v>77</v>
      </c>
      <c r="M489" s="42">
        <f t="shared" ref="M489:M494" si="222">$M$438</f>
        <v>5.3230600000000001E-3</v>
      </c>
      <c r="O489" s="6">
        <f t="shared" ref="O489:O494" si="223">ROUND($G489*M489,0)</f>
        <v>75</v>
      </c>
    </row>
    <row r="490" spans="1:18">
      <c r="A490" s="86" t="s">
        <v>61</v>
      </c>
      <c r="C490" s="245">
        <v>7164</v>
      </c>
      <c r="E490" s="247">
        <v>4.47</v>
      </c>
      <c r="F490" s="247"/>
      <c r="G490" s="43">
        <v>32023.079999999998</v>
      </c>
      <c r="I490" s="42">
        <f t="shared" si="220"/>
        <v>5.4000000000000003E-3</v>
      </c>
      <c r="K490" s="6">
        <f t="shared" si="221"/>
        <v>173</v>
      </c>
      <c r="M490" s="42">
        <f t="shared" si="222"/>
        <v>5.3230600000000001E-3</v>
      </c>
      <c r="O490" s="6">
        <f t="shared" si="223"/>
        <v>170</v>
      </c>
    </row>
    <row r="491" spans="1:18">
      <c r="A491" s="86" t="s">
        <v>62</v>
      </c>
      <c r="C491" s="245">
        <v>597</v>
      </c>
      <c r="E491" s="247">
        <v>5.42</v>
      </c>
      <c r="F491" s="247"/>
      <c r="G491" s="43">
        <v>3235.74</v>
      </c>
      <c r="I491" s="42">
        <f t="shared" si="220"/>
        <v>5.4000000000000003E-3</v>
      </c>
      <c r="K491" s="6">
        <f t="shared" si="221"/>
        <v>17</v>
      </c>
      <c r="M491" s="42">
        <f t="shared" si="222"/>
        <v>5.3230600000000001E-3</v>
      </c>
      <c r="O491" s="6">
        <f t="shared" si="223"/>
        <v>17</v>
      </c>
    </row>
    <row r="492" spans="1:18">
      <c r="A492" s="86" t="s">
        <v>22</v>
      </c>
      <c r="C492" s="245">
        <v>0</v>
      </c>
      <c r="E492" s="247">
        <v>6.85</v>
      </c>
      <c r="F492" s="247"/>
      <c r="G492" s="43">
        <v>0</v>
      </c>
      <c r="I492" s="42">
        <f t="shared" si="220"/>
        <v>5.4000000000000003E-3</v>
      </c>
      <c r="K492" s="6">
        <f t="shared" si="221"/>
        <v>0</v>
      </c>
      <c r="M492" s="42">
        <f t="shared" si="222"/>
        <v>5.3230600000000001E-3</v>
      </c>
      <c r="O492" s="6">
        <f t="shared" si="223"/>
        <v>0</v>
      </c>
    </row>
    <row r="493" spans="1:18">
      <c r="A493" s="86" t="s">
        <v>63</v>
      </c>
      <c r="C493" s="245">
        <v>1267</v>
      </c>
      <c r="E493" s="247">
        <v>7.97</v>
      </c>
      <c r="F493" s="247"/>
      <c r="G493" s="43">
        <v>10097.99</v>
      </c>
      <c r="I493" s="42">
        <f t="shared" si="220"/>
        <v>5.4000000000000003E-3</v>
      </c>
      <c r="K493" s="6">
        <f t="shared" si="221"/>
        <v>55</v>
      </c>
      <c r="M493" s="42">
        <f t="shared" si="222"/>
        <v>5.3230600000000001E-3</v>
      </c>
      <c r="O493" s="6">
        <f t="shared" si="223"/>
        <v>54</v>
      </c>
    </row>
    <row r="494" spans="1:18">
      <c r="A494" s="86" t="s">
        <v>64</v>
      </c>
      <c r="C494" s="245">
        <v>1657</v>
      </c>
      <c r="E494" s="247">
        <v>11.62</v>
      </c>
      <c r="F494" s="247"/>
      <c r="G494" s="43">
        <v>19254.34</v>
      </c>
      <c r="I494" s="42">
        <f t="shared" si="220"/>
        <v>5.4000000000000003E-3</v>
      </c>
      <c r="K494" s="6">
        <f t="shared" si="221"/>
        <v>104</v>
      </c>
      <c r="M494" s="42">
        <f t="shared" si="222"/>
        <v>5.3230600000000001E-3</v>
      </c>
      <c r="O494" s="6">
        <f t="shared" si="223"/>
        <v>102</v>
      </c>
    </row>
    <row r="495" spans="1:18">
      <c r="A495" s="304" t="s">
        <v>51</v>
      </c>
      <c r="I495" s="70"/>
      <c r="K495" s="43"/>
      <c r="M495" s="70"/>
    </row>
    <row r="496" spans="1:18">
      <c r="A496" s="86" t="s">
        <v>66</v>
      </c>
      <c r="C496" s="245">
        <v>35</v>
      </c>
      <c r="E496" s="247">
        <v>11.3</v>
      </c>
      <c r="F496" s="247"/>
      <c r="G496" s="43">
        <v>395.5</v>
      </c>
      <c r="I496" s="42">
        <f t="shared" ref="I496:I499" si="224">$I$438</f>
        <v>5.4000000000000003E-3</v>
      </c>
      <c r="K496" s="6">
        <f t="shared" ref="K496:K499" si="225">ROUND($G496*I496,0)</f>
        <v>2</v>
      </c>
      <c r="M496" s="42">
        <f t="shared" ref="M496:M499" si="226">$M$438</f>
        <v>5.3230600000000001E-3</v>
      </c>
      <c r="O496" s="6">
        <f t="shared" ref="O496:O499" si="227">ROUND($G496*M496,0)</f>
        <v>2</v>
      </c>
    </row>
    <row r="497" spans="1:18">
      <c r="A497" s="86" t="s">
        <v>67</v>
      </c>
      <c r="C497" s="245">
        <v>748</v>
      </c>
      <c r="E497" s="247">
        <v>11.41</v>
      </c>
      <c r="F497" s="247"/>
      <c r="G497" s="43">
        <v>8534.68</v>
      </c>
      <c r="I497" s="42">
        <f t="shared" si="224"/>
        <v>5.4000000000000003E-3</v>
      </c>
      <c r="K497" s="6">
        <f t="shared" si="225"/>
        <v>46</v>
      </c>
      <c r="M497" s="42">
        <f t="shared" si="226"/>
        <v>5.3230600000000001E-3</v>
      </c>
      <c r="O497" s="6">
        <f t="shared" si="227"/>
        <v>45</v>
      </c>
    </row>
    <row r="498" spans="1:18">
      <c r="A498" s="86" t="s">
        <v>68</v>
      </c>
      <c r="C498" s="245">
        <v>697</v>
      </c>
      <c r="E498" s="247">
        <v>12.13</v>
      </c>
      <c r="F498" s="247"/>
      <c r="G498" s="43">
        <v>8454.61</v>
      </c>
      <c r="I498" s="42">
        <f t="shared" si="224"/>
        <v>5.4000000000000003E-3</v>
      </c>
      <c r="K498" s="6">
        <f t="shared" si="225"/>
        <v>46</v>
      </c>
      <c r="M498" s="42">
        <f t="shared" si="226"/>
        <v>5.3230600000000001E-3</v>
      </c>
      <c r="O498" s="6">
        <f t="shared" si="227"/>
        <v>45</v>
      </c>
    </row>
    <row r="499" spans="1:18">
      <c r="A499" s="86" t="s">
        <v>89</v>
      </c>
      <c r="C499" s="245">
        <v>0</v>
      </c>
      <c r="E499" s="247">
        <v>23.97</v>
      </c>
      <c r="F499" s="247"/>
      <c r="G499" s="43">
        <v>0</v>
      </c>
      <c r="I499" s="42">
        <f t="shared" si="224"/>
        <v>5.4000000000000003E-3</v>
      </c>
      <c r="K499" s="6">
        <f t="shared" si="225"/>
        <v>0</v>
      </c>
      <c r="M499" s="42">
        <f t="shared" si="226"/>
        <v>5.3230600000000001E-3</v>
      </c>
      <c r="O499" s="6">
        <f t="shared" si="227"/>
        <v>0</v>
      </c>
    </row>
    <row r="500" spans="1:18">
      <c r="A500" s="86" t="s">
        <v>23</v>
      </c>
      <c r="C500" s="301">
        <v>1229</v>
      </c>
      <c r="I500" s="70"/>
      <c r="K500" s="6"/>
      <c r="M500" s="70"/>
      <c r="O500" s="6"/>
    </row>
    <row r="501" spans="1:18" ht="16.5" thickBot="1">
      <c r="A501" s="86" t="s">
        <v>56</v>
      </c>
      <c r="C501" s="302">
        <v>26868874.204370789</v>
      </c>
      <c r="E501" s="16"/>
      <c r="F501" s="47"/>
      <c r="G501" s="185">
        <v>1384878.4946300006</v>
      </c>
      <c r="I501" s="16"/>
      <c r="K501" s="13">
        <f>SUM(K438:K500)</f>
        <v>7481</v>
      </c>
      <c r="M501" s="16"/>
      <c r="O501" s="13">
        <f>SUM(O438:O500)</f>
        <v>7372</v>
      </c>
    </row>
    <row r="502" spans="1:18" ht="16.5" thickTop="1">
      <c r="A502" s="86"/>
      <c r="C502" s="301"/>
      <c r="I502" s="70"/>
      <c r="K502" s="10"/>
      <c r="M502" s="70"/>
      <c r="O502" s="10"/>
    </row>
    <row r="503" spans="1:18">
      <c r="A503" s="305" t="s">
        <v>206</v>
      </c>
      <c r="I503" s="70"/>
      <c r="K503" s="10"/>
      <c r="M503" s="70"/>
      <c r="O503" s="10"/>
      <c r="Q503" s="275" t="s">
        <v>11</v>
      </c>
      <c r="R503" s="7">
        <f>O509</f>
        <v>4158</v>
      </c>
    </row>
    <row r="504" spans="1:18">
      <c r="A504" s="86" t="s">
        <v>90</v>
      </c>
      <c r="C504" s="245">
        <v>21139</v>
      </c>
      <c r="E504" s="247">
        <v>7</v>
      </c>
      <c r="F504" s="247"/>
      <c r="G504" s="43">
        <v>147973</v>
      </c>
      <c r="I504" s="247"/>
      <c r="K504" s="6"/>
      <c r="M504" s="247"/>
      <c r="O504" s="6"/>
      <c r="Q504" s="249" t="s">
        <v>12</v>
      </c>
      <c r="R504" s="8">
        <f>'Exhibit-RMP(RMM-3) page 2'!K43*1000</f>
        <v>4157.9142519340494</v>
      </c>
    </row>
    <row r="505" spans="1:18">
      <c r="A505" s="86" t="s">
        <v>91</v>
      </c>
      <c r="C505" s="245">
        <v>638</v>
      </c>
      <c r="E505" s="247">
        <v>49.02</v>
      </c>
      <c r="F505" s="247"/>
      <c r="G505" s="43">
        <v>31275</v>
      </c>
      <c r="I505" s="247"/>
      <c r="K505" s="6"/>
      <c r="M505" s="247"/>
      <c r="O505" s="6"/>
      <c r="Q505" s="250" t="s">
        <v>13</v>
      </c>
      <c r="R505" s="9">
        <f>R504-R503</f>
        <v>-8.5748065950610908E-2</v>
      </c>
    </row>
    <row r="506" spans="1:18">
      <c r="A506" s="86" t="s">
        <v>92</v>
      </c>
      <c r="C506" s="245">
        <v>0</v>
      </c>
      <c r="E506" s="247">
        <v>84.02000000000001</v>
      </c>
      <c r="F506" s="247"/>
      <c r="G506" s="43">
        <v>0</v>
      </c>
      <c r="I506" s="247"/>
      <c r="K506" s="6"/>
      <c r="M506" s="247"/>
      <c r="O506" s="6"/>
      <c r="Q506" s="373"/>
      <c r="R506" s="374"/>
    </row>
    <row r="507" spans="1:18">
      <c r="A507" s="86" t="s">
        <v>93</v>
      </c>
      <c r="C507" s="245">
        <v>7644</v>
      </c>
      <c r="E507" s="247">
        <v>4.1900000000000004</v>
      </c>
      <c r="F507" s="247"/>
      <c r="G507" s="43">
        <v>32028</v>
      </c>
      <c r="I507" s="247"/>
      <c r="K507" s="6"/>
      <c r="M507" s="247"/>
      <c r="O507" s="6"/>
      <c r="Q507" s="2"/>
      <c r="R507" s="375"/>
    </row>
    <row r="508" spans="1:18">
      <c r="A508" s="86" t="s">
        <v>94</v>
      </c>
      <c r="C508" s="245">
        <v>15963151.062719233</v>
      </c>
      <c r="E508" s="306">
        <v>3.5697000000000001</v>
      </c>
      <c r="F508" s="253" t="s">
        <v>10</v>
      </c>
      <c r="G508" s="43">
        <v>569837</v>
      </c>
      <c r="I508" s="358">
        <v>7.1000000000000004E-3</v>
      </c>
      <c r="K508" s="6">
        <f t="shared" ref="K508" si="228">ROUND($G508*I508,0)</f>
        <v>4046</v>
      </c>
      <c r="M508" s="358">
        <f>R504/G508</f>
        <v>7.2966729993560429E-3</v>
      </c>
      <c r="O508" s="6">
        <f t="shared" ref="O508" si="229">ROUND($G508*M508,0)</f>
        <v>4158</v>
      </c>
      <c r="Q508" s="263"/>
      <c r="R508" s="263"/>
    </row>
    <row r="509" spans="1:18" ht="16.5" thickBot="1">
      <c r="A509" s="70" t="s">
        <v>56</v>
      </c>
      <c r="C509" s="278">
        <v>15963151.062719233</v>
      </c>
      <c r="E509" s="74"/>
      <c r="G509" s="279">
        <v>781113</v>
      </c>
      <c r="I509" s="74"/>
      <c r="K509" s="13">
        <f>SUM(K504:K508)</f>
        <v>4046</v>
      </c>
      <c r="M509" s="74"/>
      <c r="O509" s="13">
        <f>SUM(O504:O508)</f>
        <v>4158</v>
      </c>
    </row>
    <row r="510" spans="1:18" ht="16.5" thickTop="1">
      <c r="A510" s="86"/>
      <c r="C510" s="301"/>
      <c r="I510" s="70"/>
      <c r="K510" s="6"/>
      <c r="M510" s="70"/>
      <c r="O510" s="6"/>
    </row>
    <row r="511" spans="1:18">
      <c r="A511" s="305" t="s">
        <v>207</v>
      </c>
      <c r="I511" s="70"/>
      <c r="K511" s="10"/>
      <c r="M511" s="70"/>
      <c r="O511" s="10"/>
      <c r="Q511" s="275" t="s">
        <v>11</v>
      </c>
      <c r="R511" s="7">
        <f>O514</f>
        <v>4272</v>
      </c>
    </row>
    <row r="512" spans="1:18">
      <c r="A512" s="86" t="s">
        <v>95</v>
      </c>
      <c r="C512" s="245">
        <v>32811</v>
      </c>
      <c r="E512" s="247">
        <v>5.5</v>
      </c>
      <c r="F512" s="247"/>
      <c r="G512" s="43">
        <v>180461</v>
      </c>
      <c r="I512" s="247"/>
      <c r="K512" s="6"/>
      <c r="M512" s="247"/>
      <c r="O512" s="6"/>
      <c r="Q512" s="249" t="s">
        <v>12</v>
      </c>
      <c r="R512" s="8">
        <f>'Exhibit-RMP(RMM-3) page 2'!K44*1000</f>
        <v>4272.344152183854</v>
      </c>
    </row>
    <row r="513" spans="1:18">
      <c r="A513" s="86" t="s">
        <v>94</v>
      </c>
      <c r="C513" s="245">
        <v>7776370.4443165418</v>
      </c>
      <c r="E513" s="306">
        <v>8.0005000000000006</v>
      </c>
      <c r="F513" s="253" t="s">
        <v>10</v>
      </c>
      <c r="G513" s="43">
        <v>622149</v>
      </c>
      <c r="I513" s="358">
        <v>7.1000000000000004E-3</v>
      </c>
      <c r="K513" s="6">
        <f t="shared" ref="K513" si="230">ROUND($G513*I513,0)</f>
        <v>4417</v>
      </c>
      <c r="M513" s="358">
        <f>R512/G513</f>
        <v>6.8670754950724893E-3</v>
      </c>
      <c r="O513" s="6">
        <f t="shared" ref="O513" si="231">ROUND($G513*M513,0)</f>
        <v>4272</v>
      </c>
      <c r="Q513" s="250" t="s">
        <v>13</v>
      </c>
      <c r="R513" s="9">
        <f>R512-R511</f>
        <v>0.34415218385402113</v>
      </c>
    </row>
    <row r="514" spans="1:18" ht="16.5" thickBot="1">
      <c r="A514" s="70" t="s">
        <v>56</v>
      </c>
      <c r="C514" s="278">
        <v>7776370.4443165418</v>
      </c>
      <c r="E514" s="74"/>
      <c r="G514" s="279">
        <v>802610</v>
      </c>
      <c r="I514" s="74"/>
      <c r="K514" s="13">
        <f>SUM(K512:K513)</f>
        <v>4417</v>
      </c>
      <c r="M514" s="74"/>
      <c r="O514" s="13">
        <f>SUM(O512:O513)</f>
        <v>4272</v>
      </c>
      <c r="Q514" s="373"/>
      <c r="R514" s="374"/>
    </row>
    <row r="515" spans="1:18" ht="16.5" thickTop="1">
      <c r="I515" s="70"/>
      <c r="K515" s="43"/>
      <c r="M515" s="70"/>
      <c r="Q515" s="2"/>
      <c r="R515" s="375"/>
    </row>
    <row r="516" spans="1:18">
      <c r="A516" s="246" t="s">
        <v>96</v>
      </c>
      <c r="I516" s="70"/>
      <c r="K516" s="166"/>
      <c r="M516" s="70"/>
      <c r="O516" s="166"/>
      <c r="Q516" s="263"/>
      <c r="R516" s="263"/>
    </row>
    <row r="517" spans="1:18">
      <c r="A517" s="246" t="s">
        <v>267</v>
      </c>
      <c r="I517" s="70"/>
      <c r="K517" s="43"/>
      <c r="M517" s="70"/>
    </row>
    <row r="518" spans="1:18">
      <c r="A518" s="86" t="s">
        <v>7</v>
      </c>
      <c r="C518" s="245">
        <v>15</v>
      </c>
      <c r="E518" s="247">
        <v>53</v>
      </c>
      <c r="F518" s="247"/>
      <c r="G518" s="307">
        <v>795</v>
      </c>
      <c r="I518" s="247"/>
      <c r="K518" s="6"/>
      <c r="M518" s="247"/>
      <c r="O518" s="6"/>
    </row>
    <row r="519" spans="1:18">
      <c r="A519" s="86" t="s">
        <v>16</v>
      </c>
      <c r="C519" s="245">
        <v>0</v>
      </c>
      <c r="E519" s="247">
        <v>-0.61</v>
      </c>
      <c r="F519" s="247"/>
      <c r="G519" s="307">
        <v>0</v>
      </c>
      <c r="I519" s="360">
        <f>$I$286</f>
        <v>5.5999999999999999E-3</v>
      </c>
      <c r="K519" s="6">
        <f t="shared" ref="K519:K527" si="232">ROUND($G519*I519,0)</f>
        <v>0</v>
      </c>
      <c r="M519" s="360">
        <f t="shared" ref="M519:M527" si="233">$M$286</f>
        <v>5.5327500000000003E-3</v>
      </c>
      <c r="O519" s="6">
        <f t="shared" ref="O519:O527" si="234">ROUND($G519*M519,0)</f>
        <v>0</v>
      </c>
    </row>
    <row r="520" spans="1:18">
      <c r="A520" s="86" t="s">
        <v>237</v>
      </c>
      <c r="C520" s="245">
        <v>82147.641464615925</v>
      </c>
      <c r="D520" s="261"/>
      <c r="E520" s="280">
        <v>22.156199999999998</v>
      </c>
      <c r="F520" s="253" t="s">
        <v>10</v>
      </c>
      <c r="G520" s="43">
        <v>18201</v>
      </c>
      <c r="H520" s="261"/>
      <c r="I520" s="360">
        <f t="shared" ref="I520:I527" si="235">$I$286</f>
        <v>5.5999999999999999E-3</v>
      </c>
      <c r="J520" s="261"/>
      <c r="K520" s="6">
        <f t="shared" si="232"/>
        <v>102</v>
      </c>
      <c r="L520" s="261"/>
      <c r="M520" s="360">
        <f t="shared" si="233"/>
        <v>5.5327500000000003E-3</v>
      </c>
      <c r="N520" s="261"/>
      <c r="O520" s="6">
        <f t="shared" si="234"/>
        <v>101</v>
      </c>
    </row>
    <row r="521" spans="1:18">
      <c r="A521" s="86" t="s">
        <v>238</v>
      </c>
      <c r="C521" s="245">
        <v>0</v>
      </c>
      <c r="D521" s="261"/>
      <c r="E521" s="280">
        <v>4.309899999999999</v>
      </c>
      <c r="F521" s="253" t="s">
        <v>10</v>
      </c>
      <c r="G521" s="43">
        <v>0</v>
      </c>
      <c r="H521" s="261"/>
      <c r="I521" s="360">
        <f t="shared" si="235"/>
        <v>5.5999999999999999E-3</v>
      </c>
      <c r="J521" s="261"/>
      <c r="K521" s="6">
        <f t="shared" si="232"/>
        <v>0</v>
      </c>
      <c r="L521" s="261"/>
      <c r="M521" s="360">
        <f t="shared" si="233"/>
        <v>5.5327500000000003E-3</v>
      </c>
      <c r="N521" s="261"/>
      <c r="O521" s="6">
        <f t="shared" si="234"/>
        <v>0</v>
      </c>
    </row>
    <row r="522" spans="1:18">
      <c r="A522" s="86" t="s">
        <v>239</v>
      </c>
      <c r="C522" s="245">
        <v>156310.35853538409</v>
      </c>
      <c r="D522" s="261"/>
      <c r="E522" s="280">
        <v>19.607299999999999</v>
      </c>
      <c r="F522" s="253" t="s">
        <v>10</v>
      </c>
      <c r="G522" s="43">
        <v>30648</v>
      </c>
      <c r="H522" s="261"/>
      <c r="I522" s="360">
        <f t="shared" si="235"/>
        <v>5.5999999999999999E-3</v>
      </c>
      <c r="J522" s="261"/>
      <c r="K522" s="6">
        <f t="shared" si="232"/>
        <v>172</v>
      </c>
      <c r="L522" s="261"/>
      <c r="M522" s="360">
        <f t="shared" si="233"/>
        <v>5.5327500000000003E-3</v>
      </c>
      <c r="N522" s="261"/>
      <c r="O522" s="6">
        <f t="shared" si="234"/>
        <v>170</v>
      </c>
    </row>
    <row r="523" spans="1:18">
      <c r="A523" s="86" t="s">
        <v>240</v>
      </c>
      <c r="C523" s="245">
        <v>0</v>
      </c>
      <c r="D523" s="261"/>
      <c r="E523" s="280">
        <v>3.8140999999999989</v>
      </c>
      <c r="F523" s="253" t="s">
        <v>10</v>
      </c>
      <c r="G523" s="43">
        <v>0</v>
      </c>
      <c r="H523" s="261"/>
      <c r="I523" s="360">
        <f t="shared" si="235"/>
        <v>5.5999999999999999E-3</v>
      </c>
      <c r="J523" s="261"/>
      <c r="K523" s="6">
        <f t="shared" si="232"/>
        <v>0</v>
      </c>
      <c r="L523" s="261"/>
      <c r="M523" s="360">
        <f t="shared" si="233"/>
        <v>5.5327500000000003E-3</v>
      </c>
      <c r="N523" s="261"/>
      <c r="O523" s="6">
        <f t="shared" si="234"/>
        <v>0</v>
      </c>
    </row>
    <row r="524" spans="1:18">
      <c r="A524" s="86" t="s">
        <v>241</v>
      </c>
      <c r="C524" s="245">
        <v>45620.73407194746</v>
      </c>
      <c r="D524" s="261"/>
      <c r="E524" s="280">
        <v>6</v>
      </c>
      <c r="F524" s="253" t="s">
        <v>10</v>
      </c>
      <c r="G524" s="43">
        <v>2737</v>
      </c>
      <c r="H524" s="261"/>
      <c r="I524" s="360">
        <f t="shared" si="235"/>
        <v>5.5999999999999999E-3</v>
      </c>
      <c r="J524" s="261"/>
      <c r="K524" s="6">
        <f t="shared" si="232"/>
        <v>15</v>
      </c>
      <c r="L524" s="261"/>
      <c r="M524" s="360">
        <f t="shared" si="233"/>
        <v>5.5327500000000003E-3</v>
      </c>
      <c r="N524" s="261"/>
      <c r="O524" s="6">
        <f t="shared" si="234"/>
        <v>15</v>
      </c>
    </row>
    <row r="525" spans="1:18">
      <c r="A525" s="86" t="s">
        <v>242</v>
      </c>
      <c r="C525" s="245">
        <v>36526.907392668458</v>
      </c>
      <c r="D525" s="261"/>
      <c r="E525" s="280">
        <v>-2.335799999999999</v>
      </c>
      <c r="F525" s="253" t="s">
        <v>10</v>
      </c>
      <c r="G525" s="43">
        <v>-853</v>
      </c>
      <c r="H525" s="261"/>
      <c r="I525" s="360">
        <f t="shared" si="235"/>
        <v>5.5999999999999999E-3</v>
      </c>
      <c r="J525" s="261"/>
      <c r="K525" s="6">
        <f t="shared" si="232"/>
        <v>-5</v>
      </c>
      <c r="L525" s="261"/>
      <c r="M525" s="360">
        <f t="shared" si="233"/>
        <v>5.5327500000000003E-3</v>
      </c>
      <c r="N525" s="261"/>
      <c r="O525" s="6">
        <f t="shared" si="234"/>
        <v>-5</v>
      </c>
    </row>
    <row r="526" spans="1:18">
      <c r="A526" s="86" t="s">
        <v>243</v>
      </c>
      <c r="C526" s="245">
        <v>86807.036359103586</v>
      </c>
      <c r="D526" s="261"/>
      <c r="E526" s="280">
        <v>5.3097000000000003</v>
      </c>
      <c r="F526" s="253" t="s">
        <v>10</v>
      </c>
      <c r="G526" s="43">
        <v>4609</v>
      </c>
      <c r="H526" s="261"/>
      <c r="I526" s="360">
        <f t="shared" si="235"/>
        <v>5.5999999999999999E-3</v>
      </c>
      <c r="J526" s="261"/>
      <c r="K526" s="6">
        <f t="shared" si="232"/>
        <v>26</v>
      </c>
      <c r="L526" s="261"/>
      <c r="M526" s="360">
        <f t="shared" si="233"/>
        <v>5.5327500000000003E-3</v>
      </c>
      <c r="N526" s="261"/>
      <c r="O526" s="6">
        <f t="shared" si="234"/>
        <v>26</v>
      </c>
    </row>
    <row r="527" spans="1:18">
      <c r="A527" s="86" t="s">
        <v>244</v>
      </c>
      <c r="C527" s="245">
        <v>69503.322176280475</v>
      </c>
      <c r="D527" s="261"/>
      <c r="E527" s="280">
        <v>-2.0670999999999999</v>
      </c>
      <c r="F527" s="253" t="s">
        <v>10</v>
      </c>
      <c r="G527" s="43">
        <v>-1437</v>
      </c>
      <c r="H527" s="261"/>
      <c r="I527" s="360">
        <f t="shared" si="235"/>
        <v>5.5999999999999999E-3</v>
      </c>
      <c r="J527" s="261"/>
      <c r="K527" s="6">
        <f t="shared" si="232"/>
        <v>-8</v>
      </c>
      <c r="L527" s="261"/>
      <c r="M527" s="360">
        <f t="shared" si="233"/>
        <v>5.5327500000000003E-3</v>
      </c>
      <c r="N527" s="261"/>
      <c r="O527" s="6">
        <f t="shared" si="234"/>
        <v>-8</v>
      </c>
    </row>
    <row r="528" spans="1:18">
      <c r="A528" s="86"/>
      <c r="C528" s="314">
        <f>SUM(C520:C523)</f>
        <v>238458</v>
      </c>
      <c r="E528" s="42"/>
      <c r="F528" s="261"/>
      <c r="G528" s="208">
        <v>54700</v>
      </c>
      <c r="K528" s="208">
        <f>SUM(K518:K527)</f>
        <v>302</v>
      </c>
      <c r="O528" s="208">
        <f>SUM(O518:O527)</f>
        <v>299</v>
      </c>
    </row>
    <row r="529" spans="1:15">
      <c r="A529" s="246" t="s">
        <v>268</v>
      </c>
      <c r="I529" s="70"/>
      <c r="K529" s="43"/>
      <c r="M529" s="70"/>
    </row>
    <row r="530" spans="1:15">
      <c r="A530" s="86" t="s">
        <v>7</v>
      </c>
      <c r="C530" s="245">
        <v>21</v>
      </c>
      <c r="E530" s="247">
        <v>266</v>
      </c>
      <c r="F530" s="247"/>
      <c r="G530" s="307">
        <v>5586</v>
      </c>
      <c r="I530" s="247"/>
      <c r="K530" s="6"/>
      <c r="M530" s="247"/>
      <c r="O530" s="6"/>
    </row>
    <row r="531" spans="1:15">
      <c r="A531" s="86" t="s">
        <v>26</v>
      </c>
      <c r="C531" s="245">
        <v>25595.559913253968</v>
      </c>
      <c r="E531" s="247">
        <v>2.2799999999999998</v>
      </c>
      <c r="F531" s="247"/>
      <c r="G531" s="307">
        <v>58358</v>
      </c>
      <c r="I531" s="42">
        <f t="shared" ref="I531:I537" si="236">$I$346</f>
        <v>5.4000000000000003E-3</v>
      </c>
      <c r="K531" s="6">
        <f t="shared" ref="K531" si="237">ROUND($G531*I531,0)</f>
        <v>315</v>
      </c>
      <c r="M531" s="42">
        <f t="shared" ref="M531:M537" si="238">$M$346</f>
        <v>5.3328899999999999E-3</v>
      </c>
      <c r="O531" s="6">
        <f t="shared" ref="O531" si="239">ROUND($G531*M531,0)</f>
        <v>311</v>
      </c>
    </row>
    <row r="532" spans="1:15">
      <c r="A532" s="86" t="s">
        <v>259</v>
      </c>
      <c r="C532" s="245">
        <v>8667.6960527404663</v>
      </c>
      <c r="E532" s="261">
        <v>14.33</v>
      </c>
      <c r="F532" s="261"/>
      <c r="G532" s="307">
        <v>124208</v>
      </c>
      <c r="I532" s="42">
        <f t="shared" si="236"/>
        <v>5.4000000000000003E-3</v>
      </c>
      <c r="K532" s="6">
        <f t="shared" ref="K532:K537" si="240">ROUND($G532*I532,0)</f>
        <v>671</v>
      </c>
      <c r="M532" s="42">
        <f t="shared" si="238"/>
        <v>5.3328899999999999E-3</v>
      </c>
      <c r="O532" s="6">
        <f t="shared" ref="O532:O537" si="241">ROUND($G532*M532,0)</f>
        <v>662</v>
      </c>
    </row>
    <row r="533" spans="1:15">
      <c r="A533" s="86" t="s">
        <v>260</v>
      </c>
      <c r="C533" s="245">
        <v>16940.838927140219</v>
      </c>
      <c r="E533" s="261">
        <v>12.68</v>
      </c>
      <c r="F533" s="261"/>
      <c r="G533" s="307">
        <v>214810</v>
      </c>
      <c r="I533" s="42">
        <f t="shared" si="236"/>
        <v>5.4000000000000003E-3</v>
      </c>
      <c r="K533" s="6">
        <f t="shared" si="240"/>
        <v>1160</v>
      </c>
      <c r="M533" s="42">
        <f t="shared" si="238"/>
        <v>5.3328899999999999E-3</v>
      </c>
      <c r="O533" s="6">
        <f t="shared" si="241"/>
        <v>1146</v>
      </c>
    </row>
    <row r="534" spans="1:15">
      <c r="A534" s="86" t="s">
        <v>221</v>
      </c>
      <c r="C534" s="245">
        <v>91665.936485583297</v>
      </c>
      <c r="E534" s="276">
        <v>5.1477000000000004</v>
      </c>
      <c r="F534" s="253" t="s">
        <v>10</v>
      </c>
      <c r="G534" s="43">
        <v>4719</v>
      </c>
      <c r="I534" s="42">
        <f t="shared" si="236"/>
        <v>5.4000000000000003E-3</v>
      </c>
      <c r="K534" s="6">
        <f t="shared" si="240"/>
        <v>25</v>
      </c>
      <c r="M534" s="42">
        <f t="shared" si="238"/>
        <v>5.3328899999999999E-3</v>
      </c>
      <c r="O534" s="6">
        <f t="shared" si="241"/>
        <v>25</v>
      </c>
    </row>
    <row r="535" spans="1:15">
      <c r="A535" s="86" t="s">
        <v>261</v>
      </c>
      <c r="C535" s="245">
        <v>244287.58536054517</v>
      </c>
      <c r="E535" s="276">
        <v>4.5555000000000003</v>
      </c>
      <c r="F535" s="253" t="s">
        <v>10</v>
      </c>
      <c r="G535" s="43">
        <v>11129</v>
      </c>
      <c r="I535" s="42">
        <f t="shared" si="236"/>
        <v>5.4000000000000003E-3</v>
      </c>
      <c r="K535" s="6">
        <f t="shared" si="240"/>
        <v>60</v>
      </c>
      <c r="M535" s="42">
        <f t="shared" si="238"/>
        <v>5.3328899999999999E-3</v>
      </c>
      <c r="O535" s="6">
        <f t="shared" si="241"/>
        <v>59</v>
      </c>
    </row>
    <row r="536" spans="1:15">
      <c r="A536" s="86" t="s">
        <v>222</v>
      </c>
      <c r="C536" s="245">
        <v>362605.35849331866</v>
      </c>
      <c r="E536" s="276">
        <v>2.6164999999999998</v>
      </c>
      <c r="F536" s="253" t="s">
        <v>10</v>
      </c>
      <c r="G536" s="43">
        <v>9488</v>
      </c>
      <c r="I536" s="42">
        <f t="shared" si="236"/>
        <v>5.4000000000000003E-3</v>
      </c>
      <c r="K536" s="6">
        <f t="shared" si="240"/>
        <v>51</v>
      </c>
      <c r="M536" s="42">
        <f t="shared" si="238"/>
        <v>5.3328899999999999E-3</v>
      </c>
      <c r="O536" s="6">
        <f t="shared" si="241"/>
        <v>51</v>
      </c>
    </row>
    <row r="537" spans="1:15">
      <c r="A537" s="86" t="s">
        <v>262</v>
      </c>
      <c r="C537" s="245">
        <v>900095.11966055306</v>
      </c>
      <c r="E537" s="276">
        <v>2.3155000000000001</v>
      </c>
      <c r="F537" s="253" t="s">
        <v>10</v>
      </c>
      <c r="G537" s="43">
        <v>20842</v>
      </c>
      <c r="I537" s="42">
        <f t="shared" si="236"/>
        <v>5.4000000000000003E-3</v>
      </c>
      <c r="K537" s="6">
        <f t="shared" si="240"/>
        <v>113</v>
      </c>
      <c r="M537" s="42">
        <f t="shared" si="238"/>
        <v>5.3328899999999999E-3</v>
      </c>
      <c r="O537" s="6">
        <f t="shared" si="241"/>
        <v>111</v>
      </c>
    </row>
    <row r="538" spans="1:15">
      <c r="A538" s="86"/>
      <c r="C538" s="314">
        <f>SUM(C534:C537)</f>
        <v>1598654.0000000002</v>
      </c>
      <c r="E538" s="42"/>
      <c r="F538" s="261"/>
      <c r="G538" s="208">
        <v>449140</v>
      </c>
      <c r="K538" s="208">
        <f>SUM(K530:K537)</f>
        <v>2395</v>
      </c>
      <c r="O538" s="208">
        <f>SUM(O530:O537)</f>
        <v>2365</v>
      </c>
    </row>
    <row r="539" spans="1:15" ht="16.5" thickBot="1">
      <c r="A539" s="86" t="s">
        <v>14</v>
      </c>
      <c r="C539" s="278">
        <v>1837112</v>
      </c>
      <c r="E539" s="74"/>
      <c r="G539" s="279">
        <v>503840</v>
      </c>
      <c r="I539" s="74"/>
      <c r="K539" s="211">
        <f>K528+K538</f>
        <v>2697</v>
      </c>
      <c r="M539" s="74"/>
      <c r="O539" s="211">
        <f>O528+O538</f>
        <v>2664</v>
      </c>
    </row>
    <row r="540" spans="1:15" ht="16.5" thickTop="1">
      <c r="A540" s="86"/>
      <c r="I540" s="70"/>
      <c r="K540" s="43"/>
      <c r="M540" s="70"/>
    </row>
    <row r="541" spans="1:15">
      <c r="A541" s="246" t="s">
        <v>269</v>
      </c>
      <c r="E541" s="276"/>
      <c r="F541" s="276"/>
      <c r="I541" s="276"/>
      <c r="K541" s="43"/>
      <c r="M541" s="276"/>
    </row>
    <row r="542" spans="1:15">
      <c r="A542" s="86" t="s">
        <v>270</v>
      </c>
      <c r="B542" s="86"/>
      <c r="E542" s="308"/>
      <c r="F542" s="247"/>
      <c r="I542" s="308"/>
      <c r="K542" s="43"/>
      <c r="M542" s="308"/>
    </row>
    <row r="543" spans="1:15">
      <c r="A543" s="86" t="s">
        <v>271</v>
      </c>
      <c r="B543" s="86"/>
      <c r="E543" s="308">
        <v>72</v>
      </c>
      <c r="F543" s="247"/>
      <c r="I543" s="357"/>
      <c r="K543" s="43"/>
      <c r="M543" s="357"/>
    </row>
    <row r="544" spans="1:15">
      <c r="A544" s="86" t="s">
        <v>272</v>
      </c>
      <c r="E544" s="308">
        <v>72</v>
      </c>
      <c r="F544" s="247"/>
      <c r="I544" s="357"/>
      <c r="K544" s="43"/>
      <c r="M544" s="357"/>
    </row>
    <row r="545" spans="1:14">
      <c r="A545" s="86" t="s">
        <v>273</v>
      </c>
      <c r="E545" s="308">
        <v>266</v>
      </c>
      <c r="F545" s="261"/>
      <c r="I545" s="357"/>
      <c r="K545" s="43"/>
      <c r="M545" s="357"/>
    </row>
    <row r="546" spans="1:14">
      <c r="A546" s="86" t="s">
        <v>274</v>
      </c>
      <c r="E546" s="308"/>
      <c r="F546" s="309"/>
      <c r="I546" s="308"/>
      <c r="K546" s="43"/>
      <c r="M546" s="308"/>
    </row>
    <row r="547" spans="1:14">
      <c r="A547" s="86" t="s">
        <v>271</v>
      </c>
      <c r="E547" s="308">
        <v>1.41</v>
      </c>
      <c r="F547" s="309"/>
      <c r="I547" s="357">
        <v>5.4999999999999997E-3</v>
      </c>
      <c r="K547" s="43"/>
      <c r="M547" s="357">
        <f>$M$346</f>
        <v>5.3328899999999999E-3</v>
      </c>
    </row>
    <row r="548" spans="1:14">
      <c r="A548" s="86" t="s">
        <v>272</v>
      </c>
      <c r="E548" s="308">
        <v>1.41</v>
      </c>
      <c r="F548" s="309"/>
      <c r="I548" s="357">
        <v>5.4999999999999997E-3</v>
      </c>
      <c r="K548" s="43"/>
      <c r="M548" s="357">
        <f>$M$346</f>
        <v>5.3328899999999999E-3</v>
      </c>
    </row>
    <row r="549" spans="1:14">
      <c r="A549" s="86" t="s">
        <v>273</v>
      </c>
      <c r="E549" s="308">
        <v>1.41</v>
      </c>
      <c r="F549" s="310"/>
      <c r="I549" s="357">
        <v>5.4999999999999997E-3</v>
      </c>
      <c r="K549" s="43"/>
      <c r="M549" s="357">
        <f>$M$346</f>
        <v>5.3328899999999999E-3</v>
      </c>
    </row>
    <row r="550" spans="1:14">
      <c r="A550" s="86" t="s">
        <v>275</v>
      </c>
      <c r="E550" s="308"/>
      <c r="F550" s="310"/>
      <c r="I550" s="308"/>
      <c r="K550" s="43"/>
      <c r="M550" s="308"/>
    </row>
    <row r="551" spans="1:14">
      <c r="A551" s="86" t="s">
        <v>271</v>
      </c>
      <c r="E551" s="308"/>
      <c r="F551" s="310"/>
      <c r="I551" s="308"/>
      <c r="K551" s="43"/>
      <c r="M551" s="308"/>
    </row>
    <row r="552" spans="1:14">
      <c r="A552" s="86" t="s">
        <v>276</v>
      </c>
      <c r="B552" s="86"/>
      <c r="D552" s="86"/>
      <c r="E552" s="308">
        <v>8.3800000000000008</v>
      </c>
      <c r="F552" s="86"/>
      <c r="H552" s="86"/>
      <c r="I552" s="357">
        <v>5.4999999999999997E-3</v>
      </c>
      <c r="J552" s="86"/>
      <c r="K552" s="43"/>
      <c r="L552" s="86"/>
      <c r="M552" s="357">
        <f>$M$346</f>
        <v>5.3328899999999999E-3</v>
      </c>
      <c r="N552" s="86"/>
    </row>
    <row r="553" spans="1:14">
      <c r="A553" s="86" t="s">
        <v>277</v>
      </c>
      <c r="E553" s="308">
        <v>6.02</v>
      </c>
      <c r="F553" s="247"/>
      <c r="I553" s="357">
        <v>5.4999999999999997E-3</v>
      </c>
      <c r="K553" s="43"/>
      <c r="M553" s="357">
        <f>$M$346</f>
        <v>5.3328899999999999E-3</v>
      </c>
    </row>
    <row r="554" spans="1:14">
      <c r="A554" s="86" t="s">
        <v>272</v>
      </c>
      <c r="E554" s="308"/>
      <c r="F554" s="247"/>
      <c r="I554" s="308"/>
      <c r="K554" s="43"/>
      <c r="M554" s="308"/>
    </row>
    <row r="555" spans="1:14">
      <c r="A555" s="86" t="s">
        <v>276</v>
      </c>
      <c r="E555" s="308">
        <v>8.26</v>
      </c>
      <c r="F555" s="309"/>
      <c r="I555" s="357">
        <v>5.4999999999999997E-3</v>
      </c>
      <c r="K555" s="43"/>
      <c r="M555" s="357">
        <f>$M$346</f>
        <v>5.3328899999999999E-3</v>
      </c>
    </row>
    <row r="556" spans="1:14">
      <c r="A556" s="86" t="s">
        <v>277</v>
      </c>
      <c r="E556" s="308">
        <v>5.76</v>
      </c>
      <c r="F556" s="309"/>
      <c r="I556" s="357">
        <v>5.4999999999999997E-3</v>
      </c>
      <c r="K556" s="43"/>
      <c r="M556" s="357">
        <f>$M$346</f>
        <v>5.3328899999999999E-3</v>
      </c>
    </row>
    <row r="557" spans="1:14">
      <c r="A557" s="86" t="s">
        <v>278</v>
      </c>
      <c r="E557" s="308"/>
      <c r="F557" s="309"/>
      <c r="I557" s="308"/>
      <c r="K557" s="43"/>
      <c r="M557" s="308"/>
    </row>
    <row r="558" spans="1:14">
      <c r="A558" s="86" t="s">
        <v>276</v>
      </c>
      <c r="E558" s="308">
        <v>8.0399999999999991</v>
      </c>
      <c r="F558" s="310"/>
      <c r="I558" s="357">
        <v>5.4999999999999997E-3</v>
      </c>
      <c r="K558" s="43"/>
      <c r="M558" s="357">
        <f>$M$346</f>
        <v>5.3328899999999999E-3</v>
      </c>
    </row>
    <row r="559" spans="1:14">
      <c r="A559" s="86" t="s">
        <v>277</v>
      </c>
      <c r="E559" s="308">
        <v>5.45</v>
      </c>
      <c r="F559" s="310"/>
      <c r="I559" s="357">
        <v>5.4999999999999997E-3</v>
      </c>
      <c r="K559" s="43"/>
      <c r="M559" s="357">
        <f>$M$346</f>
        <v>5.3328899999999999E-3</v>
      </c>
    </row>
    <row r="560" spans="1:14">
      <c r="A560" s="86" t="s">
        <v>279</v>
      </c>
      <c r="E560" s="311"/>
      <c r="F560" s="310"/>
      <c r="I560" s="311"/>
      <c r="K560" s="43"/>
      <c r="M560" s="311"/>
    </row>
    <row r="561" spans="1:15">
      <c r="A561" s="86" t="s">
        <v>271</v>
      </c>
      <c r="E561" s="308"/>
      <c r="F561" s="247"/>
      <c r="I561" s="308"/>
      <c r="K561" s="43"/>
      <c r="M561" s="308"/>
    </row>
    <row r="562" spans="1:15">
      <c r="A562" s="86" t="s">
        <v>280</v>
      </c>
      <c r="C562" s="280"/>
      <c r="E562" s="306">
        <v>9.4763000000000002</v>
      </c>
      <c r="F562" s="253" t="s">
        <v>10</v>
      </c>
      <c r="I562" s="357">
        <v>5.4999999999999997E-3</v>
      </c>
      <c r="K562" s="43"/>
      <c r="M562" s="357">
        <f>$M$346</f>
        <v>5.3328899999999999E-3</v>
      </c>
    </row>
    <row r="563" spans="1:15">
      <c r="A563" s="86" t="s">
        <v>281</v>
      </c>
      <c r="C563" s="280"/>
      <c r="E563" s="306">
        <v>5.2117000000000004</v>
      </c>
      <c r="F563" s="253" t="s">
        <v>10</v>
      </c>
      <c r="I563" s="357">
        <v>5.4999999999999997E-3</v>
      </c>
      <c r="K563" s="43"/>
      <c r="M563" s="357">
        <f>$M$346</f>
        <v>5.3328899999999999E-3</v>
      </c>
    </row>
    <row r="564" spans="1:15">
      <c r="A564" s="86" t="s">
        <v>282</v>
      </c>
      <c r="C564" s="280"/>
      <c r="E564" s="306">
        <v>4.2199</v>
      </c>
      <c r="F564" s="253" t="s">
        <v>10</v>
      </c>
      <c r="I564" s="357">
        <v>5.4999999999999997E-3</v>
      </c>
      <c r="K564" s="43"/>
      <c r="M564" s="357">
        <f>$M$346</f>
        <v>5.3328899999999999E-3</v>
      </c>
    </row>
    <row r="565" spans="1:15">
      <c r="A565" s="86" t="s">
        <v>283</v>
      </c>
      <c r="C565" s="280"/>
      <c r="E565" s="306">
        <v>3.5266999999999999</v>
      </c>
      <c r="F565" s="253" t="s">
        <v>10</v>
      </c>
      <c r="I565" s="357">
        <v>5.4999999999999997E-3</v>
      </c>
      <c r="K565" s="43"/>
      <c r="M565" s="357">
        <f>$M$346</f>
        <v>5.3328899999999999E-3</v>
      </c>
    </row>
    <row r="566" spans="1:15">
      <c r="A566" s="86" t="s">
        <v>272</v>
      </c>
      <c r="C566" s="280"/>
      <c r="E566" s="306"/>
      <c r="F566" s="261"/>
      <c r="I566" s="306"/>
      <c r="K566" s="43"/>
      <c r="M566" s="306"/>
    </row>
    <row r="567" spans="1:15">
      <c r="A567" s="86" t="s">
        <v>280</v>
      </c>
      <c r="C567" s="280"/>
      <c r="E567" s="306">
        <v>9.0959000000000003</v>
      </c>
      <c r="F567" s="253" t="s">
        <v>10</v>
      </c>
      <c r="I567" s="357">
        <v>5.4999999999999997E-3</v>
      </c>
      <c r="K567" s="43"/>
      <c r="M567" s="357">
        <f>$M$346</f>
        <v>5.3328899999999999E-3</v>
      </c>
    </row>
    <row r="568" spans="1:15">
      <c r="A568" s="86" t="s">
        <v>281</v>
      </c>
      <c r="C568" s="280"/>
      <c r="E568" s="306">
        <v>4.8312999999999997</v>
      </c>
      <c r="F568" s="253" t="s">
        <v>10</v>
      </c>
      <c r="I568" s="357">
        <v>5.4999999999999997E-3</v>
      </c>
      <c r="K568" s="43"/>
      <c r="M568" s="357">
        <f>$M$346</f>
        <v>5.3328899999999999E-3</v>
      </c>
    </row>
    <row r="569" spans="1:15">
      <c r="A569" s="86" t="s">
        <v>282</v>
      </c>
      <c r="C569" s="280"/>
      <c r="E569" s="306">
        <v>3.8393999999999999</v>
      </c>
      <c r="F569" s="253" t="s">
        <v>10</v>
      </c>
      <c r="I569" s="357">
        <v>5.4999999999999997E-3</v>
      </c>
      <c r="K569" s="43"/>
      <c r="M569" s="357">
        <f>$M$346</f>
        <v>5.3328899999999999E-3</v>
      </c>
    </row>
    <row r="570" spans="1:15">
      <c r="A570" s="86" t="s">
        <v>283</v>
      </c>
      <c r="C570" s="280"/>
      <c r="E570" s="306">
        <v>3.1463000000000001</v>
      </c>
      <c r="F570" s="253" t="s">
        <v>10</v>
      </c>
      <c r="I570" s="357">
        <v>5.4999999999999997E-3</v>
      </c>
      <c r="K570" s="43"/>
      <c r="M570" s="357">
        <f>$M$346</f>
        <v>5.3328899999999999E-3</v>
      </c>
    </row>
    <row r="571" spans="1:15">
      <c r="A571" s="86" t="s">
        <v>273</v>
      </c>
      <c r="C571" s="280"/>
      <c r="E571" s="306"/>
      <c r="F571" s="253"/>
      <c r="I571" s="306"/>
      <c r="K571" s="43"/>
      <c r="M571" s="306"/>
    </row>
    <row r="572" spans="1:15">
      <c r="A572" s="86" t="s">
        <v>280</v>
      </c>
      <c r="C572" s="280"/>
      <c r="E572" s="306">
        <v>8.8978000000000002</v>
      </c>
      <c r="F572" s="253" t="s">
        <v>10</v>
      </c>
      <c r="I572" s="357">
        <v>5.4999999999999997E-3</v>
      </c>
      <c r="K572" s="43"/>
      <c r="M572" s="357">
        <f>$M$346</f>
        <v>5.3328899999999999E-3</v>
      </c>
    </row>
    <row r="573" spans="1:15">
      <c r="A573" s="86" t="s">
        <v>281</v>
      </c>
      <c r="C573" s="280"/>
      <c r="E573" s="306">
        <v>4.6330999999999998</v>
      </c>
      <c r="F573" s="253" t="s">
        <v>10</v>
      </c>
      <c r="I573" s="357">
        <v>5.4999999999999997E-3</v>
      </c>
      <c r="K573" s="43"/>
      <c r="M573" s="357">
        <f>$M$346</f>
        <v>5.3328899999999999E-3</v>
      </c>
    </row>
    <row r="574" spans="1:15">
      <c r="A574" s="86" t="s">
        <v>282</v>
      </c>
      <c r="C574" s="280"/>
      <c r="E574" s="306">
        <v>3.6414</v>
      </c>
      <c r="F574" s="253" t="s">
        <v>10</v>
      </c>
      <c r="I574" s="357">
        <v>5.4999999999999997E-3</v>
      </c>
      <c r="K574" s="43"/>
      <c r="M574" s="357">
        <f>$M$346</f>
        <v>5.3328899999999999E-3</v>
      </c>
    </row>
    <row r="575" spans="1:15">
      <c r="A575" s="86" t="s">
        <v>283</v>
      </c>
      <c r="C575" s="280"/>
      <c r="E575" s="306">
        <v>2.9483000000000001</v>
      </c>
      <c r="F575" s="253" t="s">
        <v>10</v>
      </c>
      <c r="I575" s="357">
        <v>5.4999999999999997E-3</v>
      </c>
      <c r="K575" s="43"/>
      <c r="M575" s="357">
        <f>$M$346</f>
        <v>5.3328899999999999E-3</v>
      </c>
    </row>
    <row r="576" spans="1:15" ht="16.5" thickBot="1">
      <c r="A576" s="86" t="s">
        <v>14</v>
      </c>
      <c r="G576" s="13">
        <v>0</v>
      </c>
      <c r="I576" s="70"/>
      <c r="K576" s="13">
        <v>0</v>
      </c>
      <c r="M576" s="70"/>
      <c r="O576" s="13">
        <v>0</v>
      </c>
    </row>
    <row r="577" spans="1:18" ht="16.5" thickTop="1">
      <c r="I577" s="70"/>
      <c r="K577" s="43"/>
      <c r="M577" s="70"/>
    </row>
    <row r="578" spans="1:18">
      <c r="A578" s="246" t="s">
        <v>208</v>
      </c>
      <c r="I578" s="70"/>
      <c r="K578" s="43"/>
      <c r="M578" s="70"/>
    </row>
    <row r="579" spans="1:18">
      <c r="A579" s="86" t="s">
        <v>7</v>
      </c>
      <c r="C579" s="245">
        <v>1134470.3348968814</v>
      </c>
      <c r="E579" s="247">
        <v>10</v>
      </c>
      <c r="F579" s="247"/>
      <c r="G579" s="43">
        <v>11344703</v>
      </c>
      <c r="I579" s="247"/>
      <c r="K579" s="6"/>
      <c r="M579" s="247"/>
      <c r="O579" s="6"/>
      <c r="Q579" s="275" t="s">
        <v>11</v>
      </c>
      <c r="R579" s="7">
        <f>O591+O604+O618</f>
        <v>734808</v>
      </c>
    </row>
    <row r="580" spans="1:18">
      <c r="A580" s="86" t="s">
        <v>17</v>
      </c>
      <c r="C580" s="245">
        <v>0</v>
      </c>
      <c r="E580" s="247">
        <v>117</v>
      </c>
      <c r="F580" s="247"/>
      <c r="G580" s="43">
        <v>0</v>
      </c>
      <c r="I580" s="247"/>
      <c r="K580" s="6"/>
      <c r="M580" s="247"/>
      <c r="O580" s="6"/>
      <c r="Q580" s="249" t="s">
        <v>12</v>
      </c>
      <c r="R580" s="8">
        <f>'Exhibit-RMP(RMM-3) page 2'!K30*1000</f>
        <v>734805.44300789863</v>
      </c>
    </row>
    <row r="581" spans="1:18">
      <c r="A581" s="86" t="s">
        <v>246</v>
      </c>
      <c r="C581" s="245">
        <v>102</v>
      </c>
      <c r="E581" s="247">
        <v>10</v>
      </c>
      <c r="F581" s="261"/>
      <c r="G581" s="43">
        <v>1020</v>
      </c>
      <c r="I581" s="247"/>
      <c r="K581" s="6"/>
      <c r="M581" s="247"/>
      <c r="O581" s="6"/>
      <c r="Q581" s="250" t="s">
        <v>13</v>
      </c>
      <c r="R581" s="9">
        <f>R580-R579</f>
        <v>-2.5569921013666317</v>
      </c>
    </row>
    <row r="582" spans="1:18">
      <c r="A582" s="86" t="s">
        <v>284</v>
      </c>
      <c r="C582" s="245">
        <v>303570</v>
      </c>
      <c r="E582" s="261">
        <v>8.89</v>
      </c>
      <c r="F582" s="261"/>
      <c r="G582" s="43">
        <v>2698737</v>
      </c>
      <c r="I582" s="359">
        <v>5.7999999999999996E-3</v>
      </c>
      <c r="K582" s="6">
        <f>ROUND($G582*I582,0)</f>
        <v>15653</v>
      </c>
      <c r="M582" s="359">
        <f>ROUND(R580/SUM(G582:G589,G597:G603,G611:G617),$R$8)</f>
        <v>5.8090900000000003E-3</v>
      </c>
      <c r="O582" s="6">
        <f>ROUND($G582*M582,0)</f>
        <v>15677</v>
      </c>
      <c r="Q582" s="373"/>
      <c r="R582" s="374"/>
    </row>
    <row r="583" spans="1:18">
      <c r="A583" s="86" t="s">
        <v>285</v>
      </c>
      <c r="C583" s="245">
        <v>353344</v>
      </c>
      <c r="E583" s="261">
        <v>7.87</v>
      </c>
      <c r="F583" s="261"/>
      <c r="G583" s="43">
        <v>2780817</v>
      </c>
      <c r="I583" s="42">
        <f>$I$582</f>
        <v>5.7999999999999996E-3</v>
      </c>
      <c r="K583" s="6">
        <f t="shared" ref="K583:K589" si="242">ROUND($G583*I583,0)</f>
        <v>16129</v>
      </c>
      <c r="M583" s="42">
        <f>$M$582</f>
        <v>5.8090900000000003E-3</v>
      </c>
      <c r="O583" s="6">
        <f t="shared" ref="O583:O589" si="243">ROUND($G583*M583,0)</f>
        <v>16154</v>
      </c>
      <c r="Q583" s="2"/>
      <c r="R583" s="375"/>
    </row>
    <row r="584" spans="1:18">
      <c r="A584" s="86" t="s">
        <v>286</v>
      </c>
      <c r="C584" s="245">
        <v>245732054.41468564</v>
      </c>
      <c r="E584" s="276">
        <v>11.712</v>
      </c>
      <c r="F584" s="253" t="s">
        <v>10</v>
      </c>
      <c r="G584" s="43">
        <v>28780138</v>
      </c>
      <c r="I584" s="42">
        <f t="shared" ref="I584:I589" si="244">$I$582</f>
        <v>5.7999999999999996E-3</v>
      </c>
      <c r="K584" s="6">
        <f t="shared" si="242"/>
        <v>166925</v>
      </c>
      <c r="M584" s="42">
        <f t="shared" ref="M584:M589" si="245">$M$582</f>
        <v>5.8090900000000003E-3</v>
      </c>
      <c r="O584" s="6">
        <f t="shared" si="243"/>
        <v>167186</v>
      </c>
      <c r="Q584" s="263"/>
      <c r="R584" s="263"/>
    </row>
    <row r="585" spans="1:18">
      <c r="A585" s="86" t="s">
        <v>287</v>
      </c>
      <c r="C585" s="245">
        <v>255089575</v>
      </c>
      <c r="E585" s="276">
        <v>6.5567000000000002</v>
      </c>
      <c r="F585" s="253" t="s">
        <v>10</v>
      </c>
      <c r="G585" s="43">
        <v>16725458</v>
      </c>
      <c r="I585" s="42">
        <f t="shared" si="244"/>
        <v>5.7999999999999996E-3</v>
      </c>
      <c r="K585" s="6">
        <f t="shared" si="242"/>
        <v>97008</v>
      </c>
      <c r="M585" s="42">
        <f t="shared" si="245"/>
        <v>5.8090900000000003E-3</v>
      </c>
      <c r="O585" s="6">
        <f t="shared" si="243"/>
        <v>97160</v>
      </c>
    </row>
    <row r="586" spans="1:18">
      <c r="A586" s="86" t="s">
        <v>288</v>
      </c>
      <c r="C586" s="245">
        <v>491138812</v>
      </c>
      <c r="E586" s="276">
        <v>10.364599999999999</v>
      </c>
      <c r="F586" s="253" t="s">
        <v>10</v>
      </c>
      <c r="G586" s="43">
        <v>50904573</v>
      </c>
      <c r="I586" s="42">
        <f t="shared" si="244"/>
        <v>5.7999999999999996E-3</v>
      </c>
      <c r="K586" s="6">
        <f t="shared" si="242"/>
        <v>295247</v>
      </c>
      <c r="M586" s="42">
        <f t="shared" si="245"/>
        <v>5.8090900000000003E-3</v>
      </c>
      <c r="O586" s="6">
        <f t="shared" si="243"/>
        <v>295709</v>
      </c>
    </row>
    <row r="587" spans="1:18">
      <c r="A587" s="86" t="s">
        <v>289</v>
      </c>
      <c r="C587" s="245">
        <v>394638630</v>
      </c>
      <c r="E587" s="276">
        <v>5.8023999999999996</v>
      </c>
      <c r="F587" s="253" t="s">
        <v>10</v>
      </c>
      <c r="G587" s="43">
        <v>22898512</v>
      </c>
      <c r="I587" s="42">
        <f t="shared" si="244"/>
        <v>5.7999999999999996E-3</v>
      </c>
      <c r="K587" s="6">
        <f t="shared" si="242"/>
        <v>132811</v>
      </c>
      <c r="M587" s="42">
        <f t="shared" si="245"/>
        <v>5.8090900000000003E-3</v>
      </c>
      <c r="O587" s="6">
        <f t="shared" si="243"/>
        <v>133020</v>
      </c>
    </row>
    <row r="588" spans="1:18">
      <c r="A588" s="86" t="s">
        <v>16</v>
      </c>
      <c r="C588" s="245">
        <v>11994</v>
      </c>
      <c r="E588" s="247">
        <v>-0.48</v>
      </c>
      <c r="F588" s="247"/>
      <c r="G588" s="43">
        <v>-5757</v>
      </c>
      <c r="I588" s="42">
        <f t="shared" si="244"/>
        <v>5.7999999999999996E-3</v>
      </c>
      <c r="K588" s="6">
        <f t="shared" si="242"/>
        <v>-33</v>
      </c>
      <c r="M588" s="42">
        <f t="shared" si="245"/>
        <v>5.8090900000000003E-3</v>
      </c>
      <c r="O588" s="6">
        <f t="shared" si="243"/>
        <v>-33</v>
      </c>
    </row>
    <row r="589" spans="1:18">
      <c r="A589" s="257" t="s">
        <v>228</v>
      </c>
      <c r="B589" s="258"/>
      <c r="C589" s="245">
        <v>2069676</v>
      </c>
      <c r="D589" s="258"/>
      <c r="E589" s="259">
        <v>10.3811</v>
      </c>
      <c r="F589" s="260" t="s">
        <v>10</v>
      </c>
      <c r="G589" s="268">
        <v>214855</v>
      </c>
      <c r="H589" s="258"/>
      <c r="I589" s="42">
        <f t="shared" si="244"/>
        <v>5.7999999999999996E-3</v>
      </c>
      <c r="J589" s="258"/>
      <c r="K589" s="6">
        <f t="shared" si="242"/>
        <v>1246</v>
      </c>
      <c r="L589" s="258"/>
      <c r="M589" s="42">
        <f t="shared" si="245"/>
        <v>5.8090900000000003E-3</v>
      </c>
      <c r="N589" s="258"/>
      <c r="O589" s="6">
        <f t="shared" si="243"/>
        <v>1248</v>
      </c>
    </row>
    <row r="590" spans="1:18">
      <c r="A590" s="257" t="s">
        <v>229</v>
      </c>
      <c r="C590" s="245">
        <v>-150134</v>
      </c>
      <c r="E590" s="42"/>
      <c r="F590" s="261"/>
      <c r="K590" s="43"/>
    </row>
    <row r="591" spans="1:18" ht="16.5" thickBot="1">
      <c r="A591" s="86" t="s">
        <v>14</v>
      </c>
      <c r="C591" s="278">
        <v>1388518613.4146857</v>
      </c>
      <c r="E591" s="74"/>
      <c r="G591" s="279">
        <v>136343056</v>
      </c>
      <c r="I591" s="74"/>
      <c r="K591" s="13">
        <f>SUM(K579:K590)</f>
        <v>724986</v>
      </c>
      <c r="M591" s="74"/>
      <c r="O591" s="13">
        <f>SUM(O579:O590)</f>
        <v>726121</v>
      </c>
    </row>
    <row r="592" spans="1:18" ht="16.5" thickTop="1">
      <c r="I592" s="70"/>
      <c r="K592" s="43"/>
      <c r="M592" s="70"/>
    </row>
    <row r="593" spans="1:15">
      <c r="A593" s="246" t="s">
        <v>290</v>
      </c>
      <c r="I593" s="70"/>
      <c r="K593" s="43"/>
      <c r="M593" s="70"/>
    </row>
    <row r="594" spans="1:15">
      <c r="A594" s="86" t="s">
        <v>7</v>
      </c>
      <c r="C594" s="245">
        <v>18738</v>
      </c>
      <c r="E594" s="247">
        <v>10</v>
      </c>
      <c r="F594" s="247"/>
      <c r="G594" s="43">
        <v>187380</v>
      </c>
      <c r="I594" s="247"/>
      <c r="K594" s="6"/>
      <c r="M594" s="247"/>
      <c r="O594" s="6"/>
    </row>
    <row r="595" spans="1:15">
      <c r="A595" s="86" t="s">
        <v>17</v>
      </c>
      <c r="C595" s="245">
        <v>0</v>
      </c>
      <c r="E595" s="247">
        <v>117</v>
      </c>
      <c r="F595" s="247"/>
      <c r="G595" s="43">
        <v>0</v>
      </c>
      <c r="I595" s="247"/>
      <c r="K595" s="6"/>
      <c r="M595" s="247"/>
      <c r="O595" s="6"/>
    </row>
    <row r="596" spans="1:15">
      <c r="A596" s="86" t="s">
        <v>246</v>
      </c>
      <c r="C596" s="245">
        <v>10</v>
      </c>
      <c r="E596" s="261">
        <v>10</v>
      </c>
      <c r="F596" s="261"/>
      <c r="G596" s="43">
        <v>100</v>
      </c>
      <c r="I596" s="261"/>
      <c r="K596" s="6"/>
      <c r="M596" s="261"/>
      <c r="O596" s="6"/>
    </row>
    <row r="597" spans="1:15">
      <c r="A597" s="86" t="s">
        <v>284</v>
      </c>
      <c r="C597" s="245">
        <v>6794</v>
      </c>
      <c r="E597" s="261">
        <v>8.89</v>
      </c>
      <c r="F597" s="261"/>
      <c r="G597" s="43">
        <v>60399</v>
      </c>
      <c r="I597" s="42">
        <f t="shared" ref="I597:I603" si="246">$I$582</f>
        <v>5.7999999999999996E-3</v>
      </c>
      <c r="K597" s="6">
        <f t="shared" ref="K597:K603" si="247">ROUND($G597*I597,0)</f>
        <v>350</v>
      </c>
      <c r="M597" s="42">
        <f t="shared" ref="M597:M603" si="248">$M$582</f>
        <v>5.8090900000000003E-3</v>
      </c>
      <c r="O597" s="6">
        <f t="shared" ref="O597:O603" si="249">ROUND($G597*M597,0)</f>
        <v>351</v>
      </c>
    </row>
    <row r="598" spans="1:15">
      <c r="A598" s="86" t="s">
        <v>285</v>
      </c>
      <c r="C598" s="245">
        <v>9813</v>
      </c>
      <c r="E598" s="261">
        <v>7.87</v>
      </c>
      <c r="F598" s="261"/>
      <c r="G598" s="43">
        <v>77228</v>
      </c>
      <c r="I598" s="42">
        <f t="shared" si="246"/>
        <v>5.7999999999999996E-3</v>
      </c>
      <c r="K598" s="6">
        <f t="shared" si="247"/>
        <v>448</v>
      </c>
      <c r="M598" s="42">
        <f t="shared" si="248"/>
        <v>5.8090900000000003E-3</v>
      </c>
      <c r="O598" s="6">
        <f t="shared" si="249"/>
        <v>449</v>
      </c>
    </row>
    <row r="599" spans="1:15">
      <c r="A599" s="86" t="s">
        <v>286</v>
      </c>
      <c r="C599" s="245">
        <v>2193839.9420763389</v>
      </c>
      <c r="E599" s="276">
        <v>11.712</v>
      </c>
      <c r="F599" s="253" t="s">
        <v>10</v>
      </c>
      <c r="G599" s="43">
        <v>256943</v>
      </c>
      <c r="I599" s="42">
        <f t="shared" si="246"/>
        <v>5.7999999999999996E-3</v>
      </c>
      <c r="K599" s="6">
        <f t="shared" si="247"/>
        <v>1490</v>
      </c>
      <c r="M599" s="42">
        <f t="shared" si="248"/>
        <v>5.8090900000000003E-3</v>
      </c>
      <c r="O599" s="6">
        <f t="shared" si="249"/>
        <v>1493</v>
      </c>
    </row>
    <row r="600" spans="1:15">
      <c r="A600" s="86" t="s">
        <v>287</v>
      </c>
      <c r="C600" s="245">
        <v>2240351</v>
      </c>
      <c r="E600" s="276">
        <v>6.5567000000000002</v>
      </c>
      <c r="F600" s="253" t="s">
        <v>10</v>
      </c>
      <c r="G600" s="43">
        <v>146893</v>
      </c>
      <c r="I600" s="42">
        <f t="shared" si="246"/>
        <v>5.7999999999999996E-3</v>
      </c>
      <c r="K600" s="6">
        <f t="shared" si="247"/>
        <v>852</v>
      </c>
      <c r="M600" s="42">
        <f t="shared" si="248"/>
        <v>5.8090900000000003E-3</v>
      </c>
      <c r="O600" s="6">
        <f t="shared" si="249"/>
        <v>853</v>
      </c>
    </row>
    <row r="601" spans="1:15">
      <c r="A601" s="86" t="s">
        <v>288</v>
      </c>
      <c r="C601" s="245">
        <v>5247056</v>
      </c>
      <c r="E601" s="276">
        <v>10.364599999999999</v>
      </c>
      <c r="F601" s="253" t="s">
        <v>10</v>
      </c>
      <c r="G601" s="43">
        <v>543836</v>
      </c>
      <c r="I601" s="42">
        <f t="shared" si="246"/>
        <v>5.7999999999999996E-3</v>
      </c>
      <c r="K601" s="6">
        <f t="shared" si="247"/>
        <v>3154</v>
      </c>
      <c r="M601" s="42">
        <f t="shared" si="248"/>
        <v>5.8090900000000003E-3</v>
      </c>
      <c r="O601" s="6">
        <f t="shared" si="249"/>
        <v>3159</v>
      </c>
    </row>
    <row r="602" spans="1:15">
      <c r="A602" s="86" t="s">
        <v>289</v>
      </c>
      <c r="C602" s="245">
        <v>4722287</v>
      </c>
      <c r="E602" s="276">
        <v>5.8023999999999996</v>
      </c>
      <c r="F602" s="253" t="s">
        <v>10</v>
      </c>
      <c r="G602" s="43">
        <v>274006</v>
      </c>
      <c r="I602" s="42">
        <f t="shared" si="246"/>
        <v>5.7999999999999996E-3</v>
      </c>
      <c r="K602" s="6">
        <f t="shared" si="247"/>
        <v>1589</v>
      </c>
      <c r="M602" s="42">
        <f t="shared" si="248"/>
        <v>5.8090900000000003E-3</v>
      </c>
      <c r="O602" s="6">
        <f t="shared" si="249"/>
        <v>1592</v>
      </c>
    </row>
    <row r="603" spans="1:15">
      <c r="A603" s="86" t="s">
        <v>16</v>
      </c>
      <c r="C603" s="245">
        <v>0</v>
      </c>
      <c r="E603" s="247">
        <v>-0.48</v>
      </c>
      <c r="F603" s="247"/>
      <c r="G603" s="43">
        <v>0</v>
      </c>
      <c r="I603" s="42">
        <f t="shared" si="246"/>
        <v>5.7999999999999996E-3</v>
      </c>
      <c r="K603" s="6">
        <f t="shared" si="247"/>
        <v>0</v>
      </c>
      <c r="M603" s="42">
        <f t="shared" si="248"/>
        <v>5.8090900000000003E-3</v>
      </c>
      <c r="O603" s="6">
        <f t="shared" si="249"/>
        <v>0</v>
      </c>
    </row>
    <row r="604" spans="1:15" ht="16.5" thickBot="1">
      <c r="A604" s="86" t="s">
        <v>14</v>
      </c>
      <c r="C604" s="278">
        <v>14403533.942076338</v>
      </c>
      <c r="E604" s="74"/>
      <c r="F604" s="261"/>
      <c r="G604" s="211">
        <v>1546785</v>
      </c>
      <c r="I604" s="74"/>
      <c r="K604" s="13">
        <f>SUM(K594:K603)</f>
        <v>7883</v>
      </c>
      <c r="M604" s="74"/>
      <c r="O604" s="13">
        <f>SUM(O594:O603)</f>
        <v>7897</v>
      </c>
    </row>
    <row r="605" spans="1:15" ht="16.5" thickTop="1">
      <c r="I605" s="70"/>
      <c r="K605" s="43"/>
      <c r="M605" s="70"/>
    </row>
    <row r="606" spans="1:15">
      <c r="A606" s="246" t="s">
        <v>291</v>
      </c>
      <c r="I606" s="70"/>
      <c r="K606" s="43"/>
      <c r="M606" s="70"/>
    </row>
    <row r="607" spans="1:15">
      <c r="A607" s="86" t="s">
        <v>7</v>
      </c>
      <c r="C607" s="245">
        <v>1546</v>
      </c>
      <c r="E607" s="261">
        <v>10</v>
      </c>
      <c r="F607" s="247"/>
      <c r="G607" s="43">
        <v>15460</v>
      </c>
      <c r="I607" s="261"/>
      <c r="K607" s="6"/>
      <c r="M607" s="261"/>
      <c r="O607" s="6"/>
    </row>
    <row r="608" spans="1:15">
      <c r="A608" s="86" t="s">
        <v>17</v>
      </c>
      <c r="C608" s="245">
        <v>0</v>
      </c>
      <c r="E608" s="261">
        <v>117</v>
      </c>
      <c r="F608" s="247"/>
      <c r="G608" s="43">
        <v>0</v>
      </c>
      <c r="I608" s="261"/>
      <c r="K608" s="6"/>
      <c r="M608" s="261"/>
      <c r="O608" s="6"/>
    </row>
    <row r="609" spans="1:18">
      <c r="A609" s="86" t="s">
        <v>219</v>
      </c>
      <c r="C609" s="245">
        <v>393</v>
      </c>
      <c r="E609" s="261">
        <v>2</v>
      </c>
      <c r="F609" s="261"/>
      <c r="G609" s="43">
        <v>786</v>
      </c>
      <c r="I609" s="261"/>
      <c r="K609" s="6"/>
      <c r="M609" s="261"/>
      <c r="O609" s="6"/>
    </row>
    <row r="610" spans="1:18">
      <c r="A610" s="86" t="s">
        <v>246</v>
      </c>
      <c r="C610" s="245">
        <v>0</v>
      </c>
      <c r="E610" s="261">
        <v>10</v>
      </c>
      <c r="F610" s="247"/>
      <c r="G610" s="43">
        <v>0</v>
      </c>
      <c r="I610" s="261"/>
      <c r="K610" s="6"/>
      <c r="M610" s="261"/>
      <c r="O610" s="6"/>
    </row>
    <row r="611" spans="1:18">
      <c r="A611" s="86" t="s">
        <v>284</v>
      </c>
      <c r="C611" s="245">
        <v>552</v>
      </c>
      <c r="E611" s="261">
        <v>8.89</v>
      </c>
      <c r="F611" s="261"/>
      <c r="G611" s="43">
        <v>4907</v>
      </c>
      <c r="I611" s="42">
        <f t="shared" ref="I611:I617" si="250">$I$582</f>
        <v>5.7999999999999996E-3</v>
      </c>
      <c r="K611" s="6">
        <f t="shared" ref="K611:K617" si="251">ROUND($G611*I611,0)</f>
        <v>28</v>
      </c>
      <c r="M611" s="42">
        <f t="shared" ref="M611:M617" si="252">$M$582</f>
        <v>5.8090900000000003E-3</v>
      </c>
      <c r="O611" s="6">
        <f t="shared" ref="O611:O617" si="253">ROUND($G611*M611,0)</f>
        <v>29</v>
      </c>
    </row>
    <row r="612" spans="1:18">
      <c r="A612" s="86" t="s">
        <v>285</v>
      </c>
      <c r="C612" s="245">
        <v>982</v>
      </c>
      <c r="E612" s="276">
        <v>7.87</v>
      </c>
      <c r="F612" s="261"/>
      <c r="G612" s="43">
        <v>7728</v>
      </c>
      <c r="I612" s="42">
        <f t="shared" si="250"/>
        <v>5.7999999999999996E-3</v>
      </c>
      <c r="K612" s="6">
        <f t="shared" si="251"/>
        <v>45</v>
      </c>
      <c r="M612" s="42">
        <f t="shared" si="252"/>
        <v>5.8090900000000003E-3</v>
      </c>
      <c r="O612" s="6">
        <f t="shared" si="253"/>
        <v>45</v>
      </c>
    </row>
    <row r="613" spans="1:18">
      <c r="A613" s="86" t="s">
        <v>286</v>
      </c>
      <c r="C613" s="245">
        <v>228752.11425782187</v>
      </c>
      <c r="E613" s="276">
        <v>11.712</v>
      </c>
      <c r="F613" s="253" t="s">
        <v>10</v>
      </c>
      <c r="G613" s="43">
        <v>26791</v>
      </c>
      <c r="I613" s="42">
        <f t="shared" si="250"/>
        <v>5.7999999999999996E-3</v>
      </c>
      <c r="K613" s="6">
        <f t="shared" si="251"/>
        <v>155</v>
      </c>
      <c r="M613" s="42">
        <f t="shared" si="252"/>
        <v>5.8090900000000003E-3</v>
      </c>
      <c r="O613" s="6">
        <f t="shared" si="253"/>
        <v>156</v>
      </c>
    </row>
    <row r="614" spans="1:18">
      <c r="A614" s="86" t="s">
        <v>287</v>
      </c>
      <c r="C614" s="245">
        <v>234472</v>
      </c>
      <c r="E614" s="276">
        <v>6.5567000000000002</v>
      </c>
      <c r="F614" s="253" t="s">
        <v>10</v>
      </c>
      <c r="G614" s="43">
        <v>15374</v>
      </c>
      <c r="I614" s="42">
        <f t="shared" si="250"/>
        <v>5.7999999999999996E-3</v>
      </c>
      <c r="K614" s="6">
        <f t="shared" si="251"/>
        <v>89</v>
      </c>
      <c r="M614" s="42">
        <f t="shared" si="252"/>
        <v>5.8090900000000003E-3</v>
      </c>
      <c r="O614" s="6">
        <f t="shared" si="253"/>
        <v>89</v>
      </c>
    </row>
    <row r="615" spans="1:18">
      <c r="A615" s="86" t="s">
        <v>288</v>
      </c>
      <c r="C615" s="245">
        <v>417772</v>
      </c>
      <c r="E615" s="276">
        <v>10.364599999999999</v>
      </c>
      <c r="F615" s="253" t="s">
        <v>10</v>
      </c>
      <c r="G615" s="43">
        <v>43300</v>
      </c>
      <c r="I615" s="42">
        <f t="shared" si="250"/>
        <v>5.7999999999999996E-3</v>
      </c>
      <c r="K615" s="6">
        <f t="shared" si="251"/>
        <v>251</v>
      </c>
      <c r="M615" s="42">
        <f t="shared" si="252"/>
        <v>5.8090900000000003E-3</v>
      </c>
      <c r="O615" s="6">
        <f t="shared" si="253"/>
        <v>252</v>
      </c>
    </row>
    <row r="616" spans="1:18">
      <c r="A616" s="86" t="s">
        <v>289</v>
      </c>
      <c r="C616" s="245">
        <v>648715</v>
      </c>
      <c r="E616" s="276">
        <v>5.8023999999999996</v>
      </c>
      <c r="F616" s="253" t="s">
        <v>10</v>
      </c>
      <c r="G616" s="43">
        <v>37641</v>
      </c>
      <c r="I616" s="42">
        <f t="shared" si="250"/>
        <v>5.7999999999999996E-3</v>
      </c>
      <c r="K616" s="6">
        <f t="shared" si="251"/>
        <v>218</v>
      </c>
      <c r="M616" s="42">
        <f t="shared" si="252"/>
        <v>5.8090900000000003E-3</v>
      </c>
      <c r="O616" s="6">
        <f t="shared" si="253"/>
        <v>219</v>
      </c>
    </row>
    <row r="617" spans="1:18">
      <c r="A617" s="86" t="s">
        <v>16</v>
      </c>
      <c r="C617" s="245">
        <v>0</v>
      </c>
      <c r="E617" s="247">
        <v>-0.48</v>
      </c>
      <c r="F617" s="247"/>
      <c r="G617" s="43">
        <v>0</v>
      </c>
      <c r="I617" s="42">
        <f t="shared" si="250"/>
        <v>5.7999999999999996E-3</v>
      </c>
      <c r="K617" s="6">
        <f t="shared" si="251"/>
        <v>0</v>
      </c>
      <c r="M617" s="42">
        <f t="shared" si="252"/>
        <v>5.8090900000000003E-3</v>
      </c>
      <c r="O617" s="6">
        <f t="shared" si="253"/>
        <v>0</v>
      </c>
    </row>
    <row r="618" spans="1:18" ht="16.5" thickBot="1">
      <c r="A618" s="86" t="s">
        <v>14</v>
      </c>
      <c r="C618" s="278">
        <v>1529711.1142578218</v>
      </c>
      <c r="E618" s="74"/>
      <c r="F618" s="261"/>
      <c r="G618" s="211">
        <v>151987</v>
      </c>
      <c r="I618" s="74"/>
      <c r="K618" s="13">
        <f>SUM(K607:K617)</f>
        <v>786</v>
      </c>
      <c r="M618" s="74"/>
      <c r="O618" s="13">
        <f>SUM(O607:O617)</f>
        <v>790</v>
      </c>
    </row>
    <row r="619" spans="1:18" ht="16.5" thickTop="1">
      <c r="I619" s="70"/>
      <c r="K619" s="43"/>
      <c r="M619" s="70"/>
    </row>
    <row r="620" spans="1:18">
      <c r="A620" s="246" t="s">
        <v>209</v>
      </c>
      <c r="E620" s="276"/>
      <c r="F620" s="276"/>
      <c r="I620" s="276"/>
      <c r="K620" s="43"/>
      <c r="M620" s="276"/>
    </row>
    <row r="621" spans="1:18">
      <c r="A621" s="312" t="s">
        <v>98</v>
      </c>
      <c r="I621" s="70"/>
      <c r="K621" s="43"/>
      <c r="M621" s="70"/>
    </row>
    <row r="622" spans="1:18">
      <c r="A622" s="86" t="s">
        <v>99</v>
      </c>
      <c r="B622" s="86"/>
      <c r="C622" s="245">
        <v>0</v>
      </c>
      <c r="E622" s="308">
        <v>137</v>
      </c>
      <c r="F622" s="247"/>
      <c r="G622" s="43">
        <v>0</v>
      </c>
      <c r="I622" s="308"/>
      <c r="K622" s="6"/>
      <c r="M622" s="308"/>
      <c r="O622" s="6"/>
      <c r="Q622" s="2" t="s">
        <v>355</v>
      </c>
      <c r="R622" s="349"/>
    </row>
    <row r="623" spans="1:18">
      <c r="A623" s="86" t="s">
        <v>100</v>
      </c>
      <c r="B623" s="86"/>
      <c r="C623" s="245">
        <v>0</v>
      </c>
      <c r="E623" s="308">
        <v>5.75</v>
      </c>
      <c r="F623" s="247"/>
      <c r="G623" s="43">
        <v>0</v>
      </c>
      <c r="I623" s="358">
        <v>5.4999999999999997E-3</v>
      </c>
      <c r="K623" s="6">
        <f>ROUND($G623*I623,0)</f>
        <v>0</v>
      </c>
      <c r="M623" s="358">
        <f>ROUND((R624-O671-O679)/SUM(G623:G633,G636:G646,G649:G659),$R$8)</f>
        <v>5.4179600000000003E-3</v>
      </c>
      <c r="O623" s="6">
        <f>ROUND($G623*M623,0)</f>
        <v>0</v>
      </c>
      <c r="Q623" s="275" t="s">
        <v>11</v>
      </c>
      <c r="R623" s="7">
        <f>O680</f>
        <v>67020</v>
      </c>
    </row>
    <row r="624" spans="1:18">
      <c r="A624" s="86" t="s">
        <v>101</v>
      </c>
      <c r="B624" s="86"/>
      <c r="E624" s="311"/>
      <c r="F624" s="261"/>
      <c r="I624" s="311"/>
      <c r="K624" s="43"/>
      <c r="M624" s="311"/>
      <c r="Q624" s="249" t="s">
        <v>12</v>
      </c>
      <c r="R624" s="8">
        <f>'Exhibit-RMP(RMM-3) page 2'!K31*1000</f>
        <v>67019.911020489817</v>
      </c>
    </row>
    <row r="625" spans="1:18">
      <c r="A625" s="86" t="s">
        <v>102</v>
      </c>
      <c r="B625" s="86"/>
      <c r="E625" s="308"/>
      <c r="F625" s="309"/>
      <c r="I625" s="308"/>
      <c r="K625" s="43"/>
      <c r="M625" s="308"/>
      <c r="Q625" s="250" t="s">
        <v>13</v>
      </c>
      <c r="R625" s="9">
        <f>R624-R623</f>
        <v>-8.8979510182980448E-2</v>
      </c>
    </row>
    <row r="626" spans="1:18">
      <c r="A626" s="86" t="s">
        <v>292</v>
      </c>
      <c r="B626" s="86"/>
      <c r="C626" s="245">
        <v>0</v>
      </c>
      <c r="E626" s="308">
        <v>0.9</v>
      </c>
      <c r="F626" s="309"/>
      <c r="G626" s="43">
        <v>0</v>
      </c>
      <c r="I626" s="357">
        <f>$I$623</f>
        <v>5.4999999999999997E-3</v>
      </c>
      <c r="K626" s="6">
        <f>ROUND($G626*I626,0)</f>
        <v>0</v>
      </c>
      <c r="M626" s="357">
        <f>$M$623</f>
        <v>5.4179600000000003E-3</v>
      </c>
      <c r="O626" s="6">
        <f>ROUND($G626*M626,0)</f>
        <v>0</v>
      </c>
      <c r="Q626" s="373"/>
      <c r="R626" s="374"/>
    </row>
    <row r="627" spans="1:18">
      <c r="A627" s="86" t="s">
        <v>293</v>
      </c>
      <c r="B627" s="86"/>
      <c r="C627" s="245">
        <v>0</v>
      </c>
      <c r="E627" s="308">
        <v>0.8</v>
      </c>
      <c r="F627" s="309"/>
      <c r="G627" s="43">
        <v>0</v>
      </c>
      <c r="I627" s="357">
        <f>$I$623</f>
        <v>5.4999999999999997E-3</v>
      </c>
      <c r="K627" s="6">
        <f>ROUND($G627*I627,0)</f>
        <v>0</v>
      </c>
      <c r="M627" s="357">
        <f>$M$623</f>
        <v>5.4179600000000003E-3</v>
      </c>
      <c r="O627" s="6">
        <f>ROUND($G627*M627,0)</f>
        <v>0</v>
      </c>
      <c r="Q627" s="2"/>
      <c r="R627" s="375"/>
    </row>
    <row r="628" spans="1:18">
      <c r="A628" s="86" t="s">
        <v>103</v>
      </c>
      <c r="B628" s="86"/>
      <c r="E628" s="311"/>
      <c r="F628" s="310"/>
      <c r="I628" s="311"/>
      <c r="K628" s="43"/>
      <c r="M628" s="311"/>
      <c r="Q628" s="263"/>
      <c r="R628" s="263"/>
    </row>
    <row r="629" spans="1:18">
      <c r="A629" s="86" t="s">
        <v>292</v>
      </c>
      <c r="B629" s="86"/>
      <c r="C629" s="245">
        <v>0</v>
      </c>
      <c r="E629" s="308">
        <v>0.45</v>
      </c>
      <c r="F629" s="310"/>
      <c r="G629" s="43">
        <v>0</v>
      </c>
      <c r="I629" s="357">
        <f>$I$623</f>
        <v>5.4999999999999997E-3</v>
      </c>
      <c r="K629" s="6">
        <f t="shared" ref="K629:K630" si="254">ROUND($G629*I629,0)</f>
        <v>0</v>
      </c>
      <c r="M629" s="357">
        <f t="shared" ref="M629:M630" si="255">$M$623</f>
        <v>5.4179600000000003E-3</v>
      </c>
      <c r="O629" s="6">
        <f t="shared" ref="O629:O630" si="256">ROUND($G629*M629,0)</f>
        <v>0</v>
      </c>
    </row>
    <row r="630" spans="1:18">
      <c r="A630" s="86" t="s">
        <v>293</v>
      </c>
      <c r="B630" s="86"/>
      <c r="C630" s="245">
        <v>0</v>
      </c>
      <c r="E630" s="308">
        <v>0.4</v>
      </c>
      <c r="F630" s="310"/>
      <c r="G630" s="43">
        <v>0</v>
      </c>
      <c r="I630" s="357">
        <f>$I$623</f>
        <v>5.4999999999999997E-3</v>
      </c>
      <c r="K630" s="6">
        <f t="shared" si="254"/>
        <v>0</v>
      </c>
      <c r="M630" s="357">
        <f t="shared" si="255"/>
        <v>5.4179600000000003E-3</v>
      </c>
      <c r="O630" s="6">
        <f t="shared" si="256"/>
        <v>0</v>
      </c>
    </row>
    <row r="631" spans="1:18">
      <c r="A631" s="86" t="s">
        <v>104</v>
      </c>
      <c r="B631" s="86"/>
      <c r="E631" s="308"/>
      <c r="F631" s="247"/>
      <c r="I631" s="308"/>
      <c r="K631" s="43"/>
      <c r="M631" s="308"/>
    </row>
    <row r="632" spans="1:18">
      <c r="A632" s="86" t="s">
        <v>292</v>
      </c>
      <c r="B632" s="86"/>
      <c r="C632" s="245">
        <v>0</v>
      </c>
      <c r="E632" s="308">
        <v>41.89</v>
      </c>
      <c r="F632" s="247"/>
      <c r="G632" s="43">
        <v>0</v>
      </c>
      <c r="I632" s="357">
        <f>$I$623</f>
        <v>5.4999999999999997E-3</v>
      </c>
      <c r="K632" s="6">
        <f t="shared" ref="K632:K633" si="257">ROUND($G632*I632,0)</f>
        <v>0</v>
      </c>
      <c r="M632" s="357">
        <f t="shared" ref="M632:M633" si="258">$M$623</f>
        <v>5.4179600000000003E-3</v>
      </c>
      <c r="O632" s="6">
        <f t="shared" ref="O632:O633" si="259">ROUND($G632*M632,0)</f>
        <v>0</v>
      </c>
    </row>
    <row r="633" spans="1:18">
      <c r="A633" s="86" t="s">
        <v>293</v>
      </c>
      <c r="B633" s="86"/>
      <c r="C633" s="245">
        <v>0</v>
      </c>
      <c r="E633" s="308">
        <v>37.07</v>
      </c>
      <c r="F633" s="247"/>
      <c r="G633" s="43">
        <v>0</v>
      </c>
      <c r="I633" s="357">
        <f>$I$623</f>
        <v>5.4999999999999997E-3</v>
      </c>
      <c r="K633" s="6">
        <f t="shared" si="257"/>
        <v>0</v>
      </c>
      <c r="M633" s="357">
        <f t="shared" si="258"/>
        <v>5.4179600000000003E-3</v>
      </c>
      <c r="O633" s="6">
        <f t="shared" si="259"/>
        <v>0</v>
      </c>
    </row>
    <row r="634" spans="1:18">
      <c r="A634" s="312" t="s">
        <v>105</v>
      </c>
      <c r="E634" s="311"/>
      <c r="I634" s="311"/>
      <c r="K634" s="43"/>
      <c r="M634" s="311"/>
    </row>
    <row r="635" spans="1:18">
      <c r="A635" s="86" t="s">
        <v>99</v>
      </c>
      <c r="C635" s="245">
        <v>25</v>
      </c>
      <c r="E635" s="308">
        <v>621</v>
      </c>
      <c r="F635" s="247"/>
      <c r="G635" s="43">
        <v>15525</v>
      </c>
      <c r="I635" s="308"/>
      <c r="K635" s="6"/>
      <c r="M635" s="308"/>
      <c r="O635" s="6"/>
    </row>
    <row r="636" spans="1:18">
      <c r="A636" s="86" t="s">
        <v>100</v>
      </c>
      <c r="C636" s="245">
        <v>34929</v>
      </c>
      <c r="E636" s="308">
        <v>4.58</v>
      </c>
      <c r="F636" s="247"/>
      <c r="G636" s="43">
        <v>159975</v>
      </c>
      <c r="I636" s="357">
        <f>$I$623</f>
        <v>5.4999999999999997E-3</v>
      </c>
      <c r="K636" s="6">
        <f>ROUND($G636*I636,0)</f>
        <v>880</v>
      </c>
      <c r="M636" s="357">
        <f t="shared" ref="M636" si="260">$M$623</f>
        <v>5.4179600000000003E-3</v>
      </c>
      <c r="O636" s="6">
        <f t="shared" ref="O636" si="261">ROUND($G636*M636,0)</f>
        <v>867</v>
      </c>
    </row>
    <row r="637" spans="1:18">
      <c r="A637" s="86" t="s">
        <v>101</v>
      </c>
      <c r="E637" s="311"/>
      <c r="F637" s="247"/>
      <c r="I637" s="311"/>
      <c r="K637" s="43"/>
      <c r="M637" s="311"/>
    </row>
    <row r="638" spans="1:18">
      <c r="A638" s="86" t="s">
        <v>102</v>
      </c>
      <c r="E638" s="308"/>
      <c r="F638" s="309"/>
      <c r="I638" s="308"/>
      <c r="K638" s="43"/>
      <c r="M638" s="308"/>
    </row>
    <row r="639" spans="1:18">
      <c r="A639" s="86" t="s">
        <v>292</v>
      </c>
      <c r="C639" s="245">
        <v>67470</v>
      </c>
      <c r="E639" s="308">
        <v>0.88</v>
      </c>
      <c r="F639" s="309"/>
      <c r="G639" s="43">
        <v>59374</v>
      </c>
      <c r="I639" s="357">
        <f>$I$623</f>
        <v>5.4999999999999997E-3</v>
      </c>
      <c r="K639" s="6">
        <f t="shared" ref="K639:K640" si="262">ROUND($G639*I639,0)</f>
        <v>327</v>
      </c>
      <c r="M639" s="357">
        <f t="shared" ref="M639:M640" si="263">$M$623</f>
        <v>5.4179600000000003E-3</v>
      </c>
      <c r="O639" s="6">
        <f t="shared" ref="O639:O640" si="264">ROUND($G639*M639,0)</f>
        <v>322</v>
      </c>
    </row>
    <row r="640" spans="1:18">
      <c r="A640" s="86" t="s">
        <v>293</v>
      </c>
      <c r="C640" s="245">
        <v>47316</v>
      </c>
      <c r="E640" s="308">
        <v>0.78</v>
      </c>
      <c r="F640" s="309"/>
      <c r="G640" s="43">
        <v>36906</v>
      </c>
      <c r="I640" s="357">
        <f>$I$623</f>
        <v>5.4999999999999997E-3</v>
      </c>
      <c r="K640" s="6">
        <f t="shared" si="262"/>
        <v>203</v>
      </c>
      <c r="M640" s="357">
        <f t="shared" si="263"/>
        <v>5.4179600000000003E-3</v>
      </c>
      <c r="O640" s="6">
        <f t="shared" si="264"/>
        <v>200</v>
      </c>
    </row>
    <row r="641" spans="1:15">
      <c r="A641" s="86" t="s">
        <v>103</v>
      </c>
      <c r="E641" s="311"/>
      <c r="F641" s="310"/>
      <c r="I641" s="311"/>
      <c r="K641" s="43"/>
      <c r="M641" s="311"/>
    </row>
    <row r="642" spans="1:15">
      <c r="A642" s="86" t="s">
        <v>292</v>
      </c>
      <c r="C642" s="245">
        <v>1510</v>
      </c>
      <c r="E642" s="308">
        <v>0.44</v>
      </c>
      <c r="F642" s="310"/>
      <c r="G642" s="43">
        <v>664</v>
      </c>
      <c r="I642" s="357">
        <f>$I$623</f>
        <v>5.4999999999999997E-3</v>
      </c>
      <c r="K642" s="6">
        <f t="shared" ref="K642:K643" si="265">ROUND($G642*I642,0)</f>
        <v>4</v>
      </c>
      <c r="M642" s="357">
        <f t="shared" ref="M642:M643" si="266">$M$623</f>
        <v>5.4179600000000003E-3</v>
      </c>
      <c r="O642" s="6">
        <f t="shared" ref="O642:O643" si="267">ROUND($G642*M642,0)</f>
        <v>4</v>
      </c>
    </row>
    <row r="643" spans="1:15">
      <c r="A643" s="86" t="s">
        <v>293</v>
      </c>
      <c r="C643" s="245">
        <v>0</v>
      </c>
      <c r="E643" s="308">
        <v>0.39</v>
      </c>
      <c r="F643" s="310"/>
      <c r="G643" s="43">
        <v>0</v>
      </c>
      <c r="I643" s="357">
        <f>$I$623</f>
        <v>5.4999999999999997E-3</v>
      </c>
      <c r="K643" s="6">
        <f t="shared" si="265"/>
        <v>0</v>
      </c>
      <c r="M643" s="357">
        <f t="shared" si="266"/>
        <v>5.4179600000000003E-3</v>
      </c>
      <c r="O643" s="6">
        <f t="shared" si="267"/>
        <v>0</v>
      </c>
    </row>
    <row r="644" spans="1:15">
      <c r="A644" s="86" t="s">
        <v>104</v>
      </c>
      <c r="E644" s="308"/>
      <c r="F644" s="247"/>
      <c r="I644" s="308"/>
      <c r="K644" s="43"/>
      <c r="M644" s="308"/>
    </row>
    <row r="645" spans="1:15">
      <c r="A645" s="86" t="s">
        <v>292</v>
      </c>
      <c r="C645" s="245">
        <v>142</v>
      </c>
      <c r="E645" s="308">
        <v>39.56</v>
      </c>
      <c r="F645" s="247"/>
      <c r="G645" s="43">
        <v>5618</v>
      </c>
      <c r="I645" s="357">
        <f>$I$623</f>
        <v>5.4999999999999997E-3</v>
      </c>
      <c r="K645" s="6">
        <f t="shared" ref="K645:K646" si="268">ROUND($G645*I645,0)</f>
        <v>31</v>
      </c>
      <c r="M645" s="357">
        <f t="shared" ref="M645:M646" si="269">$M$623</f>
        <v>5.4179600000000003E-3</v>
      </c>
      <c r="O645" s="6">
        <f t="shared" ref="O645:O646" si="270">ROUND($G645*M645,0)</f>
        <v>30</v>
      </c>
    </row>
    <row r="646" spans="1:15">
      <c r="A646" s="86" t="s">
        <v>293</v>
      </c>
      <c r="C646" s="245">
        <v>655</v>
      </c>
      <c r="E646" s="308">
        <v>35.01</v>
      </c>
      <c r="F646" s="247"/>
      <c r="G646" s="43">
        <v>22932</v>
      </c>
      <c r="I646" s="357">
        <f>$I$623</f>
        <v>5.4999999999999997E-3</v>
      </c>
      <c r="K646" s="6">
        <f t="shared" si="268"/>
        <v>126</v>
      </c>
      <c r="M646" s="357">
        <f t="shared" si="269"/>
        <v>5.4179600000000003E-3</v>
      </c>
      <c r="O646" s="6">
        <f t="shared" si="270"/>
        <v>124</v>
      </c>
    </row>
    <row r="647" spans="1:15">
      <c r="A647" s="312" t="s">
        <v>106</v>
      </c>
      <c r="E647" s="311"/>
      <c r="I647" s="311"/>
      <c r="K647" s="43"/>
      <c r="M647" s="311"/>
    </row>
    <row r="648" spans="1:15">
      <c r="A648" s="86" t="s">
        <v>99</v>
      </c>
      <c r="C648" s="245">
        <v>59</v>
      </c>
      <c r="E648" s="308">
        <v>696</v>
      </c>
      <c r="F648" s="247"/>
      <c r="G648" s="43">
        <v>41064</v>
      </c>
      <c r="I648" s="308"/>
      <c r="K648" s="6"/>
      <c r="M648" s="308"/>
      <c r="O648" s="6"/>
    </row>
    <row r="649" spans="1:15">
      <c r="A649" s="86" t="s">
        <v>100</v>
      </c>
      <c r="C649" s="245">
        <v>291905</v>
      </c>
      <c r="E649" s="308">
        <v>2.7</v>
      </c>
      <c r="F649" s="247"/>
      <c r="G649" s="43">
        <v>788144</v>
      </c>
      <c r="I649" s="357">
        <f>$I$623</f>
        <v>5.4999999999999997E-3</v>
      </c>
      <c r="K649" s="6">
        <f>ROUND($G649*I649,0)</f>
        <v>4335</v>
      </c>
      <c r="M649" s="357">
        <f t="shared" ref="M649" si="271">$M$623</f>
        <v>5.4179600000000003E-3</v>
      </c>
      <c r="O649" s="6">
        <f t="shared" ref="O649" si="272">ROUND($G649*M649,0)</f>
        <v>4270</v>
      </c>
    </row>
    <row r="650" spans="1:15">
      <c r="A650" s="86" t="s">
        <v>101</v>
      </c>
      <c r="E650" s="311"/>
      <c r="F650" s="261"/>
      <c r="I650" s="311"/>
      <c r="K650" s="43"/>
      <c r="M650" s="311"/>
    </row>
    <row r="651" spans="1:15">
      <c r="A651" s="86" t="s">
        <v>102</v>
      </c>
      <c r="E651" s="308"/>
      <c r="F651" s="309"/>
      <c r="I651" s="308"/>
      <c r="K651" s="43"/>
      <c r="M651" s="308"/>
    </row>
    <row r="652" spans="1:15">
      <c r="A652" s="86" t="s">
        <v>292</v>
      </c>
      <c r="C652" s="245">
        <v>657860</v>
      </c>
      <c r="E652" s="308">
        <v>0.78</v>
      </c>
      <c r="F652" s="309"/>
      <c r="G652" s="43">
        <v>513131</v>
      </c>
      <c r="I652" s="357">
        <f>$I$623</f>
        <v>5.4999999999999997E-3</v>
      </c>
      <c r="K652" s="6">
        <f t="shared" ref="K652:K653" si="273">ROUND($G652*I652,0)</f>
        <v>2822</v>
      </c>
      <c r="M652" s="357">
        <f t="shared" ref="M652:M653" si="274">$M$623</f>
        <v>5.4179600000000003E-3</v>
      </c>
      <c r="O652" s="6">
        <f t="shared" ref="O652:O653" si="275">ROUND($G652*M652,0)</f>
        <v>2780</v>
      </c>
    </row>
    <row r="653" spans="1:15">
      <c r="A653" s="86" t="s">
        <v>293</v>
      </c>
      <c r="C653" s="245">
        <v>307104</v>
      </c>
      <c r="E653" s="308">
        <v>0.69</v>
      </c>
      <c r="F653" s="309"/>
      <c r="G653" s="43">
        <v>211902</v>
      </c>
      <c r="I653" s="357">
        <f>$I$623</f>
        <v>5.4999999999999997E-3</v>
      </c>
      <c r="K653" s="6">
        <f t="shared" si="273"/>
        <v>1165</v>
      </c>
      <c r="M653" s="357">
        <f t="shared" si="274"/>
        <v>5.4179600000000003E-3</v>
      </c>
      <c r="O653" s="6">
        <f t="shared" si="275"/>
        <v>1148</v>
      </c>
    </row>
    <row r="654" spans="1:15">
      <c r="A654" s="86" t="s">
        <v>103</v>
      </c>
      <c r="E654" s="311"/>
      <c r="F654" s="310"/>
      <c r="I654" s="311"/>
      <c r="K654" s="43"/>
      <c r="M654" s="311"/>
    </row>
    <row r="655" spans="1:15">
      <c r="A655" s="86" t="s">
        <v>292</v>
      </c>
      <c r="C655" s="245">
        <v>0</v>
      </c>
      <c r="E655" s="308">
        <v>0.39</v>
      </c>
      <c r="F655" s="310"/>
      <c r="G655" s="43">
        <v>0</v>
      </c>
      <c r="I655" s="357">
        <f>$I$623</f>
        <v>5.4999999999999997E-3</v>
      </c>
      <c r="K655" s="6">
        <f t="shared" ref="K655:K656" si="276">ROUND($G655*I655,0)</f>
        <v>0</v>
      </c>
      <c r="M655" s="357">
        <f t="shared" ref="M655:M656" si="277">$M$623</f>
        <v>5.4179600000000003E-3</v>
      </c>
      <c r="O655" s="6">
        <f t="shared" ref="O655:O656" si="278">ROUND($G655*M655,0)</f>
        <v>0</v>
      </c>
    </row>
    <row r="656" spans="1:15">
      <c r="A656" s="86" t="s">
        <v>293</v>
      </c>
      <c r="C656" s="245">
        <v>150561</v>
      </c>
      <c r="E656" s="308">
        <v>0.34499999999999997</v>
      </c>
      <c r="F656" s="310"/>
      <c r="G656" s="43">
        <v>51944</v>
      </c>
      <c r="I656" s="357">
        <f>$I$623</f>
        <v>5.4999999999999997E-3</v>
      </c>
      <c r="K656" s="6">
        <f t="shared" si="276"/>
        <v>286</v>
      </c>
      <c r="M656" s="357">
        <f t="shared" si="277"/>
        <v>5.4179600000000003E-3</v>
      </c>
      <c r="O656" s="6">
        <f t="shared" si="278"/>
        <v>281</v>
      </c>
    </row>
    <row r="657" spans="1:15">
      <c r="A657" s="86" t="s">
        <v>104</v>
      </c>
      <c r="E657" s="308"/>
      <c r="F657" s="247"/>
      <c r="I657" s="308"/>
      <c r="K657" s="43"/>
      <c r="M657" s="308"/>
    </row>
    <row r="658" spans="1:15">
      <c r="A658" s="86" t="s">
        <v>292</v>
      </c>
      <c r="C658" s="245">
        <v>6767</v>
      </c>
      <c r="E658" s="308">
        <v>33.21</v>
      </c>
      <c r="F658" s="247"/>
      <c r="G658" s="43">
        <v>224732</v>
      </c>
      <c r="I658" s="357">
        <f>$I$623</f>
        <v>5.4999999999999997E-3</v>
      </c>
      <c r="K658" s="6">
        <f t="shared" ref="K658:K659" si="279">ROUND($G658*I658,0)</f>
        <v>1236</v>
      </c>
      <c r="M658" s="357">
        <f t="shared" ref="M658:M659" si="280">$M$623</f>
        <v>5.4179600000000003E-3</v>
      </c>
      <c r="O658" s="6">
        <f t="shared" ref="O658:O659" si="281">ROUND($G658*M658,0)</f>
        <v>1218</v>
      </c>
    </row>
    <row r="659" spans="1:15">
      <c r="A659" s="86" t="s">
        <v>293</v>
      </c>
      <c r="C659" s="245">
        <v>1067</v>
      </c>
      <c r="E659" s="308">
        <v>29.39</v>
      </c>
      <c r="F659" s="247"/>
      <c r="G659" s="43">
        <v>31359</v>
      </c>
      <c r="I659" s="357">
        <f>$I$623</f>
        <v>5.4999999999999997E-3</v>
      </c>
      <c r="K659" s="6">
        <f t="shared" si="279"/>
        <v>172</v>
      </c>
      <c r="M659" s="357">
        <f t="shared" si="280"/>
        <v>5.4179600000000003E-3</v>
      </c>
      <c r="O659" s="6">
        <f t="shared" si="281"/>
        <v>170</v>
      </c>
    </row>
    <row r="660" spans="1:15">
      <c r="A660" s="86" t="s">
        <v>97</v>
      </c>
      <c r="C660" s="313"/>
      <c r="E660" s="276"/>
      <c r="F660" s="276"/>
      <c r="G660" s="296">
        <v>2163270</v>
      </c>
      <c r="I660" s="276"/>
      <c r="K660" s="296">
        <f>SUM(K622:K659)</f>
        <v>11587</v>
      </c>
      <c r="M660" s="276"/>
      <c r="O660" s="296">
        <f>SUM(O622:O659)</f>
        <v>11414</v>
      </c>
    </row>
    <row r="661" spans="1:15">
      <c r="A661" s="312" t="s">
        <v>341</v>
      </c>
      <c r="I661" s="70"/>
      <c r="K661" s="43"/>
      <c r="M661" s="70"/>
    </row>
    <row r="662" spans="1:15">
      <c r="A662" s="246" t="s">
        <v>107</v>
      </c>
      <c r="E662" s="261"/>
      <c r="F662" s="261"/>
      <c r="I662" s="261"/>
      <c r="K662" s="43"/>
      <c r="M662" s="261"/>
    </row>
    <row r="663" spans="1:15">
      <c r="A663" s="86" t="s">
        <v>26</v>
      </c>
      <c r="C663" s="245">
        <v>27799</v>
      </c>
      <c r="E663" s="261">
        <v>4.8099999999999996</v>
      </c>
      <c r="F663" s="261"/>
      <c r="G663" s="43">
        <v>133713</v>
      </c>
      <c r="I663" s="42">
        <f>$I$322</f>
        <v>5.4000000000000003E-3</v>
      </c>
      <c r="K663" s="6">
        <f>ROUND($G663*I663,0)</f>
        <v>722</v>
      </c>
      <c r="M663" s="42">
        <f t="shared" ref="M663:M670" si="282">$M$322</f>
        <v>5.3307099999999998E-3</v>
      </c>
      <c r="O663" s="6">
        <f>ROUND($G663*M663,0)</f>
        <v>713</v>
      </c>
    </row>
    <row r="664" spans="1:15">
      <c r="A664" s="86" t="s">
        <v>259</v>
      </c>
      <c r="C664" s="245">
        <v>2699</v>
      </c>
      <c r="E664" s="261">
        <v>15.73</v>
      </c>
      <c r="F664" s="261"/>
      <c r="G664" s="43">
        <v>42455</v>
      </c>
      <c r="I664" s="42">
        <f t="shared" ref="I664:I670" si="283">$I$322</f>
        <v>5.4000000000000003E-3</v>
      </c>
      <c r="K664" s="6">
        <f>ROUND($G664*I664,0)</f>
        <v>229</v>
      </c>
      <c r="M664" s="42">
        <f t="shared" si="282"/>
        <v>5.3307099999999998E-3</v>
      </c>
      <c r="O664" s="6">
        <f>ROUND($G664*M664,0)</f>
        <v>226</v>
      </c>
    </row>
    <row r="665" spans="1:15">
      <c r="A665" s="86" t="s">
        <v>260</v>
      </c>
      <c r="C665" s="245">
        <v>26884</v>
      </c>
      <c r="E665" s="261">
        <v>13.92</v>
      </c>
      <c r="F665" s="261"/>
      <c r="G665" s="43">
        <v>374225</v>
      </c>
      <c r="I665" s="42">
        <f t="shared" si="283"/>
        <v>5.4000000000000003E-3</v>
      </c>
      <c r="K665" s="6">
        <f t="shared" ref="K665:K670" si="284">ROUND($G665*I665,0)</f>
        <v>2021</v>
      </c>
      <c r="M665" s="42">
        <f t="shared" si="282"/>
        <v>5.3307099999999998E-3</v>
      </c>
      <c r="O665" s="6">
        <f t="shared" ref="O665:O670" si="285">ROUND($G665*M665,0)</f>
        <v>1995</v>
      </c>
    </row>
    <row r="666" spans="1:15">
      <c r="A666" s="86" t="s">
        <v>221</v>
      </c>
      <c r="C666" s="245">
        <v>905085</v>
      </c>
      <c r="E666" s="276">
        <v>5.8281999999999998</v>
      </c>
      <c r="F666" s="253" t="s">
        <v>10</v>
      </c>
      <c r="G666" s="43">
        <v>52750</v>
      </c>
      <c r="I666" s="42">
        <f t="shared" si="283"/>
        <v>5.4000000000000003E-3</v>
      </c>
      <c r="K666" s="6">
        <f t="shared" si="284"/>
        <v>285</v>
      </c>
      <c r="M666" s="42">
        <f t="shared" si="282"/>
        <v>5.3307099999999998E-3</v>
      </c>
      <c r="O666" s="6">
        <f t="shared" si="285"/>
        <v>281</v>
      </c>
    </row>
    <row r="667" spans="1:15">
      <c r="A667" s="86" t="s">
        <v>261</v>
      </c>
      <c r="C667" s="245">
        <v>2558532</v>
      </c>
      <c r="E667" s="276">
        <v>5.1577000000000002</v>
      </c>
      <c r="F667" s="253" t="s">
        <v>10</v>
      </c>
      <c r="G667" s="43">
        <v>131961</v>
      </c>
      <c r="I667" s="42">
        <f t="shared" si="283"/>
        <v>5.4000000000000003E-3</v>
      </c>
      <c r="K667" s="6">
        <f t="shared" si="284"/>
        <v>713</v>
      </c>
      <c r="M667" s="42">
        <f t="shared" si="282"/>
        <v>5.3307099999999998E-3</v>
      </c>
      <c r="O667" s="6">
        <f t="shared" si="285"/>
        <v>703</v>
      </c>
    </row>
    <row r="668" spans="1:15">
      <c r="A668" s="86" t="s">
        <v>222</v>
      </c>
      <c r="C668" s="245">
        <v>4024260</v>
      </c>
      <c r="E668" s="276">
        <v>2.9624000000000001</v>
      </c>
      <c r="F668" s="253" t="s">
        <v>10</v>
      </c>
      <c r="G668" s="43">
        <v>119215</v>
      </c>
      <c r="I668" s="42">
        <f t="shared" si="283"/>
        <v>5.4000000000000003E-3</v>
      </c>
      <c r="K668" s="6">
        <f t="shared" si="284"/>
        <v>644</v>
      </c>
      <c r="M668" s="42">
        <f t="shared" si="282"/>
        <v>5.3307099999999998E-3</v>
      </c>
      <c r="O668" s="6">
        <f t="shared" si="285"/>
        <v>636</v>
      </c>
    </row>
    <row r="669" spans="1:15">
      <c r="A669" s="86" t="s">
        <v>262</v>
      </c>
      <c r="C669" s="245">
        <v>7522766</v>
      </c>
      <c r="E669" s="276">
        <v>2.6215999999999999</v>
      </c>
      <c r="F669" s="253" t="s">
        <v>10</v>
      </c>
      <c r="G669" s="43">
        <v>197217</v>
      </c>
      <c r="I669" s="42">
        <f t="shared" si="283"/>
        <v>5.4000000000000003E-3</v>
      </c>
      <c r="K669" s="6">
        <f t="shared" si="284"/>
        <v>1065</v>
      </c>
      <c r="M669" s="42">
        <f t="shared" si="282"/>
        <v>5.3307099999999998E-3</v>
      </c>
      <c r="O669" s="6">
        <f t="shared" si="285"/>
        <v>1051</v>
      </c>
    </row>
    <row r="670" spans="1:15">
      <c r="A670" s="86" t="s">
        <v>16</v>
      </c>
      <c r="C670" s="245">
        <v>27713</v>
      </c>
      <c r="E670" s="261">
        <v>-1.1299999999999999</v>
      </c>
      <c r="F670" s="261"/>
      <c r="G670" s="43">
        <v>-31316</v>
      </c>
      <c r="I670" s="42">
        <f t="shared" si="283"/>
        <v>5.4000000000000003E-3</v>
      </c>
      <c r="K670" s="6">
        <f t="shared" si="284"/>
        <v>-169</v>
      </c>
      <c r="M670" s="42">
        <f t="shared" si="282"/>
        <v>5.3307099999999998E-3</v>
      </c>
      <c r="O670" s="6">
        <f t="shared" si="285"/>
        <v>-167</v>
      </c>
    </row>
    <row r="671" spans="1:15">
      <c r="A671" s="246" t="s">
        <v>108</v>
      </c>
      <c r="C671" s="314"/>
      <c r="E671" s="315"/>
      <c r="F671" s="253"/>
      <c r="G671" s="208">
        <f>SUM(G663:G670)</f>
        <v>1020220</v>
      </c>
      <c r="I671" s="315"/>
      <c r="K671" s="208">
        <f>SUM(K663:K670)</f>
        <v>5510</v>
      </c>
      <c r="M671" s="315"/>
      <c r="O671" s="208">
        <f>SUM(O663:O670)</f>
        <v>5438</v>
      </c>
    </row>
    <row r="672" spans="1:15">
      <c r="A672" s="86" t="s">
        <v>26</v>
      </c>
      <c r="C672" s="245">
        <v>283278</v>
      </c>
      <c r="E672" s="261">
        <v>2.2799999999999998</v>
      </c>
      <c r="F672" s="261"/>
      <c r="G672" s="43">
        <v>645874</v>
      </c>
      <c r="I672" s="42">
        <f>$I$346</f>
        <v>5.4000000000000003E-3</v>
      </c>
      <c r="K672" s="6">
        <f t="shared" ref="K672" si="286">ROUND($G672*I672,0)</f>
        <v>3488</v>
      </c>
      <c r="M672" s="42">
        <f t="shared" ref="M672:M678" si="287">$M$346</f>
        <v>5.3328899999999999E-3</v>
      </c>
      <c r="O672" s="6">
        <f t="shared" ref="O672" si="288">ROUND($G672*M672,0)</f>
        <v>3444</v>
      </c>
    </row>
    <row r="673" spans="1:18">
      <c r="A673" s="86" t="s">
        <v>259</v>
      </c>
      <c r="C673" s="245">
        <v>96907</v>
      </c>
      <c r="E673" s="261">
        <v>14.33</v>
      </c>
      <c r="F673" s="261"/>
      <c r="G673" s="43">
        <v>1388677</v>
      </c>
      <c r="I673" s="42">
        <f t="shared" ref="I673:I678" si="289">$I$346</f>
        <v>5.4000000000000003E-3</v>
      </c>
      <c r="K673" s="6">
        <f t="shared" ref="K673:K678" si="290">ROUND($G673*I673,0)</f>
        <v>7499</v>
      </c>
      <c r="M673" s="42">
        <f t="shared" si="287"/>
        <v>5.3328899999999999E-3</v>
      </c>
      <c r="O673" s="6">
        <f t="shared" ref="O673:O678" si="291">ROUND($G673*M673,0)</f>
        <v>7406</v>
      </c>
    </row>
    <row r="674" spans="1:18">
      <c r="A674" s="86" t="s">
        <v>260</v>
      </c>
      <c r="C674" s="245">
        <v>180946</v>
      </c>
      <c r="E674" s="261">
        <v>12.68</v>
      </c>
      <c r="F674" s="261"/>
      <c r="G674" s="43">
        <v>2294395</v>
      </c>
      <c r="I674" s="42">
        <f t="shared" si="289"/>
        <v>5.4000000000000003E-3</v>
      </c>
      <c r="K674" s="6">
        <f t="shared" si="290"/>
        <v>12390</v>
      </c>
      <c r="M674" s="42">
        <f t="shared" si="287"/>
        <v>5.3328899999999999E-3</v>
      </c>
      <c r="O674" s="6">
        <f t="shared" si="291"/>
        <v>12236</v>
      </c>
    </row>
    <row r="675" spans="1:18">
      <c r="A675" s="86" t="s">
        <v>221</v>
      </c>
      <c r="C675" s="245">
        <v>14609917</v>
      </c>
      <c r="E675" s="280">
        <v>5.1477000000000004</v>
      </c>
      <c r="F675" s="253" t="s">
        <v>10</v>
      </c>
      <c r="G675" s="43">
        <v>752075</v>
      </c>
      <c r="I675" s="42">
        <f t="shared" si="289"/>
        <v>5.4000000000000003E-3</v>
      </c>
      <c r="K675" s="6">
        <f t="shared" si="290"/>
        <v>4061</v>
      </c>
      <c r="M675" s="42">
        <f t="shared" si="287"/>
        <v>5.3328899999999999E-3</v>
      </c>
      <c r="O675" s="6">
        <f t="shared" si="291"/>
        <v>4011</v>
      </c>
    </row>
    <row r="676" spans="1:18">
      <c r="A676" s="86" t="s">
        <v>261</v>
      </c>
      <c r="C676" s="245">
        <v>21736230</v>
      </c>
      <c r="E676" s="280">
        <v>4.5555000000000003</v>
      </c>
      <c r="F676" s="253" t="s">
        <v>10</v>
      </c>
      <c r="G676" s="43">
        <v>990194</v>
      </c>
      <c r="I676" s="42">
        <f t="shared" si="289"/>
        <v>5.4000000000000003E-3</v>
      </c>
      <c r="K676" s="6">
        <f t="shared" si="290"/>
        <v>5347</v>
      </c>
      <c r="M676" s="42">
        <f t="shared" si="287"/>
        <v>5.3328899999999999E-3</v>
      </c>
      <c r="O676" s="6">
        <f t="shared" si="291"/>
        <v>5281</v>
      </c>
    </row>
    <row r="677" spans="1:18">
      <c r="A677" s="86" t="s">
        <v>222</v>
      </c>
      <c r="C677" s="245">
        <v>47389695</v>
      </c>
      <c r="E677" s="280">
        <v>2.6164999999999998</v>
      </c>
      <c r="F677" s="253" t="s">
        <v>10</v>
      </c>
      <c r="G677" s="43">
        <v>1239951</v>
      </c>
      <c r="I677" s="42">
        <f t="shared" si="289"/>
        <v>5.4000000000000003E-3</v>
      </c>
      <c r="K677" s="6">
        <f t="shared" si="290"/>
        <v>6696</v>
      </c>
      <c r="M677" s="42">
        <f t="shared" si="287"/>
        <v>5.3328899999999999E-3</v>
      </c>
      <c r="O677" s="6">
        <f t="shared" si="291"/>
        <v>6613</v>
      </c>
    </row>
    <row r="678" spans="1:18">
      <c r="A678" s="86" t="s">
        <v>262</v>
      </c>
      <c r="C678" s="316">
        <v>90512657.666666657</v>
      </c>
      <c r="D678" s="69"/>
      <c r="E678" s="317">
        <v>2.3155000000000001</v>
      </c>
      <c r="F678" s="251" t="s">
        <v>10</v>
      </c>
      <c r="G678" s="186">
        <v>2095821</v>
      </c>
      <c r="H678" s="69"/>
      <c r="I678" s="42">
        <f t="shared" si="289"/>
        <v>5.4000000000000003E-3</v>
      </c>
      <c r="J678" s="69"/>
      <c r="K678" s="6">
        <f t="shared" si="290"/>
        <v>11317</v>
      </c>
      <c r="L678" s="69"/>
      <c r="M678" s="42">
        <f t="shared" si="287"/>
        <v>5.3328899999999999E-3</v>
      </c>
      <c r="N678" s="69"/>
      <c r="O678" s="6">
        <f t="shared" si="291"/>
        <v>11177</v>
      </c>
    </row>
    <row r="679" spans="1:18">
      <c r="A679" s="86"/>
      <c r="C679" s="314"/>
      <c r="E679" s="315"/>
      <c r="F679" s="253"/>
      <c r="G679" s="208">
        <f>SUM(G672:G678)</f>
        <v>9406987</v>
      </c>
      <c r="I679" s="315"/>
      <c r="K679" s="208">
        <f>SUM(K672:K678)</f>
        <v>50798</v>
      </c>
      <c r="M679" s="315"/>
      <c r="O679" s="208">
        <f>SUM(O672:O678)</f>
        <v>50168</v>
      </c>
    </row>
    <row r="680" spans="1:18" ht="16.5" thickBot="1">
      <c r="A680" s="86" t="s">
        <v>109</v>
      </c>
      <c r="C680" s="278">
        <v>189259142.66666666</v>
      </c>
      <c r="E680" s="74"/>
      <c r="G680" s="279">
        <v>12590477</v>
      </c>
      <c r="I680" s="74"/>
      <c r="K680" s="13">
        <f>K660+K671+K679</f>
        <v>67895</v>
      </c>
      <c r="M680" s="74"/>
      <c r="O680" s="13">
        <f>O660+O671+O679</f>
        <v>67020</v>
      </c>
    </row>
    <row r="681" spans="1:18" ht="16.5" thickTop="1">
      <c r="I681" s="70"/>
      <c r="K681" s="43"/>
      <c r="M681" s="70"/>
    </row>
    <row r="682" spans="1:18" s="266" customFormat="1" ht="18.75">
      <c r="A682" s="318" t="s">
        <v>294</v>
      </c>
      <c r="C682" s="267"/>
      <c r="D682" s="267"/>
      <c r="G682" s="268"/>
      <c r="H682" s="267"/>
      <c r="J682" s="267"/>
      <c r="K682" s="43"/>
      <c r="L682" s="267"/>
      <c r="N682" s="267"/>
      <c r="O682" s="43"/>
      <c r="Q682" s="244"/>
      <c r="R682" s="244"/>
    </row>
    <row r="683" spans="1:18" s="266" customFormat="1">
      <c r="A683" s="257" t="s">
        <v>295</v>
      </c>
      <c r="C683" s="267"/>
      <c r="D683" s="267"/>
      <c r="G683" s="268"/>
      <c r="H683" s="267"/>
      <c r="J683" s="267"/>
      <c r="K683" s="43"/>
      <c r="L683" s="267"/>
      <c r="N683" s="267"/>
      <c r="O683" s="43"/>
      <c r="Q683" s="244"/>
      <c r="R683" s="244"/>
    </row>
    <row r="684" spans="1:18" s="266" customFormat="1">
      <c r="A684" s="257" t="s">
        <v>296</v>
      </c>
      <c r="B684" s="257"/>
      <c r="C684" s="267"/>
      <c r="D684" s="267"/>
      <c r="E684" s="319">
        <v>55</v>
      </c>
      <c r="F684" s="268"/>
      <c r="G684" s="268">
        <v>0</v>
      </c>
      <c r="H684" s="267"/>
      <c r="I684" s="319"/>
      <c r="J684" s="267"/>
      <c r="K684" s="6"/>
      <c r="L684" s="267"/>
      <c r="M684" s="319"/>
      <c r="N684" s="267"/>
      <c r="O684" s="6"/>
      <c r="Q684" s="2" t="s">
        <v>356</v>
      </c>
      <c r="R684" s="349"/>
    </row>
    <row r="685" spans="1:18" s="266" customFormat="1">
      <c r="A685" s="257" t="s">
        <v>297</v>
      </c>
      <c r="B685" s="257"/>
      <c r="C685" s="267"/>
      <c r="D685" s="267"/>
      <c r="E685" s="319">
        <v>72</v>
      </c>
      <c r="F685" s="268"/>
      <c r="G685" s="268">
        <v>0</v>
      </c>
      <c r="H685" s="267"/>
      <c r="I685" s="319"/>
      <c r="J685" s="267"/>
      <c r="K685" s="6"/>
      <c r="L685" s="267"/>
      <c r="M685" s="319"/>
      <c r="N685" s="267"/>
      <c r="O685" s="6"/>
      <c r="Q685" s="275" t="s">
        <v>11</v>
      </c>
      <c r="R685" s="7">
        <f>O724</f>
        <v>18457</v>
      </c>
    </row>
    <row r="686" spans="1:18" s="266" customFormat="1">
      <c r="A686" s="257" t="s">
        <v>298</v>
      </c>
      <c r="B686" s="257"/>
      <c r="C686" s="267">
        <v>36</v>
      </c>
      <c r="D686" s="267"/>
      <c r="E686" s="319">
        <v>266</v>
      </c>
      <c r="F686" s="268"/>
      <c r="G686" s="268">
        <v>9576</v>
      </c>
      <c r="H686" s="267"/>
      <c r="I686" s="319"/>
      <c r="J686" s="267"/>
      <c r="K686" s="6"/>
      <c r="L686" s="267"/>
      <c r="M686" s="319"/>
      <c r="N686" s="267"/>
      <c r="O686" s="6"/>
      <c r="Q686" s="249" t="s">
        <v>12</v>
      </c>
      <c r="R686" s="8">
        <f>'Exhibit-RMP(RMM-3) page 2'!K32*1000</f>
        <v>18456.914256471242</v>
      </c>
    </row>
    <row r="687" spans="1:18" s="266" customFormat="1">
      <c r="A687" s="257" t="s">
        <v>299</v>
      </c>
      <c r="B687" s="257"/>
      <c r="C687" s="267"/>
      <c r="D687" s="267"/>
      <c r="E687" s="319"/>
      <c r="F687" s="268"/>
      <c r="G687" s="268"/>
      <c r="H687" s="267"/>
      <c r="I687" s="319"/>
      <c r="J687" s="267"/>
      <c r="K687" s="43"/>
      <c r="L687" s="267"/>
      <c r="M687" s="319"/>
      <c r="N687" s="267"/>
      <c r="O687" s="43"/>
      <c r="Q687" s="250" t="s">
        <v>13</v>
      </c>
      <c r="R687" s="9">
        <f>R686-R685</f>
        <v>-8.5743528758030152E-2</v>
      </c>
    </row>
    <row r="688" spans="1:18" s="266" customFormat="1">
      <c r="A688" s="257" t="s">
        <v>300</v>
      </c>
      <c r="B688" s="257"/>
      <c r="C688" s="267">
        <v>12.83952950842653</v>
      </c>
      <c r="D688" s="267"/>
      <c r="E688" s="319">
        <v>113</v>
      </c>
      <c r="F688" s="268"/>
      <c r="G688" s="268">
        <v>1451</v>
      </c>
      <c r="H688" s="267"/>
      <c r="I688" s="319"/>
      <c r="J688" s="267"/>
      <c r="K688" s="6"/>
      <c r="L688" s="267"/>
      <c r="M688" s="319"/>
      <c r="N688" s="267"/>
      <c r="O688" s="6"/>
      <c r="Q688" s="373"/>
      <c r="R688" s="374"/>
    </row>
    <row r="689" spans="1:18" s="320" customFormat="1">
      <c r="A689" s="257" t="s">
        <v>301</v>
      </c>
      <c r="B689" s="257"/>
      <c r="C689" s="267">
        <v>38.518588525279576</v>
      </c>
      <c r="D689" s="267"/>
      <c r="E689" s="319">
        <v>154</v>
      </c>
      <c r="F689" s="268"/>
      <c r="G689" s="268">
        <v>5932</v>
      </c>
      <c r="H689" s="267"/>
      <c r="I689" s="319"/>
      <c r="J689" s="267"/>
      <c r="K689" s="6"/>
      <c r="L689" s="267"/>
      <c r="M689" s="319"/>
      <c r="N689" s="267"/>
      <c r="O689" s="6"/>
      <c r="Q689" s="2"/>
      <c r="R689" s="375"/>
    </row>
    <row r="690" spans="1:18" s="320" customFormat="1">
      <c r="A690" s="257" t="s">
        <v>302</v>
      </c>
      <c r="B690" s="257"/>
      <c r="C690" s="267"/>
      <c r="D690" s="267"/>
      <c r="E690" s="321"/>
      <c r="F690" s="268"/>
      <c r="G690" s="268"/>
      <c r="H690" s="267"/>
      <c r="I690" s="321"/>
      <c r="J690" s="267"/>
      <c r="K690" s="43"/>
      <c r="L690" s="267"/>
      <c r="M690" s="321"/>
      <c r="N690" s="267"/>
      <c r="O690" s="43"/>
      <c r="Q690" s="263"/>
      <c r="R690" s="263"/>
    </row>
    <row r="691" spans="1:18" s="320" customFormat="1">
      <c r="A691" s="257" t="s">
        <v>303</v>
      </c>
      <c r="B691" s="257"/>
      <c r="C691" s="267"/>
      <c r="D691" s="267"/>
      <c r="E691" s="319">
        <v>7.52</v>
      </c>
      <c r="F691" s="268"/>
      <c r="G691" s="268">
        <v>0</v>
      </c>
      <c r="H691" s="267"/>
      <c r="I691" s="358">
        <v>5.4999999999999997E-3</v>
      </c>
      <c r="J691" s="267"/>
      <c r="K691" s="6">
        <f>ROUND($G691*I691,0)</f>
        <v>0</v>
      </c>
      <c r="L691" s="267"/>
      <c r="M691" s="358">
        <f>ROUND((R686-O723)/SUM(G691:G711),$R$8)</f>
        <v>5.3615599999999996E-3</v>
      </c>
      <c r="N691" s="267"/>
      <c r="O691" s="6">
        <f>ROUND($G691*M691,0)</f>
        <v>0</v>
      </c>
      <c r="Q691" s="244"/>
      <c r="R691" s="244"/>
    </row>
    <row r="692" spans="1:18" s="320" customFormat="1">
      <c r="A692" s="257" t="s">
        <v>304</v>
      </c>
      <c r="B692" s="257"/>
      <c r="C692" s="267"/>
      <c r="D692" s="267"/>
      <c r="E692" s="319">
        <v>6.56</v>
      </c>
      <c r="F692" s="268"/>
      <c r="G692" s="268">
        <v>0</v>
      </c>
      <c r="H692" s="267"/>
      <c r="I692" s="357">
        <f>$I$691</f>
        <v>5.4999999999999997E-3</v>
      </c>
      <c r="J692" s="267"/>
      <c r="K692" s="6">
        <f>ROUND($G692*I692,0)</f>
        <v>0</v>
      </c>
      <c r="L692" s="267"/>
      <c r="M692" s="357">
        <f>$M$691</f>
        <v>5.3615599999999996E-3</v>
      </c>
      <c r="N692" s="267"/>
      <c r="O692" s="6">
        <f>ROUND($G692*M692,0)</f>
        <v>0</v>
      </c>
      <c r="Q692" s="244"/>
      <c r="R692" s="244"/>
    </row>
    <row r="693" spans="1:18" s="320" customFormat="1">
      <c r="A693" s="257" t="s">
        <v>305</v>
      </c>
      <c r="B693" s="257"/>
      <c r="C693" s="267"/>
      <c r="D693" s="267"/>
      <c r="E693" s="319">
        <v>8.3699999999999992</v>
      </c>
      <c r="F693" s="268"/>
      <c r="G693" s="268">
        <v>0</v>
      </c>
      <c r="H693" s="267"/>
      <c r="I693" s="357">
        <f t="shared" ref="I693:I695" si="292">$I$691</f>
        <v>5.4999999999999997E-3</v>
      </c>
      <c r="J693" s="267"/>
      <c r="K693" s="6">
        <f t="shared" ref="K693:K695" si="293">ROUND($G693*I693,0)</f>
        <v>0</v>
      </c>
      <c r="L693" s="267"/>
      <c r="M693" s="357">
        <f t="shared" ref="M693:M695" si="294">$M$691</f>
        <v>5.3615599999999996E-3</v>
      </c>
      <c r="N693" s="267"/>
      <c r="O693" s="6">
        <f>ROUND($G693*M693,0)</f>
        <v>0</v>
      </c>
      <c r="Q693" s="244"/>
      <c r="R693" s="244"/>
    </row>
    <row r="694" spans="1:18" s="320" customFormat="1">
      <c r="A694" s="257" t="s">
        <v>306</v>
      </c>
      <c r="B694" s="257"/>
      <c r="C694" s="267"/>
      <c r="D694" s="267"/>
      <c r="E694" s="319">
        <v>7.24</v>
      </c>
      <c r="F694" s="268"/>
      <c r="G694" s="268">
        <v>0</v>
      </c>
      <c r="H694" s="267"/>
      <c r="I694" s="357">
        <f t="shared" si="292"/>
        <v>5.4999999999999997E-3</v>
      </c>
      <c r="J694" s="267"/>
      <c r="K694" s="6">
        <f t="shared" si="293"/>
        <v>0</v>
      </c>
      <c r="L694" s="267"/>
      <c r="M694" s="357">
        <f t="shared" si="294"/>
        <v>5.3615599999999996E-3</v>
      </c>
      <c r="N694" s="267"/>
      <c r="O694" s="6">
        <f>ROUND($G694*M694,0)</f>
        <v>0</v>
      </c>
      <c r="Q694" s="244"/>
      <c r="R694" s="244"/>
    </row>
    <row r="695" spans="1:18" s="320" customFormat="1">
      <c r="A695" s="257" t="s">
        <v>298</v>
      </c>
      <c r="B695" s="257"/>
      <c r="C695" s="267">
        <v>245395.50772980196</v>
      </c>
      <c r="D695" s="267"/>
      <c r="E695" s="319">
        <v>4.3499999999999996</v>
      </c>
      <c r="F695" s="268"/>
      <c r="G695" s="268">
        <v>1067470</v>
      </c>
      <c r="H695" s="267"/>
      <c r="I695" s="357">
        <f t="shared" si="292"/>
        <v>5.4999999999999997E-3</v>
      </c>
      <c r="J695" s="267"/>
      <c r="K695" s="6">
        <f t="shared" si="293"/>
        <v>5871</v>
      </c>
      <c r="L695" s="267"/>
      <c r="M695" s="357">
        <f t="shared" si="294"/>
        <v>5.3615599999999996E-3</v>
      </c>
      <c r="N695" s="267"/>
      <c r="O695" s="6">
        <f>ROUND($G695*M695,0)</f>
        <v>5723</v>
      </c>
      <c r="Q695" s="244"/>
      <c r="R695" s="244"/>
    </row>
    <row r="696" spans="1:18" s="320" customFormat="1">
      <c r="A696" s="257" t="s">
        <v>307</v>
      </c>
      <c r="B696" s="266"/>
      <c r="C696" s="267"/>
      <c r="D696" s="267"/>
      <c r="E696" s="321"/>
      <c r="F696" s="266"/>
      <c r="G696" s="268"/>
      <c r="H696" s="267"/>
      <c r="I696" s="321"/>
      <c r="J696" s="267"/>
      <c r="K696" s="43"/>
      <c r="L696" s="267"/>
      <c r="M696" s="321"/>
      <c r="N696" s="267"/>
      <c r="O696" s="43"/>
      <c r="Q696" s="244"/>
      <c r="R696" s="244"/>
    </row>
    <row r="697" spans="1:18" s="320" customFormat="1">
      <c r="A697" s="257" t="s">
        <v>308</v>
      </c>
      <c r="B697" s="266"/>
      <c r="C697" s="267"/>
      <c r="D697" s="267"/>
      <c r="E697" s="319"/>
      <c r="F697" s="268"/>
      <c r="G697" s="268"/>
      <c r="H697" s="267"/>
      <c r="I697" s="319"/>
      <c r="J697" s="267"/>
      <c r="K697" s="43"/>
      <c r="L697" s="267"/>
      <c r="M697" s="319"/>
      <c r="N697" s="267"/>
      <c r="O697" s="43"/>
      <c r="Q697" s="244"/>
      <c r="R697" s="244"/>
    </row>
    <row r="698" spans="1:18" s="320" customFormat="1">
      <c r="A698" s="257" t="s">
        <v>309</v>
      </c>
      <c r="B698" s="266"/>
      <c r="C698" s="267"/>
      <c r="D698" s="267"/>
      <c r="E698" s="319">
        <v>0.56999999999999995</v>
      </c>
      <c r="F698" s="268"/>
      <c r="G698" s="268">
        <v>0</v>
      </c>
      <c r="H698" s="267"/>
      <c r="I698" s="357">
        <f t="shared" ref="I698:I699" si="295">$I$691</f>
        <v>5.4999999999999997E-3</v>
      </c>
      <c r="J698" s="267"/>
      <c r="K698" s="6">
        <f t="shared" ref="K698:K699" si="296">ROUND($G698*I698,0)</f>
        <v>0</v>
      </c>
      <c r="L698" s="267"/>
      <c r="M698" s="357">
        <f t="shared" ref="M698:M699" si="297">$M$691</f>
        <v>5.3615599999999996E-3</v>
      </c>
      <c r="N698" s="267"/>
      <c r="O698" s="6">
        <f>ROUND($G698*M698,0)</f>
        <v>0</v>
      </c>
      <c r="Q698" s="244"/>
      <c r="R698" s="244"/>
    </row>
    <row r="699" spans="1:18" s="320" customFormat="1">
      <c r="A699" s="257" t="s">
        <v>310</v>
      </c>
      <c r="B699" s="266"/>
      <c r="C699" s="267"/>
      <c r="D699" s="267"/>
      <c r="E699" s="319">
        <v>0.48</v>
      </c>
      <c r="F699" s="268"/>
      <c r="G699" s="268">
        <v>0</v>
      </c>
      <c r="H699" s="267"/>
      <c r="I699" s="357">
        <f t="shared" si="295"/>
        <v>5.4999999999999997E-3</v>
      </c>
      <c r="J699" s="267"/>
      <c r="K699" s="6">
        <f t="shared" si="296"/>
        <v>0</v>
      </c>
      <c r="L699" s="267"/>
      <c r="M699" s="357">
        <f t="shared" si="297"/>
        <v>5.3615599999999996E-3</v>
      </c>
      <c r="N699" s="267"/>
      <c r="O699" s="6">
        <f>ROUND($G699*M699,0)</f>
        <v>0</v>
      </c>
      <c r="Q699" s="244"/>
      <c r="R699" s="244"/>
    </row>
    <row r="700" spans="1:18" s="320" customFormat="1">
      <c r="A700" s="257" t="s">
        <v>311</v>
      </c>
      <c r="B700" s="266"/>
      <c r="C700" s="267"/>
      <c r="D700" s="267"/>
      <c r="E700" s="319"/>
      <c r="F700" s="268"/>
      <c r="G700" s="268"/>
      <c r="H700" s="267"/>
      <c r="I700" s="319"/>
      <c r="J700" s="267"/>
      <c r="K700" s="43"/>
      <c r="L700" s="267"/>
      <c r="M700" s="319"/>
      <c r="N700" s="267"/>
      <c r="O700" s="43"/>
      <c r="Q700" s="244"/>
      <c r="R700" s="244"/>
    </row>
    <row r="701" spans="1:18" s="320" customFormat="1">
      <c r="A701" s="257" t="s">
        <v>309</v>
      </c>
      <c r="B701" s="266"/>
      <c r="C701" s="267"/>
      <c r="D701" s="267"/>
      <c r="E701" s="319">
        <v>0.56999999999999995</v>
      </c>
      <c r="F701" s="268"/>
      <c r="G701" s="268">
        <v>0</v>
      </c>
      <c r="H701" s="267"/>
      <c r="I701" s="357">
        <f t="shared" ref="I701:I702" si="298">$I$691</f>
        <v>5.4999999999999997E-3</v>
      </c>
      <c r="J701" s="267"/>
      <c r="K701" s="6">
        <f t="shared" ref="K701:K702" si="299">ROUND($G701*I701,0)</f>
        <v>0</v>
      </c>
      <c r="L701" s="267"/>
      <c r="M701" s="357">
        <f t="shared" ref="M701:M702" si="300">$M$691</f>
        <v>5.3615599999999996E-3</v>
      </c>
      <c r="N701" s="267"/>
      <c r="O701" s="6">
        <f>ROUND($G701*M701,0)</f>
        <v>0</v>
      </c>
      <c r="Q701" s="244"/>
      <c r="R701" s="244"/>
    </row>
    <row r="702" spans="1:18" s="320" customFormat="1">
      <c r="A702" s="257" t="s">
        <v>310</v>
      </c>
      <c r="B702" s="266"/>
      <c r="C702" s="267"/>
      <c r="D702" s="267"/>
      <c r="E702" s="319">
        <v>0.47</v>
      </c>
      <c r="F702" s="268"/>
      <c r="G702" s="268">
        <v>0</v>
      </c>
      <c r="H702" s="267"/>
      <c r="I702" s="357">
        <f t="shared" si="298"/>
        <v>5.4999999999999997E-3</v>
      </c>
      <c r="J702" s="267"/>
      <c r="K702" s="6">
        <f t="shared" si="299"/>
        <v>0</v>
      </c>
      <c r="L702" s="267"/>
      <c r="M702" s="357">
        <f t="shared" si="300"/>
        <v>5.3615599999999996E-3</v>
      </c>
      <c r="N702" s="267"/>
      <c r="O702" s="6">
        <f>ROUND($G702*M702,0)</f>
        <v>0</v>
      </c>
      <c r="Q702" s="244"/>
      <c r="R702" s="244"/>
    </row>
    <row r="703" spans="1:18" s="320" customFormat="1">
      <c r="A703" s="257" t="s">
        <v>312</v>
      </c>
      <c r="B703" s="266"/>
      <c r="C703" s="267"/>
      <c r="D703" s="267"/>
      <c r="E703" s="321"/>
      <c r="F703" s="268"/>
      <c r="G703" s="268"/>
      <c r="H703" s="267"/>
      <c r="I703" s="321"/>
      <c r="J703" s="267"/>
      <c r="K703" s="43"/>
      <c r="L703" s="267"/>
      <c r="M703" s="321"/>
      <c r="N703" s="267"/>
      <c r="O703" s="43"/>
      <c r="Q703" s="244"/>
      <c r="R703" s="244"/>
    </row>
    <row r="704" spans="1:18" s="320" customFormat="1">
      <c r="A704" s="257" t="s">
        <v>309</v>
      </c>
      <c r="B704" s="266"/>
      <c r="C704" s="267"/>
      <c r="D704" s="267"/>
      <c r="E704" s="319">
        <v>0.72</v>
      </c>
      <c r="F704" s="268"/>
      <c r="G704" s="268">
        <v>0</v>
      </c>
      <c r="H704" s="267"/>
      <c r="I704" s="357">
        <f t="shared" ref="I704:I705" si="301">$I$691</f>
        <v>5.4999999999999997E-3</v>
      </c>
      <c r="J704" s="267"/>
      <c r="K704" s="6">
        <f t="shared" ref="K704:K705" si="302">ROUND($G704*I704,0)</f>
        <v>0</v>
      </c>
      <c r="L704" s="267"/>
      <c r="M704" s="357">
        <f t="shared" ref="M704:M705" si="303">$M$691</f>
        <v>5.3615599999999996E-3</v>
      </c>
      <c r="N704" s="267"/>
      <c r="O704" s="6">
        <f>ROUND($G704*M704,0)</f>
        <v>0</v>
      </c>
      <c r="Q704" s="244"/>
      <c r="R704" s="244"/>
    </row>
    <row r="705" spans="1:18" s="320" customFormat="1">
      <c r="A705" s="257" t="s">
        <v>310</v>
      </c>
      <c r="B705" s="266"/>
      <c r="C705" s="267"/>
      <c r="D705" s="267"/>
      <c r="E705" s="319">
        <v>0.61</v>
      </c>
      <c r="F705" s="268"/>
      <c r="G705" s="268">
        <v>0</v>
      </c>
      <c r="H705" s="267"/>
      <c r="I705" s="357">
        <f t="shared" si="301"/>
        <v>5.4999999999999997E-3</v>
      </c>
      <c r="J705" s="267"/>
      <c r="K705" s="6">
        <f t="shared" si="302"/>
        <v>0</v>
      </c>
      <c r="L705" s="267"/>
      <c r="M705" s="357">
        <f t="shared" si="303"/>
        <v>5.3615599999999996E-3</v>
      </c>
      <c r="N705" s="267"/>
      <c r="O705" s="6">
        <f>ROUND($G705*M705,0)</f>
        <v>0</v>
      </c>
      <c r="Q705" s="244"/>
      <c r="R705" s="244"/>
    </row>
    <row r="706" spans="1:18" s="320" customFormat="1">
      <c r="A706" s="257" t="s">
        <v>313</v>
      </c>
      <c r="B706" s="266"/>
      <c r="C706" s="267"/>
      <c r="D706" s="267"/>
      <c r="E706" s="319"/>
      <c r="F706" s="268"/>
      <c r="G706" s="268"/>
      <c r="H706" s="267"/>
      <c r="I706" s="319"/>
      <c r="J706" s="267"/>
      <c r="K706" s="43"/>
      <c r="L706" s="267"/>
      <c r="M706" s="319"/>
      <c r="N706" s="267"/>
      <c r="O706" s="43"/>
      <c r="Q706" s="244"/>
      <c r="R706" s="244"/>
    </row>
    <row r="707" spans="1:18" s="320" customFormat="1">
      <c r="A707" s="257" t="s">
        <v>309</v>
      </c>
      <c r="B707" s="266"/>
      <c r="C707" s="267"/>
      <c r="D707" s="267"/>
      <c r="E707" s="319">
        <v>0.71</v>
      </c>
      <c r="F707" s="268"/>
      <c r="G707" s="268">
        <v>0</v>
      </c>
      <c r="H707" s="267"/>
      <c r="I707" s="357">
        <f t="shared" ref="I707:I708" si="304">$I$691</f>
        <v>5.4999999999999997E-3</v>
      </c>
      <c r="J707" s="267"/>
      <c r="K707" s="6">
        <f t="shared" ref="K707:K708" si="305">ROUND($G707*I707,0)</f>
        <v>0</v>
      </c>
      <c r="L707" s="267"/>
      <c r="M707" s="357">
        <f t="shared" ref="M707:M708" si="306">$M$691</f>
        <v>5.3615599999999996E-3</v>
      </c>
      <c r="N707" s="267"/>
      <c r="O707" s="6">
        <f>ROUND($G707*M707,0)</f>
        <v>0</v>
      </c>
      <c r="Q707" s="244"/>
      <c r="R707" s="244"/>
    </row>
    <row r="708" spans="1:18" s="320" customFormat="1">
      <c r="A708" s="257" t="s">
        <v>310</v>
      </c>
      <c r="B708" s="266"/>
      <c r="C708" s="267"/>
      <c r="D708" s="267"/>
      <c r="E708" s="319">
        <v>0.59</v>
      </c>
      <c r="F708" s="268"/>
      <c r="G708" s="268">
        <v>0</v>
      </c>
      <c r="H708" s="267"/>
      <c r="I708" s="357">
        <f t="shared" si="304"/>
        <v>5.4999999999999997E-3</v>
      </c>
      <c r="J708" s="267"/>
      <c r="K708" s="6">
        <f t="shared" si="305"/>
        <v>0</v>
      </c>
      <c r="L708" s="267"/>
      <c r="M708" s="357">
        <f t="shared" si="306"/>
        <v>5.3615599999999996E-3</v>
      </c>
      <c r="N708" s="267"/>
      <c r="O708" s="6">
        <f>ROUND($G708*M708,0)</f>
        <v>0</v>
      </c>
      <c r="Q708" s="244"/>
      <c r="R708" s="244"/>
    </row>
    <row r="709" spans="1:18" s="320" customFormat="1">
      <c r="A709" s="257" t="s">
        <v>314</v>
      </c>
      <c r="B709" s="266"/>
      <c r="C709" s="267"/>
      <c r="D709" s="267"/>
      <c r="E709" s="321"/>
      <c r="F709" s="266"/>
      <c r="G709" s="268"/>
      <c r="H709" s="267"/>
      <c r="I709" s="321"/>
      <c r="J709" s="267"/>
      <c r="K709" s="43"/>
      <c r="L709" s="267"/>
      <c r="M709" s="321"/>
      <c r="N709" s="267"/>
      <c r="O709" s="43"/>
      <c r="Q709" s="244"/>
      <c r="R709" s="244"/>
    </row>
    <row r="710" spans="1:18" s="320" customFormat="1">
      <c r="A710" s="257" t="s">
        <v>309</v>
      </c>
      <c r="B710" s="266"/>
      <c r="C710" s="267">
        <v>526626.49852888589</v>
      </c>
      <c r="D710" s="267"/>
      <c r="E710" s="319">
        <v>0.71</v>
      </c>
      <c r="F710" s="268"/>
      <c r="G710" s="268">
        <v>373905</v>
      </c>
      <c r="H710" s="267"/>
      <c r="I710" s="357">
        <f t="shared" ref="I710:I711" si="307">$I$691</f>
        <v>5.4999999999999997E-3</v>
      </c>
      <c r="J710" s="267"/>
      <c r="K710" s="6">
        <f t="shared" ref="K710:K711" si="308">ROUND($G710*I710,0)</f>
        <v>2056</v>
      </c>
      <c r="L710" s="267"/>
      <c r="M710" s="357">
        <f t="shared" ref="M710:M711" si="309">$M$691</f>
        <v>5.3615599999999996E-3</v>
      </c>
      <c r="N710" s="267"/>
      <c r="O710" s="6">
        <f>ROUND($G710*M710,0)</f>
        <v>2005</v>
      </c>
      <c r="Q710" s="244"/>
      <c r="R710" s="244"/>
    </row>
    <row r="711" spans="1:18" s="320" customFormat="1">
      <c r="A711" s="257" t="s">
        <v>310</v>
      </c>
      <c r="B711" s="266"/>
      <c r="C711" s="267">
        <v>913270.88847378257</v>
      </c>
      <c r="D711" s="267"/>
      <c r="E711" s="319">
        <v>0.61</v>
      </c>
      <c r="F711" s="268"/>
      <c r="G711" s="268">
        <v>557095</v>
      </c>
      <c r="H711" s="267"/>
      <c r="I711" s="357">
        <f t="shared" si="307"/>
        <v>5.4999999999999997E-3</v>
      </c>
      <c r="J711" s="267"/>
      <c r="K711" s="6">
        <f t="shared" si="308"/>
        <v>3064</v>
      </c>
      <c r="L711" s="267"/>
      <c r="M711" s="357">
        <f t="shared" si="309"/>
        <v>5.3615599999999996E-3</v>
      </c>
      <c r="N711" s="267"/>
      <c r="O711" s="6">
        <f>ROUND($G711*M711,0)</f>
        <v>2987</v>
      </c>
      <c r="Q711" s="244"/>
      <c r="R711" s="244"/>
    </row>
    <row r="712" spans="1:18" s="320" customFormat="1">
      <c r="A712" s="257" t="s">
        <v>315</v>
      </c>
      <c r="B712" s="266"/>
      <c r="C712" s="267">
        <v>172556856.82849827</v>
      </c>
      <c r="D712" s="267"/>
      <c r="E712" s="322">
        <v>5.7290000000000001</v>
      </c>
      <c r="F712" s="323" t="s">
        <v>10</v>
      </c>
      <c r="G712" s="268">
        <v>9885782</v>
      </c>
      <c r="H712" s="267"/>
      <c r="I712" s="357"/>
      <c r="J712" s="267"/>
      <c r="K712" s="6"/>
      <c r="L712" s="267"/>
      <c r="M712" s="357"/>
      <c r="N712" s="267"/>
      <c r="O712" s="6"/>
      <c r="Q712" s="244"/>
      <c r="R712" s="244"/>
    </row>
    <row r="713" spans="1:18" s="266" customFormat="1">
      <c r="A713" s="257" t="s">
        <v>97</v>
      </c>
      <c r="C713" s="324">
        <v>172556856.82849827</v>
      </c>
      <c r="D713" s="325"/>
      <c r="E713" s="268"/>
      <c r="F713" s="268"/>
      <c r="G713" s="326">
        <v>11901211</v>
      </c>
      <c r="H713" s="325"/>
      <c r="I713" s="268"/>
      <c r="J713" s="325"/>
      <c r="K713" s="208">
        <f>SUM(K684:K712)</f>
        <v>10991</v>
      </c>
      <c r="L713" s="325"/>
      <c r="M713" s="268"/>
      <c r="N713" s="325"/>
      <c r="O713" s="208">
        <f>SUM(O684:O712)</f>
        <v>10715</v>
      </c>
      <c r="Q713" s="244"/>
      <c r="R713" s="244"/>
    </row>
    <row r="714" spans="1:18" s="266" customFormat="1">
      <c r="A714" s="327" t="s">
        <v>341</v>
      </c>
      <c r="C714" s="267"/>
      <c r="G714" s="268"/>
      <c r="K714" s="43"/>
      <c r="O714" s="43"/>
      <c r="Q714" s="244"/>
      <c r="R714" s="244"/>
    </row>
    <row r="715" spans="1:18" s="266" customFormat="1">
      <c r="A715" s="265" t="s">
        <v>108</v>
      </c>
      <c r="C715" s="267"/>
      <c r="D715" s="267"/>
      <c r="E715" s="268"/>
      <c r="F715" s="268"/>
      <c r="G715" s="268"/>
      <c r="H715" s="267"/>
      <c r="I715" s="268"/>
      <c r="J715" s="267"/>
      <c r="K715" s="43"/>
      <c r="L715" s="267"/>
      <c r="M715" s="268"/>
      <c r="N715" s="267"/>
      <c r="O715" s="43"/>
      <c r="Q715" s="244"/>
      <c r="R715" s="244"/>
    </row>
    <row r="716" spans="1:18" s="266" customFormat="1">
      <c r="A716" s="257" t="s">
        <v>26</v>
      </c>
      <c r="C716" s="267">
        <v>41882.545256487327</v>
      </c>
      <c r="D716" s="267"/>
      <c r="E716" s="328">
        <v>2.2799999999999998</v>
      </c>
      <c r="F716" s="328"/>
      <c r="G716" s="329">
        <v>95492</v>
      </c>
      <c r="H716" s="267"/>
      <c r="I716" s="360">
        <f t="shared" ref="I716:I722" si="310">$I$346</f>
        <v>5.4000000000000003E-3</v>
      </c>
      <c r="J716" s="267"/>
      <c r="K716" s="6">
        <f t="shared" ref="K716" si="311">ROUND($G716*I716,0)</f>
        <v>516</v>
      </c>
      <c r="L716" s="267"/>
      <c r="M716" s="360">
        <f t="shared" ref="M716:M722" si="312">$M$346</f>
        <v>5.3328899999999999E-3</v>
      </c>
      <c r="N716" s="267"/>
      <c r="O716" s="6">
        <f t="shared" ref="O716" si="313">ROUND($G716*M716,0)</f>
        <v>509</v>
      </c>
      <c r="Q716" s="244"/>
      <c r="R716" s="244"/>
    </row>
    <row r="717" spans="1:18" s="266" customFormat="1">
      <c r="A717" s="86" t="s">
        <v>259</v>
      </c>
      <c r="C717" s="245">
        <v>15180.02958676651</v>
      </c>
      <c r="D717" s="267"/>
      <c r="E717" s="328">
        <v>14.33</v>
      </c>
      <c r="F717" s="328"/>
      <c r="G717" s="43">
        <v>217530</v>
      </c>
      <c r="H717" s="267"/>
      <c r="I717" s="360">
        <f t="shared" si="310"/>
        <v>5.4000000000000003E-3</v>
      </c>
      <c r="J717" s="267"/>
      <c r="K717" s="6">
        <f t="shared" ref="K717:K722" si="314">ROUND($G717*I717,0)</f>
        <v>1175</v>
      </c>
      <c r="L717" s="267"/>
      <c r="M717" s="360">
        <f t="shared" si="312"/>
        <v>5.3328899999999999E-3</v>
      </c>
      <c r="N717" s="267"/>
      <c r="O717" s="6">
        <f t="shared" ref="O717:O722" si="315">ROUND($G717*M717,0)</f>
        <v>1160</v>
      </c>
      <c r="Q717" s="244"/>
      <c r="R717" s="244"/>
    </row>
    <row r="718" spans="1:18" s="266" customFormat="1">
      <c r="A718" s="86" t="s">
        <v>260</v>
      </c>
      <c r="C718" s="245">
        <v>26325.06937362958</v>
      </c>
      <c r="D718" s="267"/>
      <c r="E718" s="328">
        <v>12.68</v>
      </c>
      <c r="F718" s="328"/>
      <c r="G718" s="43">
        <v>333802</v>
      </c>
      <c r="H718" s="267"/>
      <c r="I718" s="360">
        <f t="shared" si="310"/>
        <v>5.4000000000000003E-3</v>
      </c>
      <c r="J718" s="267"/>
      <c r="K718" s="6">
        <f t="shared" si="314"/>
        <v>1803</v>
      </c>
      <c r="L718" s="267"/>
      <c r="M718" s="360">
        <f t="shared" si="312"/>
        <v>5.3328899999999999E-3</v>
      </c>
      <c r="N718" s="267"/>
      <c r="O718" s="6">
        <f t="shared" si="315"/>
        <v>1780</v>
      </c>
      <c r="Q718" s="244"/>
      <c r="R718" s="244"/>
    </row>
    <row r="719" spans="1:18" s="266" customFormat="1">
      <c r="A719" s="86" t="s">
        <v>221</v>
      </c>
      <c r="C719" s="245">
        <v>4703542.3042796534</v>
      </c>
      <c r="D719" s="267"/>
      <c r="E719" s="322">
        <v>5.1477000000000004</v>
      </c>
      <c r="F719" s="323" t="s">
        <v>10</v>
      </c>
      <c r="G719" s="43">
        <v>242124</v>
      </c>
      <c r="H719" s="267"/>
      <c r="I719" s="360">
        <f t="shared" si="310"/>
        <v>5.4000000000000003E-3</v>
      </c>
      <c r="J719" s="267"/>
      <c r="K719" s="6">
        <f t="shared" si="314"/>
        <v>1307</v>
      </c>
      <c r="L719" s="267"/>
      <c r="M719" s="360">
        <f t="shared" si="312"/>
        <v>5.3328899999999999E-3</v>
      </c>
      <c r="N719" s="267"/>
      <c r="O719" s="6">
        <f t="shared" si="315"/>
        <v>1291</v>
      </c>
      <c r="Q719" s="244"/>
      <c r="R719" s="244"/>
    </row>
    <row r="720" spans="1:18" s="266" customFormat="1">
      <c r="A720" s="86" t="s">
        <v>261</v>
      </c>
      <c r="C720" s="245">
        <v>4209024.1937161162</v>
      </c>
      <c r="D720" s="267"/>
      <c r="E720" s="322">
        <v>4.5555000000000003</v>
      </c>
      <c r="F720" s="323" t="s">
        <v>10</v>
      </c>
      <c r="G720" s="43">
        <v>191742</v>
      </c>
      <c r="H720" s="267"/>
      <c r="I720" s="360">
        <f t="shared" si="310"/>
        <v>5.4000000000000003E-3</v>
      </c>
      <c r="J720" s="267"/>
      <c r="K720" s="6">
        <f t="shared" si="314"/>
        <v>1035</v>
      </c>
      <c r="L720" s="267"/>
      <c r="M720" s="360">
        <f t="shared" si="312"/>
        <v>5.3328899999999999E-3</v>
      </c>
      <c r="N720" s="267"/>
      <c r="O720" s="6">
        <f t="shared" si="315"/>
        <v>1023</v>
      </c>
      <c r="Q720" s="244"/>
      <c r="R720" s="244"/>
    </row>
    <row r="721" spans="1:18" s="266" customFormat="1">
      <c r="A721" s="86" t="s">
        <v>222</v>
      </c>
      <c r="C721" s="245">
        <v>6552516.860153473</v>
      </c>
      <c r="D721" s="267"/>
      <c r="E721" s="322">
        <v>2.6164999999999998</v>
      </c>
      <c r="F721" s="323" t="s">
        <v>10</v>
      </c>
      <c r="G721" s="43">
        <v>171447</v>
      </c>
      <c r="H721" s="267"/>
      <c r="I721" s="360">
        <f t="shared" si="310"/>
        <v>5.4000000000000003E-3</v>
      </c>
      <c r="J721" s="267"/>
      <c r="K721" s="6">
        <f t="shared" si="314"/>
        <v>926</v>
      </c>
      <c r="L721" s="267"/>
      <c r="M721" s="360">
        <f t="shared" si="312"/>
        <v>5.3328899999999999E-3</v>
      </c>
      <c r="N721" s="267"/>
      <c r="O721" s="6">
        <f t="shared" si="315"/>
        <v>914</v>
      </c>
      <c r="Q721" s="244"/>
      <c r="R721" s="244"/>
    </row>
    <row r="722" spans="1:18" s="266" customFormat="1">
      <c r="A722" s="86" t="s">
        <v>262</v>
      </c>
      <c r="C722" s="245">
        <v>8628049.8133524694</v>
      </c>
      <c r="D722" s="267"/>
      <c r="E722" s="330">
        <v>2.3155000000000001</v>
      </c>
      <c r="F722" s="323" t="s">
        <v>10</v>
      </c>
      <c r="G722" s="43">
        <v>199782</v>
      </c>
      <c r="H722" s="267"/>
      <c r="I722" s="362">
        <f t="shared" si="310"/>
        <v>5.4000000000000003E-3</v>
      </c>
      <c r="J722" s="267"/>
      <c r="K722" s="282">
        <f t="shared" si="314"/>
        <v>1079</v>
      </c>
      <c r="L722" s="267"/>
      <c r="M722" s="362">
        <f t="shared" si="312"/>
        <v>5.3328899999999999E-3</v>
      </c>
      <c r="N722" s="267"/>
      <c r="O722" s="282">
        <f t="shared" si="315"/>
        <v>1065</v>
      </c>
      <c r="Q722" s="244"/>
      <c r="R722" s="244"/>
    </row>
    <row r="723" spans="1:18" s="266" customFormat="1">
      <c r="A723" s="257" t="s">
        <v>97</v>
      </c>
      <c r="C723" s="245"/>
      <c r="D723" s="267"/>
      <c r="E723" s="351"/>
      <c r="F723" s="323"/>
      <c r="G723" s="43">
        <f>SUM(G716:G722)</f>
        <v>1451919</v>
      </c>
      <c r="H723" s="267"/>
      <c r="I723" s="351"/>
      <c r="J723" s="267"/>
      <c r="K723" s="6">
        <f>SUM(K716:K722)</f>
        <v>7841</v>
      </c>
      <c r="L723" s="267"/>
      <c r="M723" s="351"/>
      <c r="N723" s="267"/>
      <c r="O723" s="6">
        <f>SUM(O716:O722)</f>
        <v>7742</v>
      </c>
      <c r="Q723" s="244"/>
      <c r="R723" s="244"/>
    </row>
    <row r="724" spans="1:18" s="266" customFormat="1" ht="16.5" thickBot="1">
      <c r="A724" s="257" t="s">
        <v>109</v>
      </c>
      <c r="C724" s="331">
        <v>196649989.99999997</v>
      </c>
      <c r="D724" s="267"/>
      <c r="E724" s="268"/>
      <c r="F724" s="268"/>
      <c r="G724" s="332">
        <v>13353130</v>
      </c>
      <c r="H724" s="267"/>
      <c r="I724" s="268"/>
      <c r="J724" s="267"/>
      <c r="K724" s="13">
        <f>K713+K723</f>
        <v>18832</v>
      </c>
      <c r="L724" s="267"/>
      <c r="M724" s="268"/>
      <c r="N724" s="267"/>
      <c r="O724" s="13">
        <f>O713+O723</f>
        <v>18457</v>
      </c>
      <c r="Q724" s="244"/>
      <c r="R724" s="244"/>
    </row>
    <row r="725" spans="1:18" s="266" customFormat="1" ht="16.5" thickTop="1">
      <c r="C725" s="267"/>
      <c r="G725" s="268"/>
      <c r="K725" s="43"/>
      <c r="O725" s="43"/>
      <c r="Q725" s="244"/>
      <c r="R725" s="244"/>
    </row>
    <row r="726" spans="1:18" s="266" customFormat="1">
      <c r="A726" s="265" t="s">
        <v>316</v>
      </c>
      <c r="C726" s="267"/>
      <c r="D726" s="267"/>
      <c r="G726" s="268"/>
      <c r="H726" s="267"/>
      <c r="J726" s="267"/>
      <c r="K726" s="43"/>
      <c r="L726" s="267"/>
      <c r="N726" s="267"/>
      <c r="O726" s="43"/>
      <c r="Q726" s="244"/>
      <c r="R726" s="244"/>
    </row>
    <row r="727" spans="1:18" s="266" customFormat="1">
      <c r="A727" s="86" t="s">
        <v>317</v>
      </c>
      <c r="C727" s="267">
        <v>12</v>
      </c>
      <c r="D727" s="267"/>
      <c r="G727" s="268"/>
      <c r="H727" s="267"/>
      <c r="J727" s="267"/>
      <c r="K727" s="43"/>
      <c r="L727" s="267"/>
      <c r="N727" s="267"/>
      <c r="O727" s="43"/>
      <c r="Q727" s="244"/>
      <c r="R727" s="244"/>
    </row>
    <row r="728" spans="1:18" s="266" customFormat="1">
      <c r="A728" s="86" t="s">
        <v>352</v>
      </c>
      <c r="C728" s="267">
        <v>230623</v>
      </c>
      <c r="D728" s="267"/>
      <c r="E728" s="328">
        <v>5.08</v>
      </c>
      <c r="F728" s="328"/>
      <c r="G728" s="6">
        <f>ROUND($C728*E728,0)</f>
        <v>1171565</v>
      </c>
      <c r="H728" s="267"/>
      <c r="I728" s="328"/>
      <c r="J728" s="267"/>
      <c r="K728" s="6"/>
      <c r="L728" s="267"/>
      <c r="M728" s="328"/>
      <c r="N728" s="267"/>
      <c r="O728" s="6"/>
      <c r="Q728" s="244"/>
      <c r="R728" s="244"/>
    </row>
    <row r="729" spans="1:18" s="266" customFormat="1">
      <c r="A729" s="86" t="s">
        <v>353</v>
      </c>
      <c r="C729" s="267">
        <f>C730</f>
        <v>242230000</v>
      </c>
      <c r="D729" s="267"/>
      <c r="E729" s="280">
        <f>ROUND(G729/$C729*100,4)</f>
        <v>4.8945999999999996</v>
      </c>
      <c r="F729" s="253" t="s">
        <v>10</v>
      </c>
      <c r="G729" s="329">
        <f>G730-G728</f>
        <v>11856193.191234671</v>
      </c>
      <c r="H729" s="267"/>
      <c r="I729" s="280"/>
      <c r="J729" s="267"/>
      <c r="K729" s="6"/>
      <c r="L729" s="267"/>
      <c r="M729" s="280"/>
      <c r="N729" s="267"/>
      <c r="O729" s="6"/>
      <c r="Q729" s="244"/>
      <c r="R729" s="244"/>
    </row>
    <row r="730" spans="1:18" s="266" customFormat="1" ht="16.5" thickBot="1">
      <c r="A730" s="257" t="s">
        <v>110</v>
      </c>
      <c r="C730" s="331">
        <v>242230000</v>
      </c>
      <c r="D730" s="267"/>
      <c r="E730" s="280">
        <v>5.3783000000000003</v>
      </c>
      <c r="F730" s="253" t="s">
        <v>10</v>
      </c>
      <c r="G730" s="333">
        <v>13027758.191234671</v>
      </c>
      <c r="H730" s="267"/>
      <c r="I730" s="280"/>
      <c r="J730" s="267"/>
      <c r="K730" s="13"/>
      <c r="L730" s="267"/>
      <c r="M730" s="280"/>
      <c r="N730" s="267"/>
      <c r="O730" s="13"/>
      <c r="Q730" s="244"/>
      <c r="R730" s="244"/>
    </row>
    <row r="731" spans="1:18" ht="16.5" thickTop="1">
      <c r="I731" s="70"/>
      <c r="K731" s="43"/>
      <c r="M731" s="70"/>
    </row>
    <row r="732" spans="1:18">
      <c r="A732" s="246" t="s">
        <v>152</v>
      </c>
      <c r="I732" s="70"/>
      <c r="K732" s="43"/>
      <c r="M732" s="70"/>
    </row>
    <row r="733" spans="1:18">
      <c r="A733" s="86" t="s">
        <v>318</v>
      </c>
      <c r="C733" s="245">
        <v>12</v>
      </c>
      <c r="E733" s="328">
        <v>232</v>
      </c>
      <c r="F733" s="276"/>
      <c r="G733" s="43">
        <v>2784</v>
      </c>
      <c r="I733" s="328"/>
      <c r="K733" s="6"/>
      <c r="M733" s="328"/>
      <c r="O733" s="6"/>
    </row>
    <row r="734" spans="1:18">
      <c r="A734" s="86" t="s">
        <v>319</v>
      </c>
      <c r="C734" s="245">
        <v>1004562</v>
      </c>
      <c r="E734" s="328">
        <v>1.92</v>
      </c>
      <c r="F734" s="276"/>
      <c r="G734" s="43">
        <v>1928759</v>
      </c>
      <c r="I734" s="328"/>
      <c r="K734" s="6"/>
      <c r="M734" s="328"/>
      <c r="O734" s="6"/>
      <c r="Q734" s="275" t="s">
        <v>11</v>
      </c>
      <c r="R734" s="7">
        <f>O741</f>
        <v>0</v>
      </c>
    </row>
    <row r="735" spans="1:18">
      <c r="A735" s="86" t="s">
        <v>320</v>
      </c>
      <c r="C735" s="245">
        <v>381956</v>
      </c>
      <c r="E735" s="328">
        <v>12.93</v>
      </c>
      <c r="F735" s="276"/>
      <c r="G735" s="43">
        <v>4938691</v>
      </c>
      <c r="I735" s="328"/>
      <c r="K735" s="6"/>
      <c r="M735" s="328"/>
      <c r="O735" s="6"/>
      <c r="Q735" s="249" t="s">
        <v>12</v>
      </c>
      <c r="R735" s="8">
        <v>0</v>
      </c>
    </row>
    <row r="736" spans="1:18">
      <c r="A736" s="86" t="s">
        <v>321</v>
      </c>
      <c r="C736" s="245">
        <v>622606</v>
      </c>
      <c r="E736" s="328">
        <v>8.67</v>
      </c>
      <c r="F736" s="276"/>
      <c r="G736" s="43">
        <v>5397994</v>
      </c>
      <c r="I736" s="328"/>
      <c r="K736" s="6"/>
      <c r="M736" s="328"/>
      <c r="O736" s="6"/>
      <c r="Q736" s="250" t="s">
        <v>13</v>
      </c>
      <c r="R736" s="9">
        <f>R735-R734</f>
        <v>0</v>
      </c>
    </row>
    <row r="737" spans="1:18">
      <c r="A737" s="86" t="s">
        <v>322</v>
      </c>
      <c r="C737" s="245">
        <v>101240704</v>
      </c>
      <c r="E737" s="280">
        <v>4.3940000000000001</v>
      </c>
      <c r="F737" s="253" t="s">
        <v>10</v>
      </c>
      <c r="G737" s="43">
        <v>4448517</v>
      </c>
      <c r="I737" s="280"/>
      <c r="K737" s="6"/>
      <c r="M737" s="280"/>
      <c r="O737" s="6"/>
      <c r="Q737" s="373"/>
      <c r="R737" s="374"/>
    </row>
    <row r="738" spans="1:18">
      <c r="A738" s="86" t="s">
        <v>323</v>
      </c>
      <c r="C738" s="245">
        <v>142951672</v>
      </c>
      <c r="E738" s="280">
        <v>2.76</v>
      </c>
      <c r="F738" s="253" t="s">
        <v>10</v>
      </c>
      <c r="G738" s="43">
        <v>3945466</v>
      </c>
      <c r="I738" s="280"/>
      <c r="K738" s="6"/>
      <c r="M738" s="280"/>
      <c r="O738" s="6"/>
      <c r="Q738" s="2"/>
      <c r="R738" s="375"/>
    </row>
    <row r="739" spans="1:18">
      <c r="A739" s="86" t="s">
        <v>324</v>
      </c>
      <c r="C739" s="245">
        <v>168476287</v>
      </c>
      <c r="E739" s="280">
        <v>3.306</v>
      </c>
      <c r="F739" s="253" t="s">
        <v>10</v>
      </c>
      <c r="G739" s="43">
        <v>5569826</v>
      </c>
      <c r="I739" s="280"/>
      <c r="K739" s="6"/>
      <c r="M739" s="280"/>
      <c r="O739" s="6"/>
      <c r="Q739" s="263"/>
      <c r="R739" s="263"/>
    </row>
    <row r="740" spans="1:18">
      <c r="A740" s="86" t="s">
        <v>325</v>
      </c>
      <c r="C740" s="334">
        <v>204431337</v>
      </c>
      <c r="E740" s="280">
        <v>2.76</v>
      </c>
      <c r="F740" s="253" t="s">
        <v>10</v>
      </c>
      <c r="G740" s="43">
        <v>5642305</v>
      </c>
      <c r="I740" s="280"/>
      <c r="K740" s="6"/>
      <c r="M740" s="280"/>
      <c r="O740" s="6"/>
    </row>
    <row r="741" spans="1:18" ht="16.5" thickBot="1">
      <c r="A741" s="86" t="s">
        <v>14</v>
      </c>
      <c r="C741" s="278">
        <v>617100000</v>
      </c>
      <c r="E741" s="335"/>
      <c r="F741" s="276"/>
      <c r="G741" s="279">
        <v>31874342</v>
      </c>
      <c r="I741" s="335"/>
      <c r="K741" s="13"/>
      <c r="M741" s="335"/>
      <c r="O741" s="13"/>
    </row>
    <row r="742" spans="1:18" ht="16.5" thickTop="1">
      <c r="I742" s="70"/>
      <c r="K742" s="43"/>
      <c r="M742" s="70"/>
    </row>
    <row r="743" spans="1:18">
      <c r="A743" s="246" t="s">
        <v>153</v>
      </c>
      <c r="E743" s="276"/>
      <c r="F743" s="276"/>
      <c r="I743" s="276"/>
      <c r="K743" s="43"/>
      <c r="M743" s="276"/>
    </row>
    <row r="744" spans="1:18">
      <c r="A744" s="86" t="s">
        <v>7</v>
      </c>
      <c r="C744" s="245">
        <v>12</v>
      </c>
      <c r="I744" s="70"/>
      <c r="K744" s="43"/>
      <c r="M744" s="70"/>
      <c r="Q744" s="275" t="s">
        <v>11</v>
      </c>
      <c r="R744" s="7">
        <f>O749</f>
        <v>0</v>
      </c>
    </row>
    <row r="745" spans="1:18">
      <c r="A745" s="257" t="s">
        <v>29</v>
      </c>
      <c r="C745" s="245">
        <v>57264151</v>
      </c>
      <c r="E745" s="280">
        <v>6.5679999999999996</v>
      </c>
      <c r="F745" s="253" t="s">
        <v>10</v>
      </c>
      <c r="G745" s="43">
        <v>3761109</v>
      </c>
      <c r="I745" s="280"/>
      <c r="K745" s="6"/>
      <c r="M745" s="280"/>
      <c r="O745" s="6"/>
      <c r="Q745" s="249" t="s">
        <v>12</v>
      </c>
      <c r="R745" s="8">
        <v>0</v>
      </c>
    </row>
    <row r="746" spans="1:18">
      <c r="A746" s="257" t="s">
        <v>30</v>
      </c>
      <c r="C746" s="245">
        <v>179663027</v>
      </c>
      <c r="E746" s="280">
        <v>4.9409999999999998</v>
      </c>
      <c r="F746" s="253" t="s">
        <v>10</v>
      </c>
      <c r="G746" s="43">
        <v>8877150</v>
      </c>
      <c r="I746" s="280"/>
      <c r="K746" s="6"/>
      <c r="M746" s="280"/>
      <c r="O746" s="6"/>
      <c r="Q746" s="250" t="s">
        <v>13</v>
      </c>
      <c r="R746" s="9">
        <f>R745-R744</f>
        <v>0</v>
      </c>
    </row>
    <row r="747" spans="1:18">
      <c r="A747" s="257" t="s">
        <v>15</v>
      </c>
      <c r="C747" s="245">
        <v>239492625.9472512</v>
      </c>
      <c r="E747" s="280">
        <v>4.1280000000000001</v>
      </c>
      <c r="F747" s="253" t="s">
        <v>10</v>
      </c>
      <c r="G747" s="43">
        <v>9886256</v>
      </c>
      <c r="I747" s="280"/>
      <c r="K747" s="6"/>
      <c r="M747" s="280"/>
      <c r="O747" s="6"/>
      <c r="Q747" s="373"/>
      <c r="R747" s="374"/>
    </row>
    <row r="748" spans="1:18">
      <c r="A748" s="257" t="s">
        <v>326</v>
      </c>
      <c r="C748" s="334">
        <v>229035744.99930882</v>
      </c>
      <c r="E748" s="280">
        <v>4.1280000000000001</v>
      </c>
      <c r="F748" s="253" t="s">
        <v>10</v>
      </c>
      <c r="G748" s="296">
        <v>9454596</v>
      </c>
      <c r="I748" s="280"/>
      <c r="K748" s="282"/>
      <c r="M748" s="280"/>
      <c r="O748" s="282"/>
      <c r="Q748" s="2"/>
      <c r="R748" s="375"/>
    </row>
    <row r="749" spans="1:18" ht="16.5" thickBot="1">
      <c r="A749" s="86" t="s">
        <v>14</v>
      </c>
      <c r="C749" s="336">
        <v>705455548.94656003</v>
      </c>
      <c r="E749" s="337"/>
      <c r="F749" s="276"/>
      <c r="G749" s="211">
        <v>31979111</v>
      </c>
      <c r="I749" s="337"/>
      <c r="K749" s="13"/>
      <c r="M749" s="337"/>
      <c r="O749" s="13"/>
      <c r="Q749" s="263"/>
      <c r="R749" s="263"/>
    </row>
    <row r="750" spans="1:18" ht="16.5" thickTop="1">
      <c r="A750" s="86"/>
      <c r="E750" s="46"/>
      <c r="F750" s="46"/>
      <c r="I750" s="46"/>
      <c r="K750" s="43"/>
      <c r="M750" s="46"/>
    </row>
    <row r="751" spans="1:18">
      <c r="A751" s="246" t="s">
        <v>154</v>
      </c>
      <c r="E751" s="276"/>
      <c r="F751" s="276"/>
      <c r="I751" s="276"/>
      <c r="K751" s="43"/>
      <c r="M751" s="276"/>
    </row>
    <row r="752" spans="1:18">
      <c r="A752" s="86" t="s">
        <v>7</v>
      </c>
      <c r="C752" s="245">
        <v>12</v>
      </c>
      <c r="I752" s="70"/>
      <c r="K752" s="43"/>
      <c r="M752" s="70"/>
    </row>
    <row r="753" spans="1:15">
      <c r="A753" s="86" t="s">
        <v>327</v>
      </c>
      <c r="C753" s="245">
        <v>376680000</v>
      </c>
      <c r="E753" s="280">
        <v>5.8418999999999999</v>
      </c>
      <c r="F753" s="253" t="s">
        <v>10</v>
      </c>
      <c r="G753" s="43">
        <v>22005408.239999995</v>
      </c>
      <c r="I753" s="280"/>
      <c r="K753" s="43"/>
      <c r="M753" s="280"/>
    </row>
    <row r="754" spans="1:15">
      <c r="A754" s="86" t="s">
        <v>328</v>
      </c>
      <c r="E754" s="280"/>
      <c r="F754" s="253"/>
      <c r="I754" s="280"/>
      <c r="K754" s="43"/>
      <c r="M754" s="280"/>
    </row>
    <row r="755" spans="1:15">
      <c r="A755" s="86" t="s">
        <v>329</v>
      </c>
      <c r="C755" s="245">
        <v>911946197</v>
      </c>
      <c r="E755" s="280">
        <v>4.4905999999999997</v>
      </c>
      <c r="F755" s="253" t="s">
        <v>10</v>
      </c>
      <c r="G755" s="43">
        <v>40952184.777309686</v>
      </c>
      <c r="I755" s="280"/>
      <c r="K755" s="43"/>
      <c r="M755" s="280"/>
    </row>
    <row r="756" spans="1:15" ht="16.5" thickBot="1">
      <c r="A756" s="86" t="s">
        <v>110</v>
      </c>
      <c r="C756" s="278">
        <v>1288626197</v>
      </c>
      <c r="E756" s="335"/>
      <c r="F756" s="276"/>
      <c r="G756" s="279">
        <v>62957593.017309681</v>
      </c>
      <c r="I756" s="335"/>
      <c r="K756" s="13"/>
      <c r="M756" s="335"/>
      <c r="O756" s="13"/>
    </row>
    <row r="757" spans="1:15" ht="16.5" thickTop="1">
      <c r="E757" s="276"/>
      <c r="F757" s="276"/>
      <c r="I757" s="276"/>
      <c r="K757" s="43"/>
      <c r="M757" s="276"/>
    </row>
    <row r="758" spans="1:15">
      <c r="A758" s="246" t="s">
        <v>210</v>
      </c>
      <c r="I758" s="70"/>
      <c r="K758" s="43"/>
      <c r="M758" s="70"/>
    </row>
    <row r="759" spans="1:15">
      <c r="A759" s="86" t="s">
        <v>23</v>
      </c>
      <c r="C759" s="301">
        <v>4</v>
      </c>
      <c r="I759" s="70"/>
      <c r="K759" s="43"/>
      <c r="M759" s="70"/>
    </row>
    <row r="760" spans="1:15">
      <c r="A760" s="86" t="s">
        <v>111</v>
      </c>
      <c r="C760" s="245">
        <v>48</v>
      </c>
      <c r="E760" s="309">
        <v>2.1800000000000002</v>
      </c>
      <c r="F760" s="247"/>
      <c r="G760" s="43">
        <v>105</v>
      </c>
      <c r="I760" s="309"/>
      <c r="K760" s="6"/>
      <c r="M760" s="309"/>
      <c r="O760" s="6"/>
    </row>
    <row r="761" spans="1:15">
      <c r="A761" s="86" t="s">
        <v>112</v>
      </c>
      <c r="C761" s="245">
        <v>207</v>
      </c>
      <c r="E761" s="310">
        <v>2.1858</v>
      </c>
      <c r="F761" s="253"/>
      <c r="G761" s="43">
        <v>452</v>
      </c>
      <c r="I761" s="310"/>
      <c r="K761" s="6"/>
      <c r="M761" s="310"/>
      <c r="O761" s="6"/>
    </row>
    <row r="762" spans="1:15">
      <c r="A762" s="86" t="s">
        <v>55</v>
      </c>
      <c r="C762" s="334">
        <v>255</v>
      </c>
      <c r="E762" s="338"/>
      <c r="F762" s="253"/>
      <c r="G762" s="339">
        <v>557</v>
      </c>
      <c r="I762" s="338"/>
      <c r="K762" s="43"/>
      <c r="M762" s="338"/>
    </row>
    <row r="763" spans="1:15" ht="16.5" thickBot="1">
      <c r="A763" s="86" t="s">
        <v>56</v>
      </c>
      <c r="C763" s="302">
        <v>7387</v>
      </c>
      <c r="E763" s="16"/>
      <c r="F763" s="47"/>
      <c r="G763" s="185">
        <v>557</v>
      </c>
      <c r="I763" s="16"/>
      <c r="K763" s="13"/>
      <c r="M763" s="16"/>
      <c r="O763" s="13"/>
    </row>
    <row r="764" spans="1:15" ht="16.5" thickTop="1">
      <c r="E764" s="276"/>
      <c r="F764" s="276"/>
      <c r="I764" s="276"/>
      <c r="K764" s="43"/>
      <c r="M764" s="276"/>
    </row>
    <row r="765" spans="1:15">
      <c r="A765" s="246" t="s">
        <v>113</v>
      </c>
      <c r="E765" s="276"/>
      <c r="F765" s="276"/>
      <c r="I765" s="276"/>
      <c r="K765" s="43"/>
      <c r="M765" s="276"/>
    </row>
    <row r="766" spans="1:15">
      <c r="A766" s="86" t="s">
        <v>114</v>
      </c>
      <c r="C766" s="203"/>
      <c r="E766" s="276"/>
      <c r="F766" s="276"/>
      <c r="G766" s="43">
        <v>6795.090000000062</v>
      </c>
      <c r="I766" s="276"/>
      <c r="K766" s="43"/>
      <c r="M766" s="276"/>
    </row>
    <row r="767" spans="1:15">
      <c r="A767" s="86" t="s">
        <v>115</v>
      </c>
      <c r="C767" s="203"/>
      <c r="E767" s="276"/>
      <c r="F767" s="276"/>
      <c r="G767" s="43">
        <v>3742344.1399999997</v>
      </c>
      <c r="I767" s="276"/>
      <c r="K767" s="43"/>
      <c r="M767" s="276"/>
    </row>
    <row r="768" spans="1:15">
      <c r="A768" s="86" t="s">
        <v>116</v>
      </c>
      <c r="C768" s="203"/>
      <c r="E768" s="276"/>
      <c r="F768" s="276"/>
      <c r="G768" s="43">
        <v>823369.79999999993</v>
      </c>
      <c r="I768" s="276"/>
      <c r="K768" s="43"/>
      <c r="M768" s="276"/>
    </row>
    <row r="769" spans="1:17">
      <c r="A769" s="86" t="s">
        <v>117</v>
      </c>
      <c r="C769" s="203"/>
      <c r="E769" s="276"/>
      <c r="F769" s="276"/>
      <c r="G769" s="43">
        <v>231622.84</v>
      </c>
      <c r="I769" s="276"/>
      <c r="K769" s="43"/>
      <c r="M769" s="276"/>
    </row>
    <row r="770" spans="1:17">
      <c r="A770" s="86" t="s">
        <v>118</v>
      </c>
      <c r="C770" s="203"/>
      <c r="E770" s="276"/>
      <c r="F770" s="276"/>
      <c r="G770" s="43">
        <v>4655.0400000000009</v>
      </c>
      <c r="I770" s="276"/>
      <c r="K770" s="43"/>
      <c r="M770" s="276"/>
    </row>
    <row r="771" spans="1:17" ht="16.5" thickBot="1">
      <c r="A771" s="86" t="s">
        <v>119</v>
      </c>
      <c r="C771" s="204"/>
      <c r="E771" s="337"/>
      <c r="F771" s="276"/>
      <c r="G771" s="211">
        <v>4808786.9099999992</v>
      </c>
      <c r="I771" s="337"/>
      <c r="K771" s="13">
        <f>SUM(K766:K770)</f>
        <v>0</v>
      </c>
      <c r="M771" s="337"/>
      <c r="O771" s="13">
        <f>SUM(O766:O770)</f>
        <v>0</v>
      </c>
    </row>
    <row r="772" spans="1:17" ht="16.5" thickTop="1">
      <c r="E772" s="276"/>
      <c r="F772" s="276"/>
      <c r="I772" s="276"/>
      <c r="K772" s="43"/>
      <c r="M772" s="276"/>
    </row>
    <row r="773" spans="1:17" ht="16.5" thickBot="1">
      <c r="A773" s="73" t="s">
        <v>120</v>
      </c>
      <c r="B773" s="73"/>
      <c r="C773" s="204">
        <v>24837388160.662254</v>
      </c>
      <c r="E773" s="73"/>
      <c r="G773" s="211">
        <f>G28+G49+G69+G90+G111+G132+G196-G208+G222-G233+G247-G258+G272-G283+G146+G158+G170+G182+G298+G311+G318+G330+G342+G353+G364+G379+G396+G411+G433+G501+G509+G514+G528+G538+G591+G604+G618+G680+G724+G730+G741+G749+G756+G763+G771</f>
        <v>2033151315.3536203</v>
      </c>
      <c r="I773" s="73"/>
      <c r="K773" s="13">
        <f>K28+K49+K69+K90+K111+K132+K196-K208+K222-K233+K247-K258+K272-K283+K146+K158+K170+K182+K298+K311+K318+K330+K342+K353+K364+K379+K396+K411+K433+K501+K509+K514+K528+K538+K591+K604+K618+K680+K724+K730+K741+K749+K756+K763+K771</f>
        <v>9886183</v>
      </c>
      <c r="M773" s="73"/>
      <c r="O773" s="13">
        <f>O28+O49+O69+O90+O111+O132+O196-O208+O222-O233+O247-O258+O272-O283+O146+O158+O170+O182+O298+O311+O318+O330+O342+O353+O364+O379+O396+O411+O433+O501+O509+O514+O528+O538+O591+O604+O618+O680+O724+O730+O741+O749+O756+O763+O771</f>
        <v>9999500</v>
      </c>
      <c r="Q773" s="43"/>
    </row>
    <row r="774" spans="1:17" ht="16.5" thickTop="1">
      <c r="K774" s="43"/>
    </row>
    <row r="775" spans="1:17">
      <c r="E775" s="340"/>
      <c r="K775" s="43"/>
    </row>
    <row r="777" spans="1:17">
      <c r="G777" s="341"/>
    </row>
  </sheetData>
  <printOptions horizontalCentered="1"/>
  <pageMargins left="0.7" right="0.7" top="0.75" bottom="0.75" header="0.3" footer="0.3"/>
  <pageSetup scale="63" orientation="portrait" r:id="rId1"/>
  <rowBreaks count="17" manualBreakCount="17">
    <brk id="50" max="14" man="1"/>
    <brk id="91" max="14" man="1"/>
    <brk id="133" max="14" man="1"/>
    <brk id="171" max="14" man="1"/>
    <brk id="209" max="14" man="1"/>
    <brk id="284" max="14" man="1"/>
    <brk id="319" max="14" man="1"/>
    <brk id="365" max="14" man="1"/>
    <brk id="412" max="14" man="1"/>
    <brk id="448" max="14" man="1"/>
    <brk id="479" max="14" man="1"/>
    <brk id="515" max="14" man="1"/>
    <brk id="540" max="14" man="1"/>
    <brk id="592" max="14" man="1"/>
    <brk id="619" max="14" man="1"/>
    <brk id="660" max="14" man="1"/>
    <brk id="71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zoomScaleSheetLayoutView="90" workbookViewId="0">
      <selection activeCell="O17" sqref="O17"/>
    </sheetView>
  </sheetViews>
  <sheetFormatPr defaultColWidth="8" defaultRowHeight="12.75"/>
  <cols>
    <col min="1" max="1" width="7" style="94" customWidth="1"/>
    <col min="2" max="2" width="2" style="93" bestFit="1" customWidth="1"/>
    <col min="3" max="3" width="6.625" style="95" bestFit="1" customWidth="1"/>
    <col min="4" max="4" width="0.625" style="93" customWidth="1"/>
    <col min="5" max="5" width="7.625" style="95" customWidth="1"/>
    <col min="6" max="6" width="0.625" style="93" customWidth="1"/>
    <col min="7" max="7" width="6.625" style="96" bestFit="1" customWidth="1"/>
    <col min="8" max="8" width="0.625" style="93" customWidth="1"/>
    <col min="9" max="9" width="5.375" style="93" bestFit="1" customWidth="1"/>
    <col min="10" max="10" width="0.625" style="93" customWidth="1"/>
    <col min="11" max="11" width="6.625" style="95" bestFit="1" customWidth="1"/>
    <col min="12" max="12" width="0.625" style="93" customWidth="1"/>
    <col min="13" max="13" width="8" style="95" customWidth="1"/>
    <col min="14" max="14" width="0.625" style="93" customWidth="1"/>
    <col min="15" max="15" width="6.625" style="96" bestFit="1" customWidth="1"/>
    <col min="16" max="16" width="0.625" style="93" customWidth="1"/>
    <col min="17" max="17" width="5.375" style="93" bestFit="1" customWidth="1"/>
    <col min="18" max="18" width="3.125" style="93" customWidth="1"/>
    <col min="19" max="19" width="16.5" style="93" bestFit="1" customWidth="1"/>
    <col min="20" max="20" width="6.625" style="93" bestFit="1" customWidth="1"/>
    <col min="21" max="21" width="7.125" style="93" bestFit="1" customWidth="1"/>
    <col min="22" max="22" width="3.625" style="93" customWidth="1"/>
    <col min="23" max="23" width="6.125" style="93" bestFit="1" customWidth="1"/>
    <col min="24" max="24" width="3.625" style="93" bestFit="1" customWidth="1"/>
    <col min="25" max="25" width="6.625" style="93" bestFit="1" customWidth="1"/>
    <col min="26" max="26" width="7" style="93" bestFit="1" customWidth="1"/>
    <col min="27" max="27" width="5.375" style="93" bestFit="1" customWidth="1"/>
    <col min="28" max="28" width="5.125" style="93" bestFit="1" customWidth="1"/>
    <col min="29" max="16384" width="8" style="93"/>
  </cols>
  <sheetData>
    <row r="1" spans="1:28" ht="16.5">
      <c r="A1" s="88" t="s">
        <v>121</v>
      </c>
      <c r="B1" s="89"/>
      <c r="C1" s="90"/>
      <c r="D1" s="89"/>
      <c r="E1" s="90"/>
      <c r="F1" s="89"/>
      <c r="G1" s="91"/>
      <c r="H1" s="89"/>
      <c r="I1" s="89"/>
      <c r="J1" s="89"/>
      <c r="K1" s="90"/>
      <c r="L1" s="89"/>
      <c r="M1" s="90"/>
      <c r="N1" s="89"/>
      <c r="O1" s="91"/>
      <c r="P1" s="89"/>
      <c r="Q1" s="89"/>
      <c r="T1" s="212"/>
      <c r="U1" s="213"/>
    </row>
    <row r="2" spans="1:28" ht="16.5">
      <c r="A2" s="88" t="s">
        <v>177</v>
      </c>
      <c r="B2" s="89"/>
      <c r="C2" s="90"/>
      <c r="D2" s="89"/>
      <c r="E2" s="90"/>
      <c r="F2" s="89"/>
      <c r="G2" s="91"/>
      <c r="H2" s="89"/>
      <c r="I2" s="89"/>
      <c r="J2" s="89"/>
      <c r="K2" s="90"/>
      <c r="L2" s="89"/>
      <c r="M2" s="90"/>
      <c r="N2" s="89"/>
      <c r="O2" s="91"/>
      <c r="P2" s="89"/>
      <c r="Q2" s="89"/>
      <c r="T2" s="212"/>
      <c r="U2" s="214"/>
    </row>
    <row r="3" spans="1:28" ht="16.5">
      <c r="A3" s="88" t="s">
        <v>178</v>
      </c>
      <c r="B3" s="89"/>
      <c r="C3" s="90"/>
      <c r="D3" s="89"/>
      <c r="E3" s="90"/>
      <c r="F3" s="89"/>
      <c r="G3" s="91"/>
      <c r="H3" s="89"/>
      <c r="I3" s="89"/>
      <c r="J3" s="89"/>
      <c r="K3" s="90"/>
      <c r="L3" s="89"/>
      <c r="M3" s="90"/>
      <c r="N3" s="89"/>
      <c r="O3" s="91"/>
      <c r="P3" s="89"/>
      <c r="Q3" s="89"/>
      <c r="T3" s="212"/>
      <c r="U3" s="213"/>
    </row>
    <row r="4" spans="1:28" ht="16.5">
      <c r="A4" s="88" t="s">
        <v>351</v>
      </c>
      <c r="B4" s="89"/>
      <c r="C4" s="90"/>
      <c r="D4" s="89"/>
      <c r="E4" s="90"/>
      <c r="F4" s="89"/>
      <c r="G4" s="91"/>
      <c r="H4" s="89"/>
      <c r="I4" s="89"/>
      <c r="J4" s="89"/>
      <c r="K4" s="90"/>
      <c r="L4" s="89"/>
      <c r="M4" s="90"/>
      <c r="N4" s="89"/>
      <c r="O4" s="91"/>
      <c r="P4" s="89"/>
      <c r="Q4" s="89"/>
      <c r="T4" s="215"/>
      <c r="U4" s="216"/>
    </row>
    <row r="5" spans="1:28">
      <c r="G5" s="385"/>
      <c r="H5" s="385"/>
      <c r="I5" s="385"/>
      <c r="K5" s="90"/>
      <c r="L5" s="89"/>
      <c r="M5" s="90"/>
      <c r="O5" s="385"/>
      <c r="P5" s="385"/>
      <c r="Q5" s="385"/>
    </row>
    <row r="6" spans="1:28">
      <c r="C6" s="217" t="s">
        <v>179</v>
      </c>
      <c r="D6" s="218"/>
      <c r="E6" s="219"/>
      <c r="F6" s="220"/>
      <c r="G6" s="221"/>
      <c r="H6" s="220"/>
      <c r="I6" s="220"/>
      <c r="K6" s="217" t="s">
        <v>180</v>
      </c>
      <c r="L6" s="218"/>
      <c r="M6" s="219"/>
      <c r="N6" s="220"/>
      <c r="O6" s="221"/>
      <c r="P6" s="220"/>
      <c r="Q6" s="220"/>
      <c r="W6" s="89"/>
      <c r="X6" s="89"/>
    </row>
    <row r="7" spans="1:28" ht="15.75">
      <c r="C7" s="219" t="s">
        <v>181</v>
      </c>
      <c r="D7" s="220"/>
      <c r="E7" s="219"/>
      <c r="G7" s="219" t="s">
        <v>125</v>
      </c>
      <c r="H7" s="220"/>
      <c r="I7" s="219"/>
      <c r="K7" s="219" t="s">
        <v>181</v>
      </c>
      <c r="L7" s="220"/>
      <c r="M7" s="219"/>
      <c r="O7" s="219" t="s">
        <v>125</v>
      </c>
      <c r="P7" s="220"/>
      <c r="Q7" s="219"/>
      <c r="T7" s="96"/>
      <c r="U7" s="96"/>
      <c r="W7" s="89"/>
      <c r="X7" s="89"/>
    </row>
    <row r="8" spans="1:28">
      <c r="A8" s="97" t="s">
        <v>182</v>
      </c>
      <c r="C8" s="98" t="s">
        <v>183</v>
      </c>
      <c r="E8" s="99" t="s">
        <v>184</v>
      </c>
      <c r="G8" s="222" t="s">
        <v>185</v>
      </c>
      <c r="I8" s="223" t="s">
        <v>166</v>
      </c>
      <c r="K8" s="98" t="s">
        <v>183</v>
      </c>
      <c r="M8" s="99" t="s">
        <v>184</v>
      </c>
      <c r="O8" s="222" t="s">
        <v>185</v>
      </c>
      <c r="Q8" s="223" t="s">
        <v>166</v>
      </c>
      <c r="W8" s="100"/>
      <c r="X8" s="100"/>
    </row>
    <row r="9" spans="1:28">
      <c r="A9" s="94">
        <v>100</v>
      </c>
      <c r="C9" s="95">
        <f t="shared" ref="C9:C14" si="0">ROUND($T$11+(MIN(400,$A9)*$T$12+MAX(0,$A9-400)*$T$13)/100*((1+$T$27)*(1+$T$15)+$T$22)+$T$14,2)</f>
        <v>19.47</v>
      </c>
      <c r="E9" s="95">
        <f t="shared" ref="E9:E14" si="1">ROUND($U$11+(MIN(400,$A9)*$U$12+MAX(0,$A9-400)*$U$13)/100*((1+$U$27)*(1+$U$15)+$U$22)+$U$14,2)</f>
        <v>19.47</v>
      </c>
      <c r="F9" s="95"/>
      <c r="G9" s="224">
        <f t="shared" ref="G9:G14" si="2">E9-C9</f>
        <v>0</v>
      </c>
      <c r="I9" s="225">
        <f t="shared" ref="I9:I14" si="3">ROUND(IF(C9=0,0,E9/C9-1),3)</f>
        <v>0</v>
      </c>
      <c r="K9" s="95">
        <f t="shared" ref="K9:K19" si="4">ROUND($T$17+(MIN(400,$A9)*$T$18+MAX(0,$A9-400)*$T$19)/100*((1+$T$27)*(1+$T$21)+$T$22)+$T$20,2)</f>
        <v>18.399999999999999</v>
      </c>
      <c r="M9" s="95">
        <f t="shared" ref="M9:M19" si="5">ROUND($U$17+(MIN(400,$A9)*$U$18+MAX(0,$A9-400)*$U$19)/100*((1+$U$27)*(1+$U$21)+$U$22)+$U$20,2)</f>
        <v>18.399999999999999</v>
      </c>
      <c r="N9" s="95"/>
      <c r="O9" s="224">
        <f t="shared" ref="O9:O14" si="6">M9-K9</f>
        <v>0</v>
      </c>
      <c r="Q9" s="225">
        <f t="shared" ref="Q9:Q14" si="7">ROUND(IF(K9=0,0,M9/K9-1),3)</f>
        <v>0</v>
      </c>
      <c r="S9" s="101" t="s">
        <v>175</v>
      </c>
      <c r="T9" s="102" t="s">
        <v>183</v>
      </c>
      <c r="U9" s="103" t="s">
        <v>184</v>
      </c>
      <c r="X9" s="114" t="s">
        <v>195</v>
      </c>
      <c r="Y9" s="115"/>
      <c r="Z9" s="115"/>
      <c r="AA9" s="116" t="s">
        <v>125</v>
      </c>
      <c r="AB9" s="117"/>
    </row>
    <row r="10" spans="1:28" ht="13.5">
      <c r="A10" s="94">
        <v>200</v>
      </c>
      <c r="C10" s="95">
        <f t="shared" si="0"/>
        <v>28.78</v>
      </c>
      <c r="E10" s="95">
        <f t="shared" si="1"/>
        <v>28.78</v>
      </c>
      <c r="F10" s="95"/>
      <c r="G10" s="224">
        <f t="shared" si="2"/>
        <v>0</v>
      </c>
      <c r="I10" s="225">
        <f t="shared" si="3"/>
        <v>0</v>
      </c>
      <c r="K10" s="95">
        <f t="shared" si="4"/>
        <v>26.64</v>
      </c>
      <c r="M10" s="95">
        <f t="shared" si="5"/>
        <v>26.64</v>
      </c>
      <c r="N10" s="95"/>
      <c r="O10" s="224">
        <f t="shared" si="6"/>
        <v>0</v>
      </c>
      <c r="Q10" s="225">
        <f t="shared" si="7"/>
        <v>0</v>
      </c>
      <c r="S10" s="105" t="s">
        <v>179</v>
      </c>
      <c r="T10" s="92"/>
      <c r="U10" s="106"/>
      <c r="X10" s="118" t="s">
        <v>182</v>
      </c>
      <c r="Y10" s="118" t="s">
        <v>183</v>
      </c>
      <c r="Z10" s="118" t="s">
        <v>184</v>
      </c>
      <c r="AA10" s="119" t="s">
        <v>185</v>
      </c>
      <c r="AB10" s="120" t="s">
        <v>166</v>
      </c>
    </row>
    <row r="11" spans="1:28">
      <c r="A11" s="94">
        <v>300</v>
      </c>
      <c r="C11" s="95">
        <f t="shared" si="0"/>
        <v>38.090000000000003</v>
      </c>
      <c r="E11" s="95">
        <f t="shared" si="1"/>
        <v>38.090000000000003</v>
      </c>
      <c r="F11" s="95"/>
      <c r="G11" s="224">
        <f t="shared" si="2"/>
        <v>0</v>
      </c>
      <c r="I11" s="225">
        <f t="shared" si="3"/>
        <v>0</v>
      </c>
      <c r="K11" s="95">
        <f t="shared" si="4"/>
        <v>34.869999999999997</v>
      </c>
      <c r="M11" s="95">
        <f t="shared" si="5"/>
        <v>34.880000000000003</v>
      </c>
      <c r="N11" s="95"/>
      <c r="O11" s="224">
        <f t="shared" si="6"/>
        <v>1.0000000000005116E-2</v>
      </c>
      <c r="Q11" s="225">
        <f t="shared" si="7"/>
        <v>0</v>
      </c>
      <c r="S11" s="107" t="s">
        <v>186</v>
      </c>
      <c r="T11" s="192">
        <f>'Exhibit-RMP(RMM-3) pg 3-21'!E12</f>
        <v>10</v>
      </c>
      <c r="U11" s="193">
        <f>T11</f>
        <v>10</v>
      </c>
      <c r="V11" s="108"/>
      <c r="W11" s="121" t="s">
        <v>179</v>
      </c>
      <c r="X11" s="226">
        <v>931</v>
      </c>
      <c r="Y11" s="122">
        <f>C20</f>
        <v>111.57</v>
      </c>
      <c r="Z11" s="122">
        <f>E20</f>
        <v>111.6</v>
      </c>
      <c r="AA11" s="122">
        <f>Z11-Y11</f>
        <v>3.0000000000001137E-2</v>
      </c>
      <c r="AB11" s="227">
        <f>Z11/Y11-1</f>
        <v>2.6888948642111998E-4</v>
      </c>
    </row>
    <row r="12" spans="1:28">
      <c r="A12" s="94">
        <v>400</v>
      </c>
      <c r="C12" s="95">
        <f t="shared" si="0"/>
        <v>47.4</v>
      </c>
      <c r="E12" s="95">
        <f t="shared" si="1"/>
        <v>47.41</v>
      </c>
      <c r="F12" s="95"/>
      <c r="G12" s="224">
        <f t="shared" si="2"/>
        <v>9.9999999999980105E-3</v>
      </c>
      <c r="I12" s="225">
        <f t="shared" si="3"/>
        <v>0</v>
      </c>
      <c r="K12" s="95">
        <f t="shared" si="4"/>
        <v>43.11</v>
      </c>
      <c r="M12" s="95">
        <f t="shared" si="5"/>
        <v>43.12</v>
      </c>
      <c r="N12" s="95"/>
      <c r="O12" s="224">
        <f t="shared" si="6"/>
        <v>9.9999999999980105E-3</v>
      </c>
      <c r="Q12" s="225">
        <f t="shared" si="7"/>
        <v>0</v>
      </c>
      <c r="S12" s="107" t="s">
        <v>187</v>
      </c>
      <c r="T12" s="194">
        <f>'Exhibit-RMP(RMM-3) pg 3-21'!E21</f>
        <v>9.0279000000000007</v>
      </c>
      <c r="U12" s="195">
        <f>T12</f>
        <v>9.0279000000000007</v>
      </c>
      <c r="V12" s="108"/>
      <c r="W12" s="123" t="s">
        <v>180</v>
      </c>
      <c r="X12" s="226">
        <v>697</v>
      </c>
      <c r="Y12" s="122">
        <f>K15</f>
        <v>74.88</v>
      </c>
      <c r="Z12" s="122">
        <f>M15</f>
        <v>74.900000000000006</v>
      </c>
      <c r="AA12" s="122">
        <f>Z12-Y12</f>
        <v>2.0000000000010232E-2</v>
      </c>
      <c r="AB12" s="228">
        <f>Z12/Y12-1</f>
        <v>2.6709401709412717E-4</v>
      </c>
    </row>
    <row r="13" spans="1:28">
      <c r="A13" s="94">
        <v>500</v>
      </c>
      <c r="C13" s="95">
        <f t="shared" si="0"/>
        <v>59.48</v>
      </c>
      <c r="E13" s="95">
        <f t="shared" si="1"/>
        <v>59.5</v>
      </c>
      <c r="F13" s="95"/>
      <c r="G13" s="224">
        <f t="shared" si="2"/>
        <v>2.0000000000003126E-2</v>
      </c>
      <c r="I13" s="225">
        <f t="shared" si="3"/>
        <v>0</v>
      </c>
      <c r="K13" s="95">
        <f t="shared" si="4"/>
        <v>53.81</v>
      </c>
      <c r="M13" s="95">
        <f t="shared" si="5"/>
        <v>53.82</v>
      </c>
      <c r="N13" s="95"/>
      <c r="O13" s="224">
        <f t="shared" si="6"/>
        <v>9.9999999999980105E-3</v>
      </c>
      <c r="Q13" s="225">
        <f t="shared" si="7"/>
        <v>0</v>
      </c>
      <c r="S13" s="107" t="s">
        <v>188</v>
      </c>
      <c r="T13" s="194">
        <f>'Exhibit-RMP(RMM-3) pg 3-21'!E22</f>
        <v>11.721</v>
      </c>
      <c r="U13" s="195">
        <f>T13</f>
        <v>11.721</v>
      </c>
      <c r="V13" s="108"/>
      <c r="W13" s="171" t="s">
        <v>196</v>
      </c>
      <c r="X13" s="229">
        <v>775</v>
      </c>
      <c r="Y13" s="172">
        <f>(C17*4+K17*8)/12</f>
        <v>86.386666666666656</v>
      </c>
      <c r="Z13" s="172">
        <f>(E17*4+M17*8)/12</f>
        <v>86.406666666666652</v>
      </c>
      <c r="AA13" s="172">
        <f>Z13-Y13</f>
        <v>1.9999999999996021E-2</v>
      </c>
      <c r="AB13" s="230">
        <f>Z13/Y13-1</f>
        <v>2.3151720944580845E-4</v>
      </c>
    </row>
    <row r="14" spans="1:28">
      <c r="A14" s="94">
        <v>600</v>
      </c>
      <c r="C14" s="95">
        <f t="shared" si="0"/>
        <v>71.569999999999993</v>
      </c>
      <c r="E14" s="95">
        <f t="shared" si="1"/>
        <v>71.58</v>
      </c>
      <c r="F14" s="95"/>
      <c r="G14" s="224">
        <f t="shared" si="2"/>
        <v>1.0000000000005116E-2</v>
      </c>
      <c r="I14" s="225">
        <f t="shared" si="3"/>
        <v>0</v>
      </c>
      <c r="K14" s="95">
        <f t="shared" si="4"/>
        <v>64.5</v>
      </c>
      <c r="M14" s="95">
        <f t="shared" si="5"/>
        <v>64.52</v>
      </c>
      <c r="N14" s="95"/>
      <c r="O14" s="224">
        <f t="shared" si="6"/>
        <v>1.9999999999996021E-2</v>
      </c>
      <c r="Q14" s="225">
        <f t="shared" si="7"/>
        <v>0</v>
      </c>
      <c r="S14" s="107" t="s">
        <v>190</v>
      </c>
      <c r="T14" s="192">
        <v>0.16</v>
      </c>
      <c r="U14" s="193">
        <v>0.16</v>
      </c>
      <c r="V14" s="108"/>
      <c r="W14" s="171" t="s">
        <v>196</v>
      </c>
      <c r="X14" s="229">
        <v>800</v>
      </c>
      <c r="Y14" s="172">
        <f>(C18*4+K18*8)/12</f>
        <v>89.173333333333332</v>
      </c>
      <c r="Z14" s="172">
        <f>(E18*4+M18*8)/12</f>
        <v>89.193333333333328</v>
      </c>
      <c r="AA14" s="172">
        <f>Z14-Y14</f>
        <v>1.9999999999996021E-2</v>
      </c>
      <c r="AB14" s="230">
        <f>Z14/Y14-1</f>
        <v>2.2428229665072408E-4</v>
      </c>
    </row>
    <row r="15" spans="1:28">
      <c r="A15" s="94">
        <f>X12</f>
        <v>697</v>
      </c>
      <c r="B15" s="93" t="s">
        <v>189</v>
      </c>
      <c r="F15" s="95"/>
      <c r="G15" s="224"/>
      <c r="I15" s="225"/>
      <c r="K15" s="95">
        <f t="shared" si="4"/>
        <v>74.88</v>
      </c>
      <c r="M15" s="95">
        <f t="shared" si="5"/>
        <v>74.900000000000006</v>
      </c>
      <c r="N15" s="95"/>
      <c r="O15" s="224">
        <f>M15-K15</f>
        <v>2.0000000000010232E-2</v>
      </c>
      <c r="Q15" s="225">
        <f>ROUND(IF(K15=0,0,M15/K15-1),3)</f>
        <v>0</v>
      </c>
      <c r="S15" s="107" t="s">
        <v>211</v>
      </c>
      <c r="T15" s="232">
        <f>T23+T24</f>
        <v>4.4199999999999996E-2</v>
      </c>
      <c r="U15" s="233">
        <f>U23+U24</f>
        <v>4.4483759999999997E-2</v>
      </c>
      <c r="V15" s="108"/>
      <c r="AB15" s="231"/>
    </row>
    <row r="16" spans="1:28" ht="13.5">
      <c r="A16" s="94">
        <v>700</v>
      </c>
      <c r="C16" s="95">
        <f t="shared" ref="C16:C30" si="8">ROUND($T$11+(MIN(400,$A16)*$T$12+MAX(0,$A16-400)*$T$13)/100*((1+$T$27)*(1+$T$15)+$T$22)+$T$14,2)</f>
        <v>83.65</v>
      </c>
      <c r="E16" s="95">
        <f t="shared" ref="E16:E30" si="9">ROUND($U$11+(MIN(400,$A16)*$U$12+MAX(0,$A16-400)*$U$13)/100*((1+$U$27)*(1+$U$15)+$U$22)+$U$14,2)</f>
        <v>83.67</v>
      </c>
      <c r="F16" s="95"/>
      <c r="G16" s="224">
        <f>E16-C16</f>
        <v>1.9999999999996021E-2</v>
      </c>
      <c r="I16" s="225">
        <f>ROUND(IF(C16=0,0,E16/C16-1),3)</f>
        <v>0</v>
      </c>
      <c r="K16" s="95">
        <f t="shared" si="4"/>
        <v>75.2</v>
      </c>
      <c r="M16" s="95">
        <f t="shared" si="5"/>
        <v>75.22</v>
      </c>
      <c r="N16" s="95"/>
      <c r="O16" s="224">
        <f>M16-K16</f>
        <v>1.9999999999996021E-2</v>
      </c>
      <c r="Q16" s="225">
        <f>ROUND(IF(K16=0,0,M16/K16-1),3)</f>
        <v>0</v>
      </c>
      <c r="S16" s="105" t="s">
        <v>180</v>
      </c>
      <c r="T16" s="196"/>
      <c r="U16" s="197"/>
      <c r="V16" s="108"/>
      <c r="W16" s="104"/>
      <c r="X16" s="104"/>
    </row>
    <row r="17" spans="1:24">
      <c r="A17" s="94">
        <f>X13</f>
        <v>775</v>
      </c>
      <c r="B17" s="93" t="s">
        <v>191</v>
      </c>
      <c r="C17" s="95">
        <f t="shared" si="8"/>
        <v>92.72</v>
      </c>
      <c r="E17" s="95">
        <f t="shared" si="9"/>
        <v>92.74</v>
      </c>
      <c r="F17" s="95"/>
      <c r="G17" s="224">
        <f>E17-C17</f>
        <v>1.9999999999996021E-2</v>
      </c>
      <c r="I17" s="225">
        <f>ROUND(IF(C17=0,0,E17/C17-1),3)</f>
        <v>0</v>
      </c>
      <c r="K17" s="95">
        <f t="shared" si="4"/>
        <v>83.22</v>
      </c>
      <c r="M17" s="95">
        <f t="shared" si="5"/>
        <v>83.24</v>
      </c>
      <c r="N17" s="95"/>
      <c r="O17" s="224">
        <f>M17-K17</f>
        <v>1.9999999999996021E-2</v>
      </c>
      <c r="Q17" s="225">
        <f>ROUND(IF(K17=0,0,M17/K17-1),3)</f>
        <v>0</v>
      </c>
      <c r="S17" s="107" t="s">
        <v>186</v>
      </c>
      <c r="T17" s="192">
        <f>T11</f>
        <v>10</v>
      </c>
      <c r="U17" s="193">
        <f>U11</f>
        <v>10</v>
      </c>
      <c r="V17" s="108"/>
      <c r="W17" s="104"/>
      <c r="X17" s="104"/>
    </row>
    <row r="18" spans="1:24">
      <c r="A18" s="94">
        <v>800</v>
      </c>
      <c r="C18" s="95">
        <f t="shared" si="8"/>
        <v>95.74</v>
      </c>
      <c r="E18" s="95">
        <f t="shared" si="9"/>
        <v>95.76</v>
      </c>
      <c r="F18" s="95"/>
      <c r="G18" s="224">
        <f>E18-C18</f>
        <v>2.0000000000010232E-2</v>
      </c>
      <c r="I18" s="225">
        <f>ROUND(IF(C18=0,0,E18/C18-1),3)</f>
        <v>0</v>
      </c>
      <c r="K18" s="95">
        <f t="shared" si="4"/>
        <v>85.89</v>
      </c>
      <c r="M18" s="95">
        <f t="shared" si="5"/>
        <v>85.91</v>
      </c>
      <c r="N18" s="95"/>
      <c r="O18" s="224">
        <f>M18-K18</f>
        <v>1.9999999999996021E-2</v>
      </c>
      <c r="Q18" s="225">
        <f>ROUND(IF(K18=0,0,M18/K18-1),3)</f>
        <v>0</v>
      </c>
      <c r="S18" s="107" t="s">
        <v>187</v>
      </c>
      <c r="T18" s="109">
        <f>'Exhibit-RMP(RMM-3) pg 3-21'!E24</f>
        <v>7.9893000000000001</v>
      </c>
      <c r="U18" s="236">
        <f>T18</f>
        <v>7.9893000000000001</v>
      </c>
      <c r="V18" s="108"/>
      <c r="W18" s="104"/>
      <c r="X18" s="104"/>
    </row>
    <row r="19" spans="1:24">
      <c r="A19" s="94">
        <v>900</v>
      </c>
      <c r="C19" s="95">
        <f t="shared" si="8"/>
        <v>107.82</v>
      </c>
      <c r="E19" s="95">
        <f t="shared" si="9"/>
        <v>107.85</v>
      </c>
      <c r="F19" s="95"/>
      <c r="G19" s="224">
        <f t="shared" ref="G19:G30" si="10">E19-C19</f>
        <v>3.0000000000001137E-2</v>
      </c>
      <c r="I19" s="225">
        <f t="shared" ref="I19:I30" si="11">ROUND(IF(C19=0,0,E19/C19-1),3)</f>
        <v>0</v>
      </c>
      <c r="K19" s="95">
        <f t="shared" si="4"/>
        <v>96.59</v>
      </c>
      <c r="M19" s="95">
        <f t="shared" si="5"/>
        <v>96.61</v>
      </c>
      <c r="N19" s="95"/>
      <c r="O19" s="224">
        <f>M19-K19</f>
        <v>1.9999999999996021E-2</v>
      </c>
      <c r="Q19" s="225">
        <f>ROUND(IF(K19=0,0,M19/K19-1),3)</f>
        <v>0</v>
      </c>
      <c r="S19" s="107" t="s">
        <v>188</v>
      </c>
      <c r="T19" s="109">
        <f>'Exhibit-RMP(RMM-3) pg 3-21'!E25</f>
        <v>10.3725</v>
      </c>
      <c r="U19" s="236">
        <f>T19</f>
        <v>10.3725</v>
      </c>
      <c r="V19" s="108"/>
      <c r="W19" s="104"/>
      <c r="X19" s="104"/>
    </row>
    <row r="20" spans="1:24">
      <c r="A20" s="94">
        <f>X11</f>
        <v>931</v>
      </c>
      <c r="B20" s="93" t="s">
        <v>192</v>
      </c>
      <c r="C20" s="95">
        <f t="shared" si="8"/>
        <v>111.57</v>
      </c>
      <c r="E20" s="95">
        <f t="shared" si="9"/>
        <v>111.6</v>
      </c>
      <c r="F20" s="95"/>
      <c r="G20" s="224">
        <f t="shared" si="10"/>
        <v>3.0000000000001137E-2</v>
      </c>
      <c r="I20" s="225">
        <f t="shared" si="11"/>
        <v>0</v>
      </c>
      <c r="N20" s="95"/>
      <c r="O20" s="224"/>
      <c r="Q20" s="225"/>
      <c r="S20" s="107" t="s">
        <v>190</v>
      </c>
      <c r="T20" s="192">
        <v>0.16</v>
      </c>
      <c r="U20" s="193">
        <v>0.16</v>
      </c>
      <c r="V20" s="108"/>
      <c r="W20" s="104"/>
      <c r="X20" s="104"/>
    </row>
    <row r="21" spans="1:24">
      <c r="A21" s="94">
        <v>1000</v>
      </c>
      <c r="C21" s="95">
        <f t="shared" si="8"/>
        <v>119.91</v>
      </c>
      <c r="E21" s="95">
        <f t="shared" si="9"/>
        <v>119.94</v>
      </c>
      <c r="F21" s="95"/>
      <c r="G21" s="224">
        <f t="shared" si="10"/>
        <v>3.0000000000001137E-2</v>
      </c>
      <c r="I21" s="225">
        <f t="shared" si="11"/>
        <v>0</v>
      </c>
      <c r="K21" s="95">
        <f t="shared" ref="K21:K30" si="12">ROUND($T$17+(MIN(400,$A21)*$T$18+MAX(0,$A21-400)*$T$19)/100*((1+$T$27)*(1+$T$21)+$T$22)+$T$20,2)</f>
        <v>107.28</v>
      </c>
      <c r="M21" s="95">
        <f t="shared" ref="M21:M29" si="13">ROUND($U$17+(MIN(400,$A21)*$U$18+MAX(0,$A21-400)*$U$19)/100*((1+$U$27)*(1+$U$21)+$U$22)+$U$20,2)</f>
        <v>107.31</v>
      </c>
      <c r="N21" s="95"/>
      <c r="O21" s="224">
        <f t="shared" ref="O21:O30" si="14">M21-K21</f>
        <v>3.0000000000001137E-2</v>
      </c>
      <c r="Q21" s="225">
        <f t="shared" ref="Q21:Q30" si="15">ROUND(IF(K21=0,0,M21/K21-1),3)</f>
        <v>0</v>
      </c>
      <c r="S21" s="110" t="s">
        <v>211</v>
      </c>
      <c r="T21" s="234">
        <f>T15</f>
        <v>4.4199999999999996E-2</v>
      </c>
      <c r="U21" s="237">
        <f>U15</f>
        <v>4.4483759999999997E-2</v>
      </c>
      <c r="V21" s="108"/>
      <c r="W21" s="104"/>
      <c r="X21" s="104"/>
    </row>
    <row r="22" spans="1:24">
      <c r="A22" s="94">
        <v>1100</v>
      </c>
      <c r="C22" s="95">
        <f t="shared" si="8"/>
        <v>132</v>
      </c>
      <c r="E22" s="95">
        <f t="shared" si="9"/>
        <v>132.03</v>
      </c>
      <c r="F22" s="95"/>
      <c r="G22" s="224">
        <f t="shared" si="10"/>
        <v>3.0000000000001137E-2</v>
      </c>
      <c r="I22" s="225">
        <f t="shared" si="11"/>
        <v>0</v>
      </c>
      <c r="K22" s="95">
        <f t="shared" si="12"/>
        <v>117.98</v>
      </c>
      <c r="M22" s="95">
        <f t="shared" si="13"/>
        <v>118.01</v>
      </c>
      <c r="N22" s="95"/>
      <c r="O22" s="224">
        <f t="shared" si="14"/>
        <v>3.0000000000001137E-2</v>
      </c>
      <c r="Q22" s="225">
        <f t="shared" si="15"/>
        <v>0</v>
      </c>
      <c r="S22" s="198" t="s">
        <v>212</v>
      </c>
      <c r="T22" s="199">
        <v>-3.0200000000000001E-2</v>
      </c>
      <c r="U22" s="238">
        <f>T22</f>
        <v>-3.0200000000000001E-2</v>
      </c>
      <c r="V22" s="108"/>
      <c r="W22" s="104"/>
      <c r="X22" s="104"/>
    </row>
    <row r="23" spans="1:24">
      <c r="A23" s="94">
        <v>1200</v>
      </c>
      <c r="C23" s="95">
        <f t="shared" si="8"/>
        <v>144.08000000000001</v>
      </c>
      <c r="E23" s="95">
        <f t="shared" si="9"/>
        <v>144.12</v>
      </c>
      <c r="F23" s="95"/>
      <c r="G23" s="224">
        <f t="shared" si="10"/>
        <v>3.9999999999992042E-2</v>
      </c>
      <c r="I23" s="225">
        <f t="shared" si="11"/>
        <v>0</v>
      </c>
      <c r="K23" s="95">
        <f t="shared" si="12"/>
        <v>128.66999999999999</v>
      </c>
      <c r="M23" s="95">
        <f t="shared" si="13"/>
        <v>128.71</v>
      </c>
      <c r="N23" s="95"/>
      <c r="O23" s="224">
        <f t="shared" si="14"/>
        <v>4.0000000000020464E-2</v>
      </c>
      <c r="Q23" s="225">
        <f t="shared" si="15"/>
        <v>0</v>
      </c>
      <c r="S23" s="107" t="s">
        <v>371</v>
      </c>
      <c r="T23" s="111">
        <f>'Exhibit-RMP(RMM-3) pg 3-21'!I19</f>
        <v>5.7999999999999996E-3</v>
      </c>
      <c r="U23" s="239">
        <f>'Exhibit-RMP(RMM-3) pg 3-21'!M19</f>
        <v>6.0837599999999997E-3</v>
      </c>
      <c r="V23" s="108"/>
      <c r="W23" s="104"/>
      <c r="X23" s="104"/>
    </row>
    <row r="24" spans="1:24">
      <c r="A24" s="94">
        <v>1300</v>
      </c>
      <c r="C24" s="95">
        <f t="shared" si="8"/>
        <v>156.16999999999999</v>
      </c>
      <c r="E24" s="95">
        <f t="shared" si="9"/>
        <v>156.21</v>
      </c>
      <c r="F24" s="95"/>
      <c r="G24" s="224">
        <f t="shared" si="10"/>
        <v>4.0000000000020464E-2</v>
      </c>
      <c r="I24" s="225">
        <f t="shared" si="11"/>
        <v>0</v>
      </c>
      <c r="K24" s="95">
        <f t="shared" si="12"/>
        <v>139.37</v>
      </c>
      <c r="M24" s="95">
        <f t="shared" si="13"/>
        <v>139.41</v>
      </c>
      <c r="N24" s="95"/>
      <c r="O24" s="224">
        <f t="shared" si="14"/>
        <v>3.9999999999992042E-2</v>
      </c>
      <c r="Q24" s="225">
        <f t="shared" si="15"/>
        <v>0</v>
      </c>
      <c r="S24" s="107" t="s">
        <v>216</v>
      </c>
      <c r="T24" s="111">
        <v>3.8399999999999997E-2</v>
      </c>
      <c r="U24" s="239">
        <f>T24</f>
        <v>3.8399999999999997E-2</v>
      </c>
      <c r="V24" s="108"/>
      <c r="W24" s="104"/>
      <c r="X24" s="104"/>
    </row>
    <row r="25" spans="1:24">
      <c r="A25" s="94">
        <v>1400</v>
      </c>
      <c r="C25" s="95">
        <f t="shared" si="8"/>
        <v>168.25</v>
      </c>
      <c r="E25" s="95">
        <f t="shared" si="9"/>
        <v>168.3</v>
      </c>
      <c r="F25" s="95"/>
      <c r="G25" s="224">
        <f t="shared" si="10"/>
        <v>5.0000000000011369E-2</v>
      </c>
      <c r="I25" s="225">
        <f t="shared" si="11"/>
        <v>0</v>
      </c>
      <c r="K25" s="95">
        <f t="shared" si="12"/>
        <v>150.07</v>
      </c>
      <c r="M25" s="95">
        <f t="shared" si="13"/>
        <v>150.1</v>
      </c>
      <c r="N25" s="95"/>
      <c r="O25" s="224">
        <f t="shared" si="14"/>
        <v>3.0000000000001137E-2</v>
      </c>
      <c r="Q25" s="225">
        <f t="shared" si="15"/>
        <v>0</v>
      </c>
      <c r="S25" s="107" t="s">
        <v>193</v>
      </c>
      <c r="T25" s="111">
        <v>1.7000000000000001E-2</v>
      </c>
      <c r="U25" s="239">
        <f>T25</f>
        <v>1.7000000000000001E-2</v>
      </c>
      <c r="V25" s="108"/>
      <c r="W25" s="104"/>
      <c r="X25" s="104"/>
    </row>
    <row r="26" spans="1:24">
      <c r="A26" s="94">
        <v>1500</v>
      </c>
      <c r="C26" s="95">
        <f t="shared" si="8"/>
        <v>180.34</v>
      </c>
      <c r="E26" s="95">
        <f t="shared" si="9"/>
        <v>180.39</v>
      </c>
      <c r="F26" s="95"/>
      <c r="G26" s="224">
        <f t="shared" si="10"/>
        <v>4.9999999999982947E-2</v>
      </c>
      <c r="I26" s="225">
        <f t="shared" si="11"/>
        <v>0</v>
      </c>
      <c r="K26" s="95">
        <f t="shared" si="12"/>
        <v>160.76</v>
      </c>
      <c r="M26" s="95">
        <f t="shared" si="13"/>
        <v>160.80000000000001</v>
      </c>
      <c r="N26" s="95"/>
      <c r="O26" s="224">
        <f t="shared" si="14"/>
        <v>4.0000000000020464E-2</v>
      </c>
      <c r="Q26" s="225">
        <f t="shared" si="15"/>
        <v>0</v>
      </c>
      <c r="S26" s="107" t="s">
        <v>213</v>
      </c>
      <c r="T26" s="111">
        <v>-5.9999999999999995E-4</v>
      </c>
      <c r="U26" s="239">
        <f>T26</f>
        <v>-5.9999999999999995E-4</v>
      </c>
      <c r="V26" s="108"/>
      <c r="W26" s="104"/>
      <c r="X26" s="104"/>
    </row>
    <row r="27" spans="1:24">
      <c r="A27" s="94">
        <v>2000</v>
      </c>
      <c r="C27" s="95">
        <f t="shared" si="8"/>
        <v>240.77</v>
      </c>
      <c r="E27" s="95">
        <f t="shared" si="9"/>
        <v>240.83</v>
      </c>
      <c r="F27" s="95"/>
      <c r="G27" s="224">
        <f t="shared" si="10"/>
        <v>6.0000000000002274E-2</v>
      </c>
      <c r="I27" s="225">
        <f t="shared" si="11"/>
        <v>0</v>
      </c>
      <c r="K27" s="95">
        <f t="shared" si="12"/>
        <v>214.24</v>
      </c>
      <c r="M27" s="95">
        <f t="shared" si="13"/>
        <v>214.29</v>
      </c>
      <c r="N27" s="95"/>
      <c r="O27" s="224">
        <f t="shared" si="14"/>
        <v>4.9999999999982947E-2</v>
      </c>
      <c r="Q27" s="225">
        <f t="shared" si="15"/>
        <v>0</v>
      </c>
      <c r="S27" s="110" t="s">
        <v>214</v>
      </c>
      <c r="T27" s="235">
        <f>SUM(T25:T26)</f>
        <v>1.6400000000000001E-2</v>
      </c>
      <c r="U27" s="200">
        <f>SUM(U25:U26)</f>
        <v>1.6400000000000001E-2</v>
      </c>
      <c r="V27" s="108"/>
      <c r="W27" s="104"/>
      <c r="X27" s="104"/>
    </row>
    <row r="28" spans="1:24">
      <c r="A28" s="94">
        <v>3000</v>
      </c>
      <c r="C28" s="95">
        <f t="shared" si="8"/>
        <v>361.63</v>
      </c>
      <c r="E28" s="95">
        <f t="shared" si="9"/>
        <v>361.73</v>
      </c>
      <c r="F28" s="95"/>
      <c r="G28" s="224">
        <f t="shared" si="10"/>
        <v>0.10000000000002274</v>
      </c>
      <c r="I28" s="225">
        <f t="shared" si="11"/>
        <v>0</v>
      </c>
      <c r="K28" s="95">
        <f t="shared" si="12"/>
        <v>321.19</v>
      </c>
      <c r="M28" s="95">
        <f t="shared" si="13"/>
        <v>321.27999999999997</v>
      </c>
      <c r="N28" s="95"/>
      <c r="O28" s="224">
        <f t="shared" si="14"/>
        <v>8.9999999999974989E-2</v>
      </c>
      <c r="Q28" s="225">
        <f t="shared" si="15"/>
        <v>0</v>
      </c>
      <c r="V28" s="108"/>
      <c r="W28" s="104"/>
      <c r="X28" s="104"/>
    </row>
    <row r="29" spans="1:24">
      <c r="A29" s="94">
        <v>4000</v>
      </c>
      <c r="C29" s="95">
        <f t="shared" si="8"/>
        <v>482.48</v>
      </c>
      <c r="E29" s="95">
        <f t="shared" si="9"/>
        <v>482.62</v>
      </c>
      <c r="F29" s="95"/>
      <c r="G29" s="224">
        <f t="shared" si="10"/>
        <v>0.13999999999998636</v>
      </c>
      <c r="I29" s="225">
        <f t="shared" si="11"/>
        <v>0</v>
      </c>
      <c r="K29" s="95">
        <f t="shared" si="12"/>
        <v>428.14</v>
      </c>
      <c r="M29" s="95">
        <f t="shared" si="13"/>
        <v>428.26</v>
      </c>
      <c r="N29" s="95"/>
      <c r="O29" s="224">
        <f t="shared" si="14"/>
        <v>0.12000000000000455</v>
      </c>
      <c r="Q29" s="225">
        <f t="shared" si="15"/>
        <v>0</v>
      </c>
      <c r="V29" s="108"/>
      <c r="W29" s="104"/>
      <c r="X29" s="104"/>
    </row>
    <row r="30" spans="1:24">
      <c r="A30" s="94">
        <v>5000</v>
      </c>
      <c r="C30" s="95">
        <f t="shared" si="8"/>
        <v>603.34</v>
      </c>
      <c r="E30" s="95">
        <f t="shared" si="9"/>
        <v>603.51</v>
      </c>
      <c r="F30" s="95"/>
      <c r="G30" s="224">
        <f t="shared" si="10"/>
        <v>0.16999999999995907</v>
      </c>
      <c r="I30" s="225">
        <f t="shared" si="11"/>
        <v>0</v>
      </c>
      <c r="K30" s="95">
        <f t="shared" si="12"/>
        <v>535.1</v>
      </c>
      <c r="M30" s="95">
        <f>ROUND($U$17+(MIN(400,$A30)*$U$18+MAX(0,$A30-400)*$U$19)/100*((1+$U$27)*(1+$U$21)+$U$22)+$U$20,2)</f>
        <v>535.24</v>
      </c>
      <c r="N30" s="95"/>
      <c r="O30" s="224">
        <f t="shared" si="14"/>
        <v>0.13999999999998636</v>
      </c>
      <c r="Q30" s="225">
        <f t="shared" si="15"/>
        <v>0</v>
      </c>
      <c r="V30" s="108"/>
      <c r="W30" s="104"/>
      <c r="X30" s="104"/>
    </row>
    <row r="31" spans="1:24">
      <c r="R31" s="112"/>
      <c r="V31" s="108"/>
      <c r="W31" s="104"/>
      <c r="X31" s="104"/>
    </row>
    <row r="32" spans="1:24">
      <c r="W32" s="104"/>
      <c r="X32" s="104"/>
    </row>
    <row r="33" spans="1:24" ht="15.75">
      <c r="A33" s="113" t="s">
        <v>215</v>
      </c>
      <c r="W33" s="104"/>
      <c r="X33" s="104"/>
    </row>
    <row r="34" spans="1:24">
      <c r="A34" s="94" t="s">
        <v>194</v>
      </c>
      <c r="W34" s="104"/>
      <c r="X34" s="104"/>
    </row>
  </sheetData>
  <mergeCells count="2">
    <mergeCell ref="G5:I5"/>
    <mergeCell ref="O5:Q5"/>
  </mergeCells>
  <pageMargins left="0.7" right="0.7" top="0.75" bottom="0.75" header="0.3" footer="0.3"/>
  <pageSetup orientation="portrait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Exhibit-RMP(RMM-3) page 1</vt:lpstr>
      <vt:lpstr>Exhibit-RMP(RMM-3) page 2</vt:lpstr>
      <vt:lpstr>Exhibit-RMP(RMM-3) pg 3-21</vt:lpstr>
      <vt:lpstr>NOT EXHIBIT&gt;&gt;&gt;</vt:lpstr>
      <vt:lpstr>Sh1 Bill Impact</vt:lpstr>
      <vt:lpstr>'Exhibit-RMP(RMM-3) page 1'!Print_Area</vt:lpstr>
      <vt:lpstr>'Exhibit-RMP(RMM-3) page 2'!Print_Area</vt:lpstr>
      <vt:lpstr>'Exhibit-RMP(RMM-3) pg 3-21'!Print_Area</vt:lpstr>
      <vt:lpstr>'Sh1 Bill Impact'!Print_Area</vt:lpstr>
      <vt:lpstr>'Exhibit-RMP(RMM-3) pg 3-21'!Print_Titles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Fred Nass</cp:lastModifiedBy>
  <cp:lastPrinted>2021-08-20T14:20:42Z</cp:lastPrinted>
  <dcterms:created xsi:type="dcterms:W3CDTF">2012-05-11T17:24:36Z</dcterms:created>
  <dcterms:modified xsi:type="dcterms:W3CDTF">2021-10-20T00:35:58Z</dcterms:modified>
</cp:coreProperties>
</file>