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Websites\Pscweb\utilities\electric\20docs\2003534\"/>
    </mc:Choice>
  </mc:AlternateContent>
  <bookViews>
    <workbookView xWindow="0" yWindow="0" windowWidth="21540" windowHeight="10950" activeTab="2"/>
  </bookViews>
  <sheets>
    <sheet name="Residential Home with EV" sheetId="3" r:id="rId1"/>
    <sheet name="Residential Home with EV (high)" sheetId="4" r:id="rId2"/>
    <sheet name="Residential Home with No EV" sheetId="1" r:id="rId3"/>
    <sheet name="Assumptions"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3" l="1"/>
  <c r="C39" i="4"/>
  <c r="C33" i="4"/>
  <c r="C35" i="4" s="1"/>
  <c r="C36" i="4" s="1"/>
  <c r="C27" i="4"/>
  <c r="C30" i="4" s="1"/>
  <c r="C31" i="4" s="1"/>
  <c r="E22" i="4"/>
  <c r="E21" i="4"/>
  <c r="K6" i="4" s="1"/>
  <c r="E20" i="4"/>
  <c r="E19" i="4"/>
  <c r="K15" i="4"/>
  <c r="F15" i="4"/>
  <c r="F14" i="4"/>
  <c r="F13" i="4"/>
  <c r="I12" i="4"/>
  <c r="D12" i="4"/>
  <c r="I11" i="4"/>
  <c r="D11" i="4"/>
  <c r="I10" i="4"/>
  <c r="D10" i="4"/>
  <c r="I9" i="4"/>
  <c r="D9" i="4"/>
  <c r="K8" i="4"/>
  <c r="F8" i="4"/>
  <c r="K7" i="4"/>
  <c r="F7" i="4"/>
  <c r="F6" i="4"/>
  <c r="F5" i="4"/>
  <c r="F4" i="4"/>
  <c r="C39" i="3"/>
  <c r="C35" i="3"/>
  <c r="C36" i="3" s="1"/>
  <c r="C27" i="3"/>
  <c r="C30" i="3" s="1"/>
  <c r="C31" i="3" s="1"/>
  <c r="B4" i="1"/>
  <c r="G4" i="1" s="1"/>
  <c r="B5" i="1"/>
  <c r="G5" i="1" s="1"/>
  <c r="B6" i="1"/>
  <c r="G6" i="1" s="1"/>
  <c r="H6" i="1" s="1"/>
  <c r="B7" i="1"/>
  <c r="G7" i="1" s="1"/>
  <c r="B8" i="1"/>
  <c r="B9" i="1"/>
  <c r="B10" i="1"/>
  <c r="E10" i="1" s="1"/>
  <c r="B11" i="1"/>
  <c r="E11" i="1" s="1"/>
  <c r="B12" i="1"/>
  <c r="B13" i="1"/>
  <c r="G13" i="1" s="1"/>
  <c r="B14" i="1"/>
  <c r="G14" i="1" s="1"/>
  <c r="E22" i="3"/>
  <c r="E21" i="3"/>
  <c r="K8" i="3" s="1"/>
  <c r="E20" i="3"/>
  <c r="E19" i="3"/>
  <c r="I12" i="3" s="1"/>
  <c r="F15" i="3"/>
  <c r="F14" i="3"/>
  <c r="F13" i="3"/>
  <c r="D12" i="3"/>
  <c r="D11" i="3"/>
  <c r="D10" i="3"/>
  <c r="D9" i="3"/>
  <c r="F8" i="3"/>
  <c r="F7" i="3"/>
  <c r="F6" i="3"/>
  <c r="F5" i="3"/>
  <c r="F4" i="3"/>
  <c r="B3" i="2"/>
  <c r="B8" i="2"/>
  <c r="E19" i="1"/>
  <c r="E20" i="1"/>
  <c r="K14" i="1" s="1"/>
  <c r="E21" i="1"/>
  <c r="L4" i="1" s="1"/>
  <c r="E18" i="1"/>
  <c r="I9" i="1" s="1"/>
  <c r="F13" i="1"/>
  <c r="F14" i="1"/>
  <c r="F12" i="1"/>
  <c r="F4" i="1"/>
  <c r="F5" i="1"/>
  <c r="F6" i="1"/>
  <c r="F7" i="1"/>
  <c r="F3" i="1"/>
  <c r="E8" i="1"/>
  <c r="D8" i="1"/>
  <c r="D9" i="1"/>
  <c r="D10" i="1"/>
  <c r="D11" i="1"/>
  <c r="C40" i="4" l="1"/>
  <c r="B13" i="4"/>
  <c r="B5" i="4"/>
  <c r="B14" i="4"/>
  <c r="B6" i="4"/>
  <c r="B11" i="4"/>
  <c r="B12" i="4"/>
  <c r="B15" i="4"/>
  <c r="B7" i="4"/>
  <c r="B8" i="4"/>
  <c r="B10" i="4"/>
  <c r="B9" i="4"/>
  <c r="B4" i="4"/>
  <c r="K5" i="4"/>
  <c r="K13" i="4"/>
  <c r="K4" i="4"/>
  <c r="K14" i="4"/>
  <c r="L3" i="1"/>
  <c r="C40" i="3"/>
  <c r="K3" i="1"/>
  <c r="J9" i="1"/>
  <c r="K5" i="1"/>
  <c r="K12" i="1"/>
  <c r="K13" i="1"/>
  <c r="H14" i="1"/>
  <c r="L6" i="1"/>
  <c r="L12" i="1"/>
  <c r="H4" i="1"/>
  <c r="K7" i="3"/>
  <c r="B7" i="3"/>
  <c r="L7" i="3" s="1"/>
  <c r="B8" i="3"/>
  <c r="G8" i="3" s="1"/>
  <c r="H8" i="3" s="1"/>
  <c r="B4" i="3"/>
  <c r="G4" i="3" s="1"/>
  <c r="H4" i="3" s="1"/>
  <c r="B15" i="3"/>
  <c r="G15" i="3" s="1"/>
  <c r="H15" i="3" s="1"/>
  <c r="B9" i="3"/>
  <c r="B10" i="3"/>
  <c r="B6" i="3"/>
  <c r="G6" i="3" s="1"/>
  <c r="H6" i="3" s="1"/>
  <c r="B11" i="3"/>
  <c r="B13" i="3"/>
  <c r="G13" i="3" s="1"/>
  <c r="H13" i="3" s="1"/>
  <c r="B12" i="3"/>
  <c r="B5" i="3"/>
  <c r="G5" i="3" s="1"/>
  <c r="H5" i="3" s="1"/>
  <c r="B14" i="3"/>
  <c r="G14" i="3" s="1"/>
  <c r="H14" i="3" s="1"/>
  <c r="K6" i="3"/>
  <c r="K15" i="3"/>
  <c r="I11" i="3"/>
  <c r="J10" i="1"/>
  <c r="E9" i="1"/>
  <c r="H9" i="1" s="1"/>
  <c r="H8" i="1"/>
  <c r="M9" i="1"/>
  <c r="H13" i="1"/>
  <c r="H11" i="1"/>
  <c r="L5" i="1"/>
  <c r="H10" i="1"/>
  <c r="H7" i="1"/>
  <c r="H5" i="1"/>
  <c r="G12" i="1"/>
  <c r="H12" i="1" s="1"/>
  <c r="G3" i="1"/>
  <c r="H3" i="1" s="1"/>
  <c r="M3" i="1"/>
  <c r="I10" i="3"/>
  <c r="K14" i="3"/>
  <c r="K5" i="3"/>
  <c r="I9" i="3"/>
  <c r="K13" i="3"/>
  <c r="K4" i="3"/>
  <c r="I11" i="1"/>
  <c r="K7" i="1"/>
  <c r="L14" i="1"/>
  <c r="M14" i="1" s="1"/>
  <c r="I8" i="1"/>
  <c r="I10" i="1"/>
  <c r="M10" i="1" s="1"/>
  <c r="K6" i="1"/>
  <c r="M6" i="1" s="1"/>
  <c r="L13" i="1"/>
  <c r="J8" i="1"/>
  <c r="K4" i="1"/>
  <c r="M4" i="1" s="1"/>
  <c r="L7" i="1"/>
  <c r="J11" i="1"/>
  <c r="E9" i="4" l="1"/>
  <c r="H9" i="4" s="1"/>
  <c r="J9" i="4"/>
  <c r="M9" i="4" s="1"/>
  <c r="G14" i="4"/>
  <c r="H14" i="4" s="1"/>
  <c r="L14" i="4"/>
  <c r="J10" i="4"/>
  <c r="M10" i="4" s="1"/>
  <c r="E10" i="4"/>
  <c r="H10" i="4" s="1"/>
  <c r="G5" i="4"/>
  <c r="H5" i="4" s="1"/>
  <c r="L5" i="4"/>
  <c r="M5" i="4" s="1"/>
  <c r="G8" i="4"/>
  <c r="H8" i="4" s="1"/>
  <c r="L8" i="4"/>
  <c r="M8" i="4" s="1"/>
  <c r="G13" i="4"/>
  <c r="H13" i="4" s="1"/>
  <c r="L13" i="4"/>
  <c r="M13" i="4" s="1"/>
  <c r="M14" i="4"/>
  <c r="G15" i="4"/>
  <c r="H15" i="4" s="1"/>
  <c r="L15" i="4"/>
  <c r="M15" i="4" s="1"/>
  <c r="J11" i="4"/>
  <c r="M11" i="4" s="1"/>
  <c r="E11" i="4"/>
  <c r="H11" i="4" s="1"/>
  <c r="G7" i="4"/>
  <c r="H7" i="4" s="1"/>
  <c r="L7" i="4"/>
  <c r="M7" i="4" s="1"/>
  <c r="E12" i="4"/>
  <c r="H12" i="4" s="1"/>
  <c r="J12" i="4"/>
  <c r="M12" i="4" s="1"/>
  <c r="L4" i="4"/>
  <c r="M4" i="4" s="1"/>
  <c r="G4" i="4"/>
  <c r="H4" i="4" s="1"/>
  <c r="G6" i="4"/>
  <c r="H6" i="4" s="1"/>
  <c r="L6" i="4"/>
  <c r="M6" i="4" s="1"/>
  <c r="M12" i="1"/>
  <c r="G7" i="3"/>
  <c r="H7" i="3" s="1"/>
  <c r="M7" i="3"/>
  <c r="L4" i="3"/>
  <c r="M4" i="3" s="1"/>
  <c r="L13" i="3"/>
  <c r="L8" i="3"/>
  <c r="M8" i="3" s="1"/>
  <c r="M5" i="1"/>
  <c r="M13" i="1"/>
  <c r="L5" i="3"/>
  <c r="L15" i="3"/>
  <c r="M15" i="3" s="1"/>
  <c r="L14" i="3"/>
  <c r="M14" i="3" s="1"/>
  <c r="L6" i="3"/>
  <c r="M6" i="3" s="1"/>
  <c r="J11" i="3"/>
  <c r="M11" i="3" s="1"/>
  <c r="E11" i="3"/>
  <c r="H11" i="3" s="1"/>
  <c r="E10" i="3"/>
  <c r="H10" i="3" s="1"/>
  <c r="J10" i="3"/>
  <c r="M10" i="3" s="1"/>
  <c r="J12" i="3"/>
  <c r="M12" i="3" s="1"/>
  <c r="E12" i="3"/>
  <c r="H12" i="3" s="1"/>
  <c r="J9" i="3"/>
  <c r="M9" i="3" s="1"/>
  <c r="E9" i="3"/>
  <c r="H9" i="3" s="1"/>
  <c r="H15" i="1"/>
  <c r="M7" i="1"/>
  <c r="M8" i="1"/>
  <c r="M13" i="3"/>
  <c r="M5" i="3"/>
  <c r="M11" i="1"/>
  <c r="M16" i="4" l="1"/>
  <c r="H16" i="4"/>
  <c r="H16" i="3"/>
  <c r="M16" i="3"/>
  <c r="M15" i="1"/>
  <c r="I19" i="1" s="1"/>
  <c r="I20" i="4" l="1"/>
  <c r="I20" i="3"/>
</calcChain>
</file>

<file path=xl/sharedStrings.xml><?xml version="1.0" encoding="utf-8"?>
<sst xmlns="http://schemas.openxmlformats.org/spreadsheetml/2006/main" count="177" uniqueCount="73">
  <si>
    <t>January</t>
  </si>
  <si>
    <t>February</t>
  </si>
  <si>
    <t>March</t>
  </si>
  <si>
    <t>April</t>
  </si>
  <si>
    <t>May</t>
  </si>
  <si>
    <t>June</t>
  </si>
  <si>
    <t>July</t>
  </si>
  <si>
    <t>August</t>
  </si>
  <si>
    <t>September</t>
  </si>
  <si>
    <t>October</t>
  </si>
  <si>
    <t>November</t>
  </si>
  <si>
    <t>December</t>
  </si>
  <si>
    <t>kWh</t>
  </si>
  <si>
    <t>Customer charge</t>
  </si>
  <si>
    <t>June through September: first 400 kWh</t>
  </si>
  <si>
    <t>June-September</t>
  </si>
  <si>
    <t>1st 400 kWh</t>
  </si>
  <si>
    <t>Additional kWh</t>
  </si>
  <si>
    <t>October-May</t>
  </si>
  <si>
    <t>June through September:  Additional kWh</t>
  </si>
  <si>
    <t>October through May 1st 400 kWh</t>
  </si>
  <si>
    <t>October through May additional kWh</t>
  </si>
  <si>
    <t>Current</t>
  </si>
  <si>
    <t>Proposed</t>
  </si>
  <si>
    <t>Total for Month</t>
  </si>
  <si>
    <t>Electrifiy America rate per kWh</t>
  </si>
  <si>
    <t>Percentage of charging done at home</t>
  </si>
  <si>
    <t>Miles driven per year</t>
  </si>
  <si>
    <t>150 kW charging time to charge 100 miles (hours)</t>
  </si>
  <si>
    <t>Miles driven per month</t>
  </si>
  <si>
    <t>Monthly kWh Usage</t>
  </si>
  <si>
    <t>Monthly Usage without Electric Vehicle (kWh)</t>
  </si>
  <si>
    <t>Miles Driven Per Year</t>
  </si>
  <si>
    <t>Miles Driven Per Month</t>
  </si>
  <si>
    <t>Total Monthly Usage (home)</t>
  </si>
  <si>
    <t>Miles Charged at DCFC per Year</t>
  </si>
  <si>
    <t>Assumptions</t>
  </si>
  <si>
    <t>Notes</t>
  </si>
  <si>
    <t>kWh used at DCFC per Year (assumes 150 kW charger)</t>
  </si>
  <si>
    <t>Charging time for 100 miles at DCFC (hours) (assumes 150 kW charger)</t>
  </si>
  <si>
    <t>October through May 400 kWh</t>
  </si>
  <si>
    <t>Rates per kWh ($)</t>
  </si>
  <si>
    <t>Difference for year between current rates and proposed rates</t>
  </si>
  <si>
    <t xml:space="preserve">* Note: The proposed rates are the previous energy rates times 1.003.  Exhibit RMM-1 proposes Electric Service Schedule No. 198, which states: "In addition to the Monthly Charges contained in the Customer’s  applicable schedule, all monthly bills shall have the following percentage increases applied to the  Power Charge, Energy Charge, Facilities Charge and Voltage Discount of the Customer’s applicable  schedule and the applicable charges or credits of Schedule 94 and Schedule 98."  Schedule 1 (residential) has an increase of 0.30%. </t>
  </si>
  <si>
    <t>Proposed Residential with EVIP Surcharge</t>
  </si>
  <si>
    <t>Annual</t>
  </si>
  <si>
    <t>Proposed residential rates ($ per kWh) (see * below)</t>
  </si>
  <si>
    <t xml:space="preserve">Annual total </t>
  </si>
  <si>
    <t>Annual total</t>
  </si>
  <si>
    <t>Added Monthly Usage from Electric Vehicle Home Charging (kWh)</t>
  </si>
  <si>
    <t>The % of charging done at DCFC times annual mileage</t>
  </si>
  <si>
    <t>Annual Charging Time at DCFC (hours)</t>
  </si>
  <si>
    <t>Source: Robert Meredith testimony line 233</t>
  </si>
  <si>
    <t xml:space="preserve">Driving Range Added per kWh (miles) </t>
  </si>
  <si>
    <t>Source: Final Evaluation Report California Investor-Owned Utility  Transportation Electrification Priority Review Projects, April 2021 p. 131 (rounded to 3.5); available at: https://www.cpuc.ca.gov/-/media/cpuc-website/divisions/energy-division/documents/sb-350-te/california-te-prp-final-evaluation-report-presentation.pdf</t>
  </si>
  <si>
    <t>Monthly Usage Average residential kWh</t>
  </si>
  <si>
    <t>Proposed Energy Charge for Non-Customer (per kWh)</t>
  </si>
  <si>
    <t>Discount for RMP Customer (per kWh)</t>
  </si>
  <si>
    <t>Proposed Energy Charge for RMP Customer</t>
  </si>
  <si>
    <t>Residential rates as of January 1, 2022 ($ per kWh)</t>
  </si>
  <si>
    <t>Proposed ($ per kWh)</t>
  </si>
  <si>
    <t>Numbers in red can be adjusted manually</t>
  </si>
  <si>
    <t>$0.35 energy price for RMP customers, instead of the proposed $0.15</t>
  </si>
  <si>
    <t>Proposed Energy Charge for RMP Customer )per kWh)</t>
  </si>
  <si>
    <t>Proposed by RMP</t>
  </si>
  <si>
    <t>Annual Discount for RMP Customer</t>
  </si>
  <si>
    <t>RMP proposed rate per kWh (non-customers)</t>
  </si>
  <si>
    <t>RMP proposed rate per kWh (customers)</t>
  </si>
  <si>
    <t>Difference in home energy bill for year between 2022 rates and proposed rates</t>
  </si>
  <si>
    <t>2022 Residential Rate</t>
  </si>
  <si>
    <t>Source: Transportation Plan, Exhibit JAC 1, p. 27</t>
  </si>
  <si>
    <t>Source: Transportation Plan, Exhibit JAC 1, p. 29.</t>
  </si>
  <si>
    <t>Source: Transportation Plan, Exhibit JAC 1, Figure 1, p. 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</si>
</sst>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0.0"/>
    <numFmt numFmtId="165" formatCode="0.0"/>
    <numFmt numFmtId="166" formatCode="0.000000"/>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sz val="16"/>
      <color theme="1"/>
      <name val="Calibri"/>
      <family val="2"/>
      <scheme val="minor"/>
    </font>
    <font>
      <sz val="11"/>
      <name val="Calibri"/>
      <family val="2"/>
      <scheme val="minor"/>
    </font>
    <font>
      <b/>
      <sz val="16"/>
      <color theme="1"/>
      <name val="Calibri"/>
      <family val="2"/>
      <scheme val="minor"/>
    </font>
    <font>
      <sz val="14"/>
      <name val="Calibri"/>
      <family val="2"/>
      <scheme val="minor"/>
    </font>
    <font>
      <b/>
      <sz val="20"/>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7999816888943144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44" fontId="0" fillId="0" borderId="0" xfId="0" applyNumberFormat="1"/>
    <xf numFmtId="3" fontId="0" fillId="0" borderId="0" xfId="0" applyNumberFormat="1"/>
    <xf numFmtId="8" fontId="0" fillId="0" borderId="0" xfId="0" applyNumberFormat="1"/>
    <xf numFmtId="2" fontId="0" fillId="0" borderId="0" xfId="0" applyNumberFormat="1"/>
    <xf numFmtId="164" fontId="0" fillId="0" borderId="0" xfId="0" applyNumberFormat="1"/>
    <xf numFmtId="9" fontId="0" fillId="0" borderId="0" xfId="0" applyNumberFormat="1"/>
    <xf numFmtId="0" fontId="0" fillId="0" borderId="10" xfId="0" applyBorder="1"/>
    <xf numFmtId="0" fontId="0" fillId="0" borderId="11" xfId="0" applyBorder="1"/>
    <xf numFmtId="165" fontId="0" fillId="0" borderId="12" xfId="0" applyNumberFormat="1" applyBorder="1" applyAlignment="1">
      <alignment horizontal="center"/>
    </xf>
    <xf numFmtId="165" fontId="0" fillId="4" borderId="16" xfId="0" applyNumberFormat="1" applyFill="1" applyBorder="1" applyAlignment="1">
      <alignment horizontal="center" vertical="center"/>
    </xf>
    <xf numFmtId="165" fontId="0" fillId="4" borderId="12" xfId="0" applyNumberFormat="1" applyFill="1" applyBorder="1" applyAlignment="1">
      <alignment horizontal="center" vertical="center"/>
    </xf>
    <xf numFmtId="165" fontId="0" fillId="5" borderId="12" xfId="0" applyNumberFormat="1" applyFill="1" applyBorder="1" applyAlignment="1">
      <alignment horizontal="center" vertical="center"/>
    </xf>
    <xf numFmtId="0" fontId="0" fillId="7" borderId="24" xfId="0" applyFill="1" applyBorder="1" applyAlignment="1">
      <alignment horizontal="center" vertical="center"/>
    </xf>
    <xf numFmtId="0" fontId="0" fillId="7" borderId="16" xfId="0" applyFill="1" applyBorder="1" applyAlignment="1">
      <alignment horizontal="center" vertical="center"/>
    </xf>
    <xf numFmtId="0" fontId="2" fillId="4" borderId="10" xfId="0" applyFont="1" applyFill="1" applyBorder="1" applyAlignment="1">
      <alignment horizontal="center" vertical="center"/>
    </xf>
    <xf numFmtId="0" fontId="2" fillId="4" borderId="16" xfId="0" applyFont="1" applyFill="1" applyBorder="1" applyAlignment="1">
      <alignment horizontal="center" vertical="center"/>
    </xf>
    <xf numFmtId="9" fontId="2" fillId="4" borderId="16" xfId="2" applyFont="1" applyFill="1" applyBorder="1" applyAlignment="1">
      <alignment horizontal="center" vertical="center"/>
    </xf>
    <xf numFmtId="44" fontId="0" fillId="0" borderId="11" xfId="1" applyFont="1" applyBorder="1" applyAlignment="1">
      <alignment horizontal="left" vertical="center"/>
    </xf>
    <xf numFmtId="44" fontId="0" fillId="0" borderId="12" xfId="1" applyFont="1" applyBorder="1" applyAlignment="1">
      <alignment horizontal="left" vertical="center"/>
    </xf>
    <xf numFmtId="165" fontId="0" fillId="0" borderId="11" xfId="0" applyNumberForma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44" fontId="0" fillId="9" borderId="1" xfId="0" applyNumberFormat="1" applyFill="1" applyBorder="1"/>
    <xf numFmtId="0" fontId="0" fillId="0" borderId="12" xfId="0" applyBorder="1"/>
    <xf numFmtId="0" fontId="0" fillId="0" borderId="1" xfId="0" applyBorder="1"/>
    <xf numFmtId="44" fontId="0" fillId="2" borderId="5" xfId="1" applyFont="1" applyFill="1" applyBorder="1"/>
    <xf numFmtId="44" fontId="0" fillId="2" borderId="0" xfId="1" applyFont="1" applyFill="1" applyBorder="1"/>
    <xf numFmtId="44" fontId="0" fillId="2" borderId="6" xfId="0" applyNumberFormat="1" applyFill="1" applyBorder="1"/>
    <xf numFmtId="44" fontId="0" fillId="2" borderId="7" xfId="1" applyFont="1" applyFill="1" applyBorder="1"/>
    <xf numFmtId="44" fontId="0" fillId="2" borderId="8" xfId="1" applyFont="1" applyFill="1" applyBorder="1"/>
    <xf numFmtId="44" fontId="0" fillId="2" borderId="9" xfId="0" applyNumberFormat="1" applyFill="1" applyBorder="1"/>
    <xf numFmtId="44" fontId="0" fillId="7" borderId="2" xfId="1" applyFont="1" applyFill="1" applyBorder="1"/>
    <xf numFmtId="44" fontId="0" fillId="7" borderId="3" xfId="1" applyFont="1" applyFill="1" applyBorder="1"/>
    <xf numFmtId="44" fontId="0" fillId="7" borderId="4" xfId="0" applyNumberFormat="1" applyFill="1" applyBorder="1"/>
    <xf numFmtId="44" fontId="0" fillId="7" borderId="5" xfId="1" applyFont="1" applyFill="1" applyBorder="1"/>
    <xf numFmtId="44" fontId="0" fillId="7" borderId="0" xfId="1" applyFont="1" applyFill="1" applyBorder="1"/>
    <xf numFmtId="44" fontId="0" fillId="7" borderId="6" xfId="0" applyNumberFormat="1" applyFill="1" applyBorder="1"/>
    <xf numFmtId="44" fontId="0" fillId="7" borderId="7" xfId="1" applyFont="1" applyFill="1" applyBorder="1"/>
    <xf numFmtId="44" fontId="0" fillId="7" borderId="8" xfId="1" applyFont="1" applyFill="1" applyBorder="1"/>
    <xf numFmtId="44" fontId="0" fillId="7" borderId="9" xfId="0" applyNumberFormat="1" applyFill="1" applyBorder="1"/>
    <xf numFmtId="44" fontId="0" fillId="8" borderId="1" xfId="0" applyNumberFormat="1" applyFill="1" applyBorder="1"/>
    <xf numFmtId="0" fontId="0" fillId="0" borderId="2" xfId="0" applyBorder="1"/>
    <xf numFmtId="0" fontId="0" fillId="0" borderId="5" xfId="0" applyBorder="1"/>
    <xf numFmtId="0" fontId="0" fillId="0" borderId="7" xfId="0" applyBorder="1"/>
    <xf numFmtId="0" fontId="0" fillId="0" borderId="17" xfId="0" applyBorder="1"/>
    <xf numFmtId="0" fontId="0" fillId="0" borderId="19" xfId="0" applyBorder="1"/>
    <xf numFmtId="44" fontId="0" fillId="0" borderId="0" xfId="0" applyNumberFormat="1" applyFill="1" applyBorder="1"/>
    <xf numFmtId="44" fontId="0" fillId="0" borderId="5" xfId="1" applyFont="1" applyBorder="1"/>
    <xf numFmtId="44" fontId="0" fillId="0" borderId="0" xfId="1" applyFont="1" applyBorder="1"/>
    <xf numFmtId="44" fontId="0" fillId="0" borderId="6" xfId="0" applyNumberFormat="1" applyBorder="1"/>
    <xf numFmtId="44" fontId="0" fillId="0" borderId="7" xfId="1" applyFont="1" applyBorder="1"/>
    <xf numFmtId="44" fontId="0" fillId="0" borderId="8" xfId="1" applyFont="1" applyBorder="1"/>
    <xf numFmtId="44" fontId="0" fillId="0" borderId="9" xfId="0" applyNumberFormat="1" applyBorder="1"/>
    <xf numFmtId="0" fontId="0" fillId="0" borderId="0" xfId="0" applyBorder="1"/>
    <xf numFmtId="0" fontId="0" fillId="0" borderId="8" xfId="0" applyBorder="1"/>
    <xf numFmtId="0" fontId="0" fillId="0" borderId="18" xfId="0" applyBorder="1"/>
    <xf numFmtId="0" fontId="0" fillId="0" borderId="18" xfId="0" applyBorder="1" applyAlignment="1">
      <alignment wrapText="1"/>
    </xf>
    <xf numFmtId="0" fontId="0" fillId="0" borderId="17" xfId="0" applyBorder="1" applyAlignment="1">
      <alignment wrapText="1"/>
    </xf>
    <xf numFmtId="0" fontId="0" fillId="0" borderId="19" xfId="0" applyBorder="1" applyAlignment="1">
      <alignment wrapText="1"/>
    </xf>
    <xf numFmtId="44" fontId="0" fillId="0" borderId="2" xfId="1" applyFont="1" applyBorder="1"/>
    <xf numFmtId="44" fontId="0" fillId="0" borderId="3" xfId="1" applyFont="1" applyBorder="1"/>
    <xf numFmtId="44" fontId="0" fillId="0" borderId="4" xfId="0" applyNumberFormat="1" applyBorder="1"/>
    <xf numFmtId="0" fontId="0" fillId="0" borderId="18" xfId="0" applyBorder="1" applyAlignment="1">
      <alignment horizontal="center"/>
    </xf>
    <xf numFmtId="0" fontId="0" fillId="0" borderId="1" xfId="0" applyBorder="1" applyAlignment="1">
      <alignment wrapText="1"/>
    </xf>
    <xf numFmtId="44" fontId="3" fillId="10" borderId="17" xfId="0" applyNumberFormat="1" applyFont="1" applyFill="1" applyBorder="1"/>
    <xf numFmtId="0" fontId="0" fillId="10" borderId="19" xfId="0" applyFill="1" applyBorder="1"/>
    <xf numFmtId="44" fontId="7" fillId="10" borderId="17" xfId="0" applyNumberFormat="1" applyFont="1" applyFill="1" applyBorder="1"/>
    <xf numFmtId="0" fontId="7" fillId="10" borderId="18" xfId="0" applyFont="1" applyFill="1" applyBorder="1"/>
    <xf numFmtId="0" fontId="5" fillId="10" borderId="19" xfId="0" applyFont="1" applyFill="1" applyBorder="1"/>
    <xf numFmtId="0" fontId="0" fillId="0" borderId="0" xfId="0" applyFill="1"/>
    <xf numFmtId="8" fontId="0" fillId="7" borderId="26" xfId="0" applyNumberFormat="1" applyFill="1" applyBorder="1" applyAlignment="1">
      <alignment horizontal="center" vertical="center"/>
    </xf>
    <xf numFmtId="44" fontId="8" fillId="8" borderId="25" xfId="1" applyFont="1" applyFill="1" applyBorder="1" applyAlignment="1">
      <alignment vertical="center"/>
    </xf>
    <xf numFmtId="8" fontId="8" fillId="7" borderId="26" xfId="0" applyNumberFormat="1" applyFont="1" applyFill="1" applyBorder="1" applyAlignment="1">
      <alignment horizontal="center" vertical="center"/>
    </xf>
    <xf numFmtId="0" fontId="0" fillId="0" borderId="3" xfId="0" applyBorder="1" applyAlignment="1">
      <alignment wrapText="1"/>
    </xf>
    <xf numFmtId="44" fontId="0" fillId="0" borderId="10" xfId="1" applyFont="1" applyBorder="1"/>
    <xf numFmtId="44" fontId="0" fillId="0" borderId="11" xfId="1" applyFont="1" applyBorder="1"/>
    <xf numFmtId="44" fontId="0" fillId="0" borderId="12" xfId="1" applyFont="1" applyBorder="1"/>
    <xf numFmtId="44" fontId="0" fillId="0" borderId="10" xfId="1" applyFont="1" applyBorder="1" applyAlignment="1">
      <alignment horizontal="left" vertical="center"/>
    </xf>
    <xf numFmtId="166" fontId="0" fillId="0" borderId="4" xfId="0" applyNumberFormat="1" applyBorder="1"/>
    <xf numFmtId="166" fontId="0" fillId="0" borderId="6" xfId="0" applyNumberFormat="1" applyBorder="1"/>
    <xf numFmtId="166" fontId="0" fillId="0" borderId="9" xfId="0" applyNumberFormat="1" applyBorder="1"/>
    <xf numFmtId="166" fontId="0" fillId="0" borderId="10" xfId="0" applyNumberFormat="1" applyBorder="1"/>
    <xf numFmtId="166" fontId="0" fillId="0" borderId="11" xfId="0" applyNumberFormat="1" applyBorder="1"/>
    <xf numFmtId="166" fontId="0" fillId="0" borderId="12" xfId="0" applyNumberFormat="1" applyBorder="1"/>
    <xf numFmtId="0" fontId="0" fillId="3" borderId="22" xfId="0" applyFill="1" applyBorder="1" applyAlignment="1">
      <alignment vertical="center" wrapText="1"/>
    </xf>
    <xf numFmtId="0" fontId="0" fillId="3" borderId="23" xfId="0" applyFill="1" applyBorder="1" applyAlignment="1">
      <alignment vertical="center" wrapText="1"/>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3" fillId="6" borderId="17" xfId="0" applyFont="1" applyFill="1" applyBorder="1" applyAlignment="1">
      <alignment horizontal="center"/>
    </xf>
    <xf numFmtId="0" fontId="3" fillId="6" borderId="18" xfId="0" applyFont="1" applyFill="1" applyBorder="1" applyAlignment="1">
      <alignment horizontal="center"/>
    </xf>
    <xf numFmtId="0" fontId="3" fillId="6" borderId="19" xfId="0" applyFont="1" applyFill="1" applyBorder="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0" xfId="0" applyFill="1" applyBorder="1" applyAlignment="1">
      <alignment vertical="center" wrapText="1"/>
    </xf>
    <xf numFmtId="0" fontId="0" fillId="2" borderId="21"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3" fillId="10" borderId="18" xfId="0" applyFont="1" applyFill="1" applyBorder="1" applyAlignment="1">
      <alignment horizontal="center"/>
    </xf>
    <xf numFmtId="0" fontId="3" fillId="10" borderId="19" xfId="0" applyFont="1" applyFill="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0" fontId="0" fillId="0" borderId="0" xfId="0" applyFill="1" applyAlignment="1">
      <alignment horizontal="left"/>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opLeftCell="A22" workbookViewId="0">
      <selection activeCell="F36" sqref="F36"/>
    </sheetView>
  </sheetViews>
  <sheetFormatPr defaultRowHeight="15" x14ac:dyDescent="0.25"/>
  <cols>
    <col min="1" max="1" width="16.7109375" customWidth="1"/>
    <col min="2" max="2" width="15.28515625" customWidth="1"/>
    <col min="3" max="3" width="16.28515625" customWidth="1"/>
    <col min="4" max="4" width="15.7109375" customWidth="1"/>
    <col min="5" max="5" width="10.85546875" customWidth="1"/>
    <col min="6" max="6" width="11.28515625" customWidth="1"/>
    <col min="7" max="7" width="10.5703125" customWidth="1"/>
    <col min="8" max="8" width="14.28515625" customWidth="1"/>
    <col min="9" max="9" width="11.42578125" customWidth="1"/>
    <col min="10" max="10" width="11.28515625" customWidth="1"/>
    <col min="11" max="11" width="10.140625" customWidth="1"/>
    <col min="12" max="12" width="9.7109375" customWidth="1"/>
    <col min="13" max="13" width="12.7109375" customWidth="1"/>
  </cols>
  <sheetData>
    <row r="1" spans="1:13" ht="15.75" thickBot="1" x14ac:dyDescent="0.3"/>
    <row r="2" spans="1:13" ht="21.75" thickBot="1" x14ac:dyDescent="0.4">
      <c r="D2" s="107" t="s">
        <v>69</v>
      </c>
      <c r="E2" s="108"/>
      <c r="F2" s="108"/>
      <c r="G2" s="108"/>
      <c r="H2" s="109"/>
      <c r="I2" s="107" t="s">
        <v>44</v>
      </c>
      <c r="J2" s="108"/>
      <c r="K2" s="108"/>
      <c r="L2" s="108"/>
      <c r="M2" s="109"/>
    </row>
    <row r="3" spans="1:13" ht="73.900000000000006" customHeight="1" thickBot="1" x14ac:dyDescent="0.3">
      <c r="A3" s="28"/>
      <c r="B3" s="21" t="s">
        <v>12</v>
      </c>
      <c r="C3" s="22" t="s">
        <v>13</v>
      </c>
      <c r="D3" s="23" t="s">
        <v>14</v>
      </c>
      <c r="E3" s="24" t="s">
        <v>19</v>
      </c>
      <c r="F3" s="24" t="s">
        <v>40</v>
      </c>
      <c r="G3" s="24" t="s">
        <v>21</v>
      </c>
      <c r="H3" s="25" t="s">
        <v>24</v>
      </c>
      <c r="I3" s="24" t="s">
        <v>14</v>
      </c>
      <c r="J3" s="24" t="s">
        <v>19</v>
      </c>
      <c r="K3" s="24" t="s">
        <v>40</v>
      </c>
      <c r="L3" s="24" t="s">
        <v>21</v>
      </c>
      <c r="M3" s="25" t="s">
        <v>24</v>
      </c>
    </row>
    <row r="4" spans="1:13" x14ac:dyDescent="0.25">
      <c r="A4" s="8" t="s">
        <v>0</v>
      </c>
      <c r="B4" s="20">
        <f>$C$31</f>
        <v>994.04761904761904</v>
      </c>
      <c r="C4" s="81">
        <v>10</v>
      </c>
      <c r="D4" s="29"/>
      <c r="E4" s="30"/>
      <c r="F4" s="30">
        <f>400*$D$21</f>
        <v>31.957200000000004</v>
      </c>
      <c r="G4" s="30">
        <f>(B4-400)*$D$22</f>
        <v>61.617589285714281</v>
      </c>
      <c r="H4" s="31">
        <f>SUM(C4:G4)</f>
        <v>103.57478928571427</v>
      </c>
      <c r="I4" s="35"/>
      <c r="J4" s="36"/>
      <c r="K4" s="36">
        <f>400*$E$21</f>
        <v>32.053071600000003</v>
      </c>
      <c r="L4" s="36">
        <f>(B4-400)*$E$22</f>
        <v>61.802442053571419</v>
      </c>
      <c r="M4" s="37">
        <f>SUM(C4,I4:L4)</f>
        <v>103.85551365357142</v>
      </c>
    </row>
    <row r="5" spans="1:13" x14ac:dyDescent="0.25">
      <c r="A5" s="8" t="s">
        <v>1</v>
      </c>
      <c r="B5" s="20">
        <f t="shared" ref="B5:B15" si="0">$C$31</f>
        <v>994.04761904761904</v>
      </c>
      <c r="C5" s="18">
        <v>10</v>
      </c>
      <c r="D5" s="29"/>
      <c r="E5" s="30"/>
      <c r="F5" s="30">
        <f t="shared" ref="F5:F8" si="1">400*$D$21</f>
        <v>31.957200000000004</v>
      </c>
      <c r="G5" s="30">
        <f t="shared" ref="G5:G8" si="2">(B5-400)*$D$22</f>
        <v>61.617589285714281</v>
      </c>
      <c r="H5" s="31">
        <f t="shared" ref="H5:H15" si="3">SUM(C5:G5)</f>
        <v>103.57478928571427</v>
      </c>
      <c r="I5" s="38"/>
      <c r="J5" s="39"/>
      <c r="K5" s="39">
        <f t="shared" ref="K5:K8" si="4">400*$E$21</f>
        <v>32.053071600000003</v>
      </c>
      <c r="L5" s="39">
        <f t="shared" ref="L5:L15" si="5">(B5-400)*$E$22</f>
        <v>61.802442053571419</v>
      </c>
      <c r="M5" s="40">
        <f t="shared" ref="M5:M15" si="6">SUM(C5,I5:L5)</f>
        <v>103.85551365357142</v>
      </c>
    </row>
    <row r="6" spans="1:13" x14ac:dyDescent="0.25">
      <c r="A6" s="8" t="s">
        <v>2</v>
      </c>
      <c r="B6" s="20">
        <f t="shared" si="0"/>
        <v>994.04761904761904</v>
      </c>
      <c r="C6" s="18">
        <v>10</v>
      </c>
      <c r="D6" s="29"/>
      <c r="E6" s="30"/>
      <c r="F6" s="30">
        <f t="shared" si="1"/>
        <v>31.957200000000004</v>
      </c>
      <c r="G6" s="30">
        <f t="shared" si="2"/>
        <v>61.617589285714281</v>
      </c>
      <c r="H6" s="31">
        <f t="shared" si="3"/>
        <v>103.57478928571427</v>
      </c>
      <c r="I6" s="38"/>
      <c r="J6" s="39"/>
      <c r="K6" s="39">
        <f t="shared" si="4"/>
        <v>32.053071600000003</v>
      </c>
      <c r="L6" s="39">
        <f t="shared" si="5"/>
        <v>61.802442053571419</v>
      </c>
      <c r="M6" s="40">
        <f t="shared" si="6"/>
        <v>103.85551365357142</v>
      </c>
    </row>
    <row r="7" spans="1:13" x14ac:dyDescent="0.25">
      <c r="A7" s="8" t="s">
        <v>3</v>
      </c>
      <c r="B7" s="20">
        <f t="shared" si="0"/>
        <v>994.04761904761904</v>
      </c>
      <c r="C7" s="18">
        <v>10</v>
      </c>
      <c r="D7" s="29"/>
      <c r="E7" s="30"/>
      <c r="F7" s="30">
        <f t="shared" si="1"/>
        <v>31.957200000000004</v>
      </c>
      <c r="G7" s="30">
        <f t="shared" si="2"/>
        <v>61.617589285714281</v>
      </c>
      <c r="H7" s="31">
        <f t="shared" si="3"/>
        <v>103.57478928571427</v>
      </c>
      <c r="I7" s="38"/>
      <c r="J7" s="39"/>
      <c r="K7" s="39">
        <f t="shared" si="4"/>
        <v>32.053071600000003</v>
      </c>
      <c r="L7" s="39">
        <f t="shared" si="5"/>
        <v>61.802442053571419</v>
      </c>
      <c r="M7" s="40">
        <f t="shared" si="6"/>
        <v>103.85551365357142</v>
      </c>
    </row>
    <row r="8" spans="1:13" x14ac:dyDescent="0.25">
      <c r="A8" s="8" t="s">
        <v>4</v>
      </c>
      <c r="B8" s="20">
        <f t="shared" si="0"/>
        <v>994.04761904761904</v>
      </c>
      <c r="C8" s="18">
        <v>10</v>
      </c>
      <c r="D8" s="29"/>
      <c r="E8" s="30"/>
      <c r="F8" s="30">
        <f t="shared" si="1"/>
        <v>31.957200000000004</v>
      </c>
      <c r="G8" s="30">
        <f t="shared" si="2"/>
        <v>61.617589285714281</v>
      </c>
      <c r="H8" s="31">
        <f t="shared" si="3"/>
        <v>103.57478928571427</v>
      </c>
      <c r="I8" s="38"/>
      <c r="J8" s="39"/>
      <c r="K8" s="39">
        <f t="shared" si="4"/>
        <v>32.053071600000003</v>
      </c>
      <c r="L8" s="39">
        <f t="shared" si="5"/>
        <v>61.802442053571419</v>
      </c>
      <c r="M8" s="40">
        <f t="shared" si="6"/>
        <v>103.85551365357142</v>
      </c>
    </row>
    <row r="9" spans="1:13" x14ac:dyDescent="0.25">
      <c r="A9" s="8" t="s">
        <v>5</v>
      </c>
      <c r="B9" s="20">
        <f t="shared" si="0"/>
        <v>994.04761904761904</v>
      </c>
      <c r="C9" s="18">
        <v>10</v>
      </c>
      <c r="D9" s="29">
        <f t="shared" ref="D9:D12" si="7">400*$D$19</f>
        <v>36.111599999999996</v>
      </c>
      <c r="E9" s="30">
        <f>(B9-400)*$D$20</f>
        <v>69.628321428571425</v>
      </c>
      <c r="F9" s="30"/>
      <c r="G9" s="30"/>
      <c r="H9" s="31">
        <f t="shared" si="3"/>
        <v>115.73992142857142</v>
      </c>
      <c r="I9" s="38">
        <f>400*$E$19</f>
        <v>36.219934799999997</v>
      </c>
      <c r="J9" s="39">
        <f>(B9-400)*$E$20</f>
        <v>69.837206392857127</v>
      </c>
      <c r="K9" s="39"/>
      <c r="L9" s="39"/>
      <c r="M9" s="40">
        <f t="shared" si="6"/>
        <v>116.05714119285713</v>
      </c>
    </row>
    <row r="10" spans="1:13" x14ac:dyDescent="0.25">
      <c r="A10" s="8" t="s">
        <v>6</v>
      </c>
      <c r="B10" s="20">
        <f t="shared" si="0"/>
        <v>994.04761904761904</v>
      </c>
      <c r="C10" s="18">
        <v>10</v>
      </c>
      <c r="D10" s="29">
        <f t="shared" si="7"/>
        <v>36.111599999999996</v>
      </c>
      <c r="E10" s="30">
        <f t="shared" ref="E10:E12" si="8">(B10-400)*$D$20</f>
        <v>69.628321428571425</v>
      </c>
      <c r="F10" s="30"/>
      <c r="G10" s="30"/>
      <c r="H10" s="31">
        <f t="shared" si="3"/>
        <v>115.73992142857142</v>
      </c>
      <c r="I10" s="38">
        <f t="shared" ref="I10:I12" si="9">400*$E$19</f>
        <v>36.219934799999997</v>
      </c>
      <c r="J10" s="39">
        <f t="shared" ref="J10:J12" si="10">(B10-400)*$E$20</f>
        <v>69.837206392857127</v>
      </c>
      <c r="K10" s="39"/>
      <c r="L10" s="39"/>
      <c r="M10" s="40">
        <f t="shared" si="6"/>
        <v>116.05714119285713</v>
      </c>
    </row>
    <row r="11" spans="1:13" x14ac:dyDescent="0.25">
      <c r="A11" s="8" t="s">
        <v>7</v>
      </c>
      <c r="B11" s="20">
        <f t="shared" si="0"/>
        <v>994.04761904761904</v>
      </c>
      <c r="C11" s="18">
        <v>10</v>
      </c>
      <c r="D11" s="29">
        <f t="shared" si="7"/>
        <v>36.111599999999996</v>
      </c>
      <c r="E11" s="30">
        <f t="shared" si="8"/>
        <v>69.628321428571425</v>
      </c>
      <c r="F11" s="30"/>
      <c r="G11" s="30"/>
      <c r="H11" s="31">
        <f t="shared" si="3"/>
        <v>115.73992142857142</v>
      </c>
      <c r="I11" s="38">
        <f t="shared" si="9"/>
        <v>36.219934799999997</v>
      </c>
      <c r="J11" s="39">
        <f t="shared" si="10"/>
        <v>69.837206392857127</v>
      </c>
      <c r="K11" s="39"/>
      <c r="L11" s="39"/>
      <c r="M11" s="40">
        <f t="shared" si="6"/>
        <v>116.05714119285713</v>
      </c>
    </row>
    <row r="12" spans="1:13" x14ac:dyDescent="0.25">
      <c r="A12" s="8" t="s">
        <v>8</v>
      </c>
      <c r="B12" s="20">
        <f t="shared" si="0"/>
        <v>994.04761904761904</v>
      </c>
      <c r="C12" s="18">
        <v>10</v>
      </c>
      <c r="D12" s="29">
        <f t="shared" si="7"/>
        <v>36.111599999999996</v>
      </c>
      <c r="E12" s="30">
        <f t="shared" si="8"/>
        <v>69.628321428571425</v>
      </c>
      <c r="F12" s="30"/>
      <c r="G12" s="30"/>
      <c r="H12" s="31">
        <f t="shared" si="3"/>
        <v>115.73992142857142</v>
      </c>
      <c r="I12" s="38">
        <f t="shared" si="9"/>
        <v>36.219934799999997</v>
      </c>
      <c r="J12" s="39">
        <f t="shared" si="10"/>
        <v>69.837206392857127</v>
      </c>
      <c r="K12" s="39"/>
      <c r="L12" s="39"/>
      <c r="M12" s="40">
        <f t="shared" si="6"/>
        <v>116.05714119285713</v>
      </c>
    </row>
    <row r="13" spans="1:13" x14ac:dyDescent="0.25">
      <c r="A13" s="8" t="s">
        <v>9</v>
      </c>
      <c r="B13" s="20">
        <f t="shared" si="0"/>
        <v>994.04761904761904</v>
      </c>
      <c r="C13" s="18">
        <v>10</v>
      </c>
      <c r="D13" s="29"/>
      <c r="E13" s="30"/>
      <c r="F13" s="30">
        <f t="shared" ref="F13:F15" si="11">400*$D$21</f>
        <v>31.957200000000004</v>
      </c>
      <c r="G13" s="30">
        <f t="shared" ref="G13:G15" si="12">(B13-400)*$D$22</f>
        <v>61.617589285714281</v>
      </c>
      <c r="H13" s="31">
        <f t="shared" si="3"/>
        <v>103.57478928571427</v>
      </c>
      <c r="I13" s="38"/>
      <c r="J13" s="39"/>
      <c r="K13" s="39">
        <f t="shared" ref="K13:K15" si="13">400*$E$21</f>
        <v>32.053071600000003</v>
      </c>
      <c r="L13" s="39">
        <f t="shared" si="5"/>
        <v>61.802442053571419</v>
      </c>
      <c r="M13" s="40">
        <f t="shared" si="6"/>
        <v>103.85551365357142</v>
      </c>
    </row>
    <row r="14" spans="1:13" x14ac:dyDescent="0.25">
      <c r="A14" s="8" t="s">
        <v>10</v>
      </c>
      <c r="B14" s="20">
        <f t="shared" si="0"/>
        <v>994.04761904761904</v>
      </c>
      <c r="C14" s="18">
        <v>10</v>
      </c>
      <c r="D14" s="29"/>
      <c r="E14" s="30"/>
      <c r="F14" s="30">
        <f t="shared" si="11"/>
        <v>31.957200000000004</v>
      </c>
      <c r="G14" s="30">
        <f t="shared" si="12"/>
        <v>61.617589285714281</v>
      </c>
      <c r="H14" s="31">
        <f t="shared" si="3"/>
        <v>103.57478928571427</v>
      </c>
      <c r="I14" s="38"/>
      <c r="J14" s="39"/>
      <c r="K14" s="39">
        <f t="shared" si="13"/>
        <v>32.053071600000003</v>
      </c>
      <c r="L14" s="39">
        <f t="shared" si="5"/>
        <v>61.802442053571419</v>
      </c>
      <c r="M14" s="40">
        <f t="shared" si="6"/>
        <v>103.85551365357142</v>
      </c>
    </row>
    <row r="15" spans="1:13" ht="15.75" thickBot="1" x14ac:dyDescent="0.3">
      <c r="A15" s="27" t="s">
        <v>11</v>
      </c>
      <c r="B15" s="9">
        <f t="shared" si="0"/>
        <v>994.04761904761904</v>
      </c>
      <c r="C15" s="19">
        <v>10</v>
      </c>
      <c r="D15" s="32"/>
      <c r="E15" s="33"/>
      <c r="F15" s="33">
        <f t="shared" si="11"/>
        <v>31.957200000000004</v>
      </c>
      <c r="G15" s="33">
        <f t="shared" si="12"/>
        <v>61.617589285714281</v>
      </c>
      <c r="H15" s="34">
        <f t="shared" si="3"/>
        <v>103.57478928571427</v>
      </c>
      <c r="I15" s="41"/>
      <c r="J15" s="42"/>
      <c r="K15" s="42">
        <f t="shared" si="13"/>
        <v>32.053071600000003</v>
      </c>
      <c r="L15" s="42">
        <f t="shared" si="5"/>
        <v>61.802442053571419</v>
      </c>
      <c r="M15" s="43">
        <f t="shared" si="6"/>
        <v>103.85551365357142</v>
      </c>
    </row>
    <row r="16" spans="1:13" ht="15.75" thickBot="1" x14ac:dyDescent="0.3">
      <c r="G16" t="s">
        <v>45</v>
      </c>
      <c r="H16" s="26">
        <f>SUM(H4:H15)</f>
        <v>1291.558</v>
      </c>
      <c r="L16" t="s">
        <v>45</v>
      </c>
      <c r="M16" s="44">
        <f>SUM(M4:M15)</f>
        <v>1295.072674</v>
      </c>
    </row>
    <row r="17" spans="1:18" ht="21.75" thickBot="1" x14ac:dyDescent="0.4">
      <c r="D17" s="112" t="s">
        <v>41</v>
      </c>
      <c r="E17" s="113"/>
      <c r="H17" s="50"/>
      <c r="M17" s="50"/>
    </row>
    <row r="18" spans="1:18" ht="49.9" customHeight="1" thickBot="1" x14ac:dyDescent="0.3">
      <c r="D18" s="61" t="s">
        <v>59</v>
      </c>
      <c r="E18" s="62" t="s">
        <v>60</v>
      </c>
    </row>
    <row r="19" spans="1:18" ht="15.75" thickBot="1" x14ac:dyDescent="0.3">
      <c r="B19" s="7" t="s">
        <v>15</v>
      </c>
      <c r="C19" s="7" t="s">
        <v>16</v>
      </c>
      <c r="D19" s="45">
        <v>9.0278999999999998E-2</v>
      </c>
      <c r="E19" s="82">
        <f>D19*1.003</f>
        <v>9.0549836999999994E-2</v>
      </c>
    </row>
    <row r="20" spans="1:18" ht="19.5" thickBot="1" x14ac:dyDescent="0.35">
      <c r="B20" s="8" t="s">
        <v>15</v>
      </c>
      <c r="C20" s="8" t="s">
        <v>17</v>
      </c>
      <c r="D20" s="46">
        <v>0.11720999999999999</v>
      </c>
      <c r="E20" s="83">
        <f t="shared" ref="E20:E22" si="14">D20*1.003</f>
        <v>0.11756162999999999</v>
      </c>
      <c r="I20" s="68">
        <f>M16-H16</f>
        <v>3.5146740000000136</v>
      </c>
      <c r="J20" s="110" t="s">
        <v>68</v>
      </c>
      <c r="K20" s="110"/>
      <c r="L20" s="110"/>
      <c r="M20" s="110"/>
      <c r="N20" s="110"/>
      <c r="O20" s="110"/>
      <c r="P20" s="110"/>
      <c r="Q20" s="110"/>
      <c r="R20" s="111"/>
    </row>
    <row r="21" spans="1:18" x14ac:dyDescent="0.25">
      <c r="B21" s="8" t="s">
        <v>18</v>
      </c>
      <c r="C21" s="8" t="s">
        <v>16</v>
      </c>
      <c r="D21" s="46">
        <v>7.9893000000000006E-2</v>
      </c>
      <c r="E21" s="83">
        <f t="shared" si="14"/>
        <v>8.0132678999999998E-2</v>
      </c>
    </row>
    <row r="22" spans="1:18" ht="15.75" thickBot="1" x14ac:dyDescent="0.3">
      <c r="B22" s="27" t="s">
        <v>18</v>
      </c>
      <c r="C22" s="27" t="s">
        <v>17</v>
      </c>
      <c r="D22" s="47">
        <v>0.103725</v>
      </c>
      <c r="E22" s="84">
        <f t="shared" si="14"/>
        <v>0.10403617499999998</v>
      </c>
    </row>
    <row r="23" spans="1:18" ht="15.75" thickBot="1" x14ac:dyDescent="0.3"/>
    <row r="24" spans="1:18" ht="19.5" thickBot="1" x14ac:dyDescent="0.35">
      <c r="A24" s="96" t="s">
        <v>36</v>
      </c>
      <c r="B24" s="97"/>
      <c r="C24" s="98"/>
      <c r="E24" t="s">
        <v>37</v>
      </c>
      <c r="F24" t="s">
        <v>61</v>
      </c>
    </row>
    <row r="25" spans="1:18" ht="30" customHeight="1" x14ac:dyDescent="0.25">
      <c r="A25" s="99" t="s">
        <v>31</v>
      </c>
      <c r="B25" s="100"/>
      <c r="C25" s="15">
        <v>775</v>
      </c>
      <c r="E25" s="73" t="s">
        <v>52</v>
      </c>
    </row>
    <row r="26" spans="1:18" ht="30" customHeight="1" x14ac:dyDescent="0.25">
      <c r="A26" s="90" t="s">
        <v>32</v>
      </c>
      <c r="B26" s="91"/>
      <c r="C26" s="16">
        <v>11500</v>
      </c>
      <c r="E26" s="114" t="s">
        <v>70</v>
      </c>
      <c r="F26" s="114"/>
      <c r="G26" s="114"/>
      <c r="H26" s="114"/>
      <c r="I26" s="114"/>
    </row>
    <row r="27" spans="1:18" ht="30" customHeight="1" x14ac:dyDescent="0.25">
      <c r="A27" s="90" t="s">
        <v>33</v>
      </c>
      <c r="B27" s="91"/>
      <c r="C27" s="10">
        <f>C26/12</f>
        <v>958.33333333333337</v>
      </c>
    </row>
    <row r="28" spans="1:18" ht="30" customHeight="1" x14ac:dyDescent="0.25">
      <c r="A28" s="90" t="s">
        <v>26</v>
      </c>
      <c r="B28" s="91"/>
      <c r="C28" s="17">
        <v>0.8</v>
      </c>
      <c r="E28" s="114" t="s">
        <v>71</v>
      </c>
      <c r="F28" s="114"/>
      <c r="G28" s="114"/>
      <c r="H28" s="114"/>
      <c r="I28" s="114"/>
    </row>
    <row r="29" spans="1:18" ht="43.15" customHeight="1" x14ac:dyDescent="0.25">
      <c r="A29" s="90" t="s">
        <v>53</v>
      </c>
      <c r="B29" s="91"/>
      <c r="C29" s="16">
        <v>3.5</v>
      </c>
      <c r="E29" s="73" t="s">
        <v>54</v>
      </c>
    </row>
    <row r="30" spans="1:18" ht="30" customHeight="1" thickBot="1" x14ac:dyDescent="0.3">
      <c r="A30" s="92" t="s">
        <v>49</v>
      </c>
      <c r="B30" s="93"/>
      <c r="C30" s="11">
        <f>(C27/C29)*C28</f>
        <v>219.04761904761904</v>
      </c>
    </row>
    <row r="31" spans="1:18" ht="30" customHeight="1" thickBot="1" x14ac:dyDescent="0.3">
      <c r="A31" s="94" t="s">
        <v>34</v>
      </c>
      <c r="B31" s="95"/>
      <c r="C31" s="12">
        <f>C25+C30</f>
        <v>994.04761904761904</v>
      </c>
    </row>
    <row r="32" spans="1:18" ht="15.75" thickBot="1" x14ac:dyDescent="0.3"/>
    <row r="33" spans="1:9" ht="30" customHeight="1" x14ac:dyDescent="0.25">
      <c r="A33" s="101" t="s">
        <v>35</v>
      </c>
      <c r="B33" s="102"/>
      <c r="C33" s="13">
        <f>C26*(1-C28)</f>
        <v>2299.9999999999995</v>
      </c>
      <c r="E33" t="s">
        <v>50</v>
      </c>
    </row>
    <row r="34" spans="1:9" ht="30" customHeight="1" x14ac:dyDescent="0.25">
      <c r="A34" s="103" t="s">
        <v>39</v>
      </c>
      <c r="B34" s="104"/>
      <c r="C34" s="14">
        <v>0.2</v>
      </c>
      <c r="E34" s="114" t="s">
        <v>72</v>
      </c>
      <c r="F34" s="114"/>
      <c r="G34" s="114"/>
      <c r="H34" s="114"/>
      <c r="I34" s="114"/>
    </row>
    <row r="35" spans="1:9" ht="30" customHeight="1" x14ac:dyDescent="0.25">
      <c r="A35" s="103" t="s">
        <v>51</v>
      </c>
      <c r="B35" s="104"/>
      <c r="C35" s="14">
        <f>C33*(C34/100)</f>
        <v>4.5999999999999988</v>
      </c>
    </row>
    <row r="36" spans="1:9" ht="45.6" customHeight="1" x14ac:dyDescent="0.25">
      <c r="A36" s="103" t="s">
        <v>38</v>
      </c>
      <c r="B36" s="104"/>
      <c r="C36" s="14">
        <f>C35*150</f>
        <v>689.99999999999977</v>
      </c>
    </row>
    <row r="37" spans="1:9" ht="45.6" customHeight="1" x14ac:dyDescent="0.25">
      <c r="A37" s="105" t="s">
        <v>56</v>
      </c>
      <c r="B37" s="106"/>
      <c r="C37" s="74">
        <v>0.4</v>
      </c>
      <c r="E37" t="s">
        <v>64</v>
      </c>
    </row>
    <row r="38" spans="1:9" ht="45.6" customHeight="1" x14ac:dyDescent="0.25">
      <c r="A38" s="105" t="s">
        <v>58</v>
      </c>
      <c r="B38" s="106"/>
      <c r="C38" s="74">
        <v>0.15</v>
      </c>
      <c r="E38" t="s">
        <v>64</v>
      </c>
    </row>
    <row r="39" spans="1:9" ht="45.6" customHeight="1" x14ac:dyDescent="0.25">
      <c r="A39" s="105" t="s">
        <v>57</v>
      </c>
      <c r="B39" s="106"/>
      <c r="C39" s="74">
        <f>C37-C38</f>
        <v>0.25</v>
      </c>
    </row>
    <row r="40" spans="1:9" ht="30" customHeight="1" thickBot="1" x14ac:dyDescent="0.3">
      <c r="A40" s="88" t="s">
        <v>65</v>
      </c>
      <c r="B40" s="89"/>
      <c r="C40" s="75">
        <f>C36*C39</f>
        <v>172.49999999999994</v>
      </c>
    </row>
  </sheetData>
  <mergeCells count="23">
    <mergeCell ref="I2:M2"/>
    <mergeCell ref="D2:H2"/>
    <mergeCell ref="J20:R20"/>
    <mergeCell ref="A35:B35"/>
    <mergeCell ref="A36:B36"/>
    <mergeCell ref="D17:E17"/>
    <mergeCell ref="E26:I26"/>
    <mergeCell ref="E28:I28"/>
    <mergeCell ref="E34:I34"/>
    <mergeCell ref="A40:B40"/>
    <mergeCell ref="A29:B29"/>
    <mergeCell ref="A30:B30"/>
    <mergeCell ref="A31:B31"/>
    <mergeCell ref="A24:C24"/>
    <mergeCell ref="A25:B25"/>
    <mergeCell ref="A33:B33"/>
    <mergeCell ref="A34:B34"/>
    <mergeCell ref="A28:B28"/>
    <mergeCell ref="A27:B27"/>
    <mergeCell ref="A26:B26"/>
    <mergeCell ref="A38:B38"/>
    <mergeCell ref="A37:B37"/>
    <mergeCell ref="A39:B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opLeftCell="A23" workbookViewId="0">
      <selection activeCell="E25" sqref="E25:H25"/>
    </sheetView>
  </sheetViews>
  <sheetFormatPr defaultRowHeight="15" x14ac:dyDescent="0.25"/>
  <cols>
    <col min="1" max="1" width="16.7109375" customWidth="1"/>
    <col min="2" max="2" width="15.28515625" customWidth="1"/>
    <col min="3" max="3" width="16.28515625" customWidth="1"/>
    <col min="4" max="4" width="15.7109375" customWidth="1"/>
    <col min="5" max="5" width="10.85546875" customWidth="1"/>
    <col min="6" max="6" width="11.28515625" customWidth="1"/>
    <col min="7" max="7" width="10.5703125" customWidth="1"/>
    <col min="8" max="8" width="14.28515625" customWidth="1"/>
    <col min="9" max="9" width="11.42578125" customWidth="1"/>
    <col min="10" max="10" width="11.28515625" customWidth="1"/>
    <col min="11" max="11" width="10.140625" customWidth="1"/>
    <col min="12" max="12" width="9.7109375" customWidth="1"/>
    <col min="13" max="13" width="12.7109375" customWidth="1"/>
  </cols>
  <sheetData>
    <row r="1" spans="1:13" ht="15.75" thickBot="1" x14ac:dyDescent="0.3"/>
    <row r="2" spans="1:13" ht="21.75" thickBot="1" x14ac:dyDescent="0.4">
      <c r="D2" s="107" t="s">
        <v>69</v>
      </c>
      <c r="E2" s="108"/>
      <c r="F2" s="108"/>
      <c r="G2" s="108"/>
      <c r="H2" s="109"/>
      <c r="I2" s="107" t="s">
        <v>44</v>
      </c>
      <c r="J2" s="108"/>
      <c r="K2" s="108"/>
      <c r="L2" s="108"/>
      <c r="M2" s="109"/>
    </row>
    <row r="3" spans="1:13" ht="73.900000000000006" customHeight="1" thickBot="1" x14ac:dyDescent="0.3">
      <c r="A3" s="28"/>
      <c r="B3" s="21" t="s">
        <v>12</v>
      </c>
      <c r="C3" s="22" t="s">
        <v>13</v>
      </c>
      <c r="D3" s="23" t="s">
        <v>14</v>
      </c>
      <c r="E3" s="24" t="s">
        <v>19</v>
      </c>
      <c r="F3" s="24" t="s">
        <v>40</v>
      </c>
      <c r="G3" s="24" t="s">
        <v>21</v>
      </c>
      <c r="H3" s="25" t="s">
        <v>24</v>
      </c>
      <c r="I3" s="24" t="s">
        <v>14</v>
      </c>
      <c r="J3" s="24" t="s">
        <v>19</v>
      </c>
      <c r="K3" s="24" t="s">
        <v>40</v>
      </c>
      <c r="L3" s="24" t="s">
        <v>21</v>
      </c>
      <c r="M3" s="25" t="s">
        <v>24</v>
      </c>
    </row>
    <row r="4" spans="1:13" x14ac:dyDescent="0.25">
      <c r="A4" s="8" t="s">
        <v>0</v>
      </c>
      <c r="B4" s="20">
        <f>$C$31</f>
        <v>2260.1190476190477</v>
      </c>
      <c r="C4" s="81">
        <v>10</v>
      </c>
      <c r="D4" s="29"/>
      <c r="E4" s="30"/>
      <c r="F4" s="30">
        <f>400*$D$21</f>
        <v>31.957200000000004</v>
      </c>
      <c r="G4" s="30">
        <f>(B4-400)*$D$22</f>
        <v>192.94084821428572</v>
      </c>
      <c r="H4" s="31">
        <f>SUM(C4:G4)</f>
        <v>234.89804821428572</v>
      </c>
      <c r="I4" s="35"/>
      <c r="J4" s="36"/>
      <c r="K4" s="36">
        <f>400*$E$21</f>
        <v>32.053071600000003</v>
      </c>
      <c r="L4" s="36">
        <f>(B4-400)*$E$22</f>
        <v>193.51967075892856</v>
      </c>
      <c r="M4" s="37">
        <f>SUM(C4,I4:L4)</f>
        <v>235.57274235892856</v>
      </c>
    </row>
    <row r="5" spans="1:13" x14ac:dyDescent="0.25">
      <c r="A5" s="8" t="s">
        <v>1</v>
      </c>
      <c r="B5" s="20">
        <f t="shared" ref="B5:B15" si="0">$C$31</f>
        <v>2260.1190476190477</v>
      </c>
      <c r="C5" s="18">
        <v>10</v>
      </c>
      <c r="D5" s="29"/>
      <c r="E5" s="30"/>
      <c r="F5" s="30">
        <f t="shared" ref="F5:F8" si="1">400*$D$21</f>
        <v>31.957200000000004</v>
      </c>
      <c r="G5" s="30">
        <f t="shared" ref="G5:G8" si="2">(B5-400)*$D$22</f>
        <v>192.94084821428572</v>
      </c>
      <c r="H5" s="31">
        <f t="shared" ref="H5:H15" si="3">SUM(C5:G5)</f>
        <v>234.89804821428572</v>
      </c>
      <c r="I5" s="38"/>
      <c r="J5" s="39"/>
      <c r="K5" s="39">
        <f t="shared" ref="K5:K8" si="4">400*$E$21</f>
        <v>32.053071600000003</v>
      </c>
      <c r="L5" s="39">
        <f t="shared" ref="L5:L15" si="5">(B5-400)*$E$22</f>
        <v>193.51967075892856</v>
      </c>
      <c r="M5" s="40">
        <f t="shared" ref="M5:M15" si="6">SUM(C5,I5:L5)</f>
        <v>235.57274235892856</v>
      </c>
    </row>
    <row r="6" spans="1:13" x14ac:dyDescent="0.25">
      <c r="A6" s="8" t="s">
        <v>2</v>
      </c>
      <c r="B6" s="20">
        <f t="shared" si="0"/>
        <v>2260.1190476190477</v>
      </c>
      <c r="C6" s="18">
        <v>10</v>
      </c>
      <c r="D6" s="29"/>
      <c r="E6" s="30"/>
      <c r="F6" s="30">
        <f t="shared" si="1"/>
        <v>31.957200000000004</v>
      </c>
      <c r="G6" s="30">
        <f t="shared" si="2"/>
        <v>192.94084821428572</v>
      </c>
      <c r="H6" s="31">
        <f t="shared" si="3"/>
        <v>234.89804821428572</v>
      </c>
      <c r="I6" s="38"/>
      <c r="J6" s="39"/>
      <c r="K6" s="39">
        <f t="shared" si="4"/>
        <v>32.053071600000003</v>
      </c>
      <c r="L6" s="39">
        <f t="shared" si="5"/>
        <v>193.51967075892856</v>
      </c>
      <c r="M6" s="40">
        <f t="shared" si="6"/>
        <v>235.57274235892856</v>
      </c>
    </row>
    <row r="7" spans="1:13" x14ac:dyDescent="0.25">
      <c r="A7" s="8" t="s">
        <v>3</v>
      </c>
      <c r="B7" s="20">
        <f t="shared" si="0"/>
        <v>2260.1190476190477</v>
      </c>
      <c r="C7" s="18">
        <v>10</v>
      </c>
      <c r="D7" s="29"/>
      <c r="E7" s="30"/>
      <c r="F7" s="30">
        <f t="shared" si="1"/>
        <v>31.957200000000004</v>
      </c>
      <c r="G7" s="30">
        <f t="shared" si="2"/>
        <v>192.94084821428572</v>
      </c>
      <c r="H7" s="31">
        <f t="shared" si="3"/>
        <v>234.89804821428572</v>
      </c>
      <c r="I7" s="38"/>
      <c r="J7" s="39"/>
      <c r="K7" s="39">
        <f t="shared" si="4"/>
        <v>32.053071600000003</v>
      </c>
      <c r="L7" s="39">
        <f t="shared" si="5"/>
        <v>193.51967075892856</v>
      </c>
      <c r="M7" s="40">
        <f t="shared" si="6"/>
        <v>235.57274235892856</v>
      </c>
    </row>
    <row r="8" spans="1:13" x14ac:dyDescent="0.25">
      <c r="A8" s="8" t="s">
        <v>4</v>
      </c>
      <c r="B8" s="20">
        <f t="shared" si="0"/>
        <v>2260.1190476190477</v>
      </c>
      <c r="C8" s="18">
        <v>10</v>
      </c>
      <c r="D8" s="29"/>
      <c r="E8" s="30"/>
      <c r="F8" s="30">
        <f t="shared" si="1"/>
        <v>31.957200000000004</v>
      </c>
      <c r="G8" s="30">
        <f t="shared" si="2"/>
        <v>192.94084821428572</v>
      </c>
      <c r="H8" s="31">
        <f t="shared" si="3"/>
        <v>234.89804821428572</v>
      </c>
      <c r="I8" s="38"/>
      <c r="J8" s="39"/>
      <c r="K8" s="39">
        <f t="shared" si="4"/>
        <v>32.053071600000003</v>
      </c>
      <c r="L8" s="39">
        <f t="shared" si="5"/>
        <v>193.51967075892856</v>
      </c>
      <c r="M8" s="40">
        <f t="shared" si="6"/>
        <v>235.57274235892856</v>
      </c>
    </row>
    <row r="9" spans="1:13" x14ac:dyDescent="0.25">
      <c r="A9" s="8" t="s">
        <v>5</v>
      </c>
      <c r="B9" s="20">
        <f t="shared" si="0"/>
        <v>2260.1190476190477</v>
      </c>
      <c r="C9" s="18">
        <v>10</v>
      </c>
      <c r="D9" s="29">
        <f t="shared" ref="D9:D12" si="7">400*$D$19</f>
        <v>36.111599999999996</v>
      </c>
      <c r="E9" s="30">
        <f>(B9-400)*$D$20</f>
        <v>218.02455357142858</v>
      </c>
      <c r="F9" s="30"/>
      <c r="G9" s="30"/>
      <c r="H9" s="31">
        <f t="shared" si="3"/>
        <v>264.13615357142857</v>
      </c>
      <c r="I9" s="38">
        <f>400*$E$19</f>
        <v>36.219934799999997</v>
      </c>
      <c r="J9" s="39">
        <f>(B9-400)*$E$20</f>
        <v>218.67862723214284</v>
      </c>
      <c r="K9" s="39"/>
      <c r="L9" s="39"/>
      <c r="M9" s="40">
        <f t="shared" si="6"/>
        <v>264.89856203214282</v>
      </c>
    </row>
    <row r="10" spans="1:13" x14ac:dyDescent="0.25">
      <c r="A10" s="8" t="s">
        <v>6</v>
      </c>
      <c r="B10" s="20">
        <f t="shared" si="0"/>
        <v>2260.1190476190477</v>
      </c>
      <c r="C10" s="18">
        <v>10</v>
      </c>
      <c r="D10" s="29">
        <f t="shared" si="7"/>
        <v>36.111599999999996</v>
      </c>
      <c r="E10" s="30">
        <f t="shared" ref="E10:E12" si="8">(B10-400)*$D$20</f>
        <v>218.02455357142858</v>
      </c>
      <c r="F10" s="30"/>
      <c r="G10" s="30"/>
      <c r="H10" s="31">
        <f t="shared" si="3"/>
        <v>264.13615357142857</v>
      </c>
      <c r="I10" s="38">
        <f t="shared" ref="I10:I12" si="9">400*$E$19</f>
        <v>36.219934799999997</v>
      </c>
      <c r="J10" s="39">
        <f t="shared" ref="J10:J12" si="10">(B10-400)*$E$20</f>
        <v>218.67862723214284</v>
      </c>
      <c r="K10" s="39"/>
      <c r="L10" s="39"/>
      <c r="M10" s="40">
        <f t="shared" si="6"/>
        <v>264.89856203214282</v>
      </c>
    </row>
    <row r="11" spans="1:13" x14ac:dyDescent="0.25">
      <c r="A11" s="8" t="s">
        <v>7</v>
      </c>
      <c r="B11" s="20">
        <f t="shared" si="0"/>
        <v>2260.1190476190477</v>
      </c>
      <c r="C11" s="18">
        <v>10</v>
      </c>
      <c r="D11" s="29">
        <f t="shared" si="7"/>
        <v>36.111599999999996</v>
      </c>
      <c r="E11" s="30">
        <f t="shared" si="8"/>
        <v>218.02455357142858</v>
      </c>
      <c r="F11" s="30"/>
      <c r="G11" s="30"/>
      <c r="H11" s="31">
        <f t="shared" si="3"/>
        <v>264.13615357142857</v>
      </c>
      <c r="I11" s="38">
        <f t="shared" si="9"/>
        <v>36.219934799999997</v>
      </c>
      <c r="J11" s="39">
        <f t="shared" si="10"/>
        <v>218.67862723214284</v>
      </c>
      <c r="K11" s="39"/>
      <c r="L11" s="39"/>
      <c r="M11" s="40">
        <f t="shared" si="6"/>
        <v>264.89856203214282</v>
      </c>
    </row>
    <row r="12" spans="1:13" x14ac:dyDescent="0.25">
      <c r="A12" s="8" t="s">
        <v>8</v>
      </c>
      <c r="B12" s="20">
        <f t="shared" si="0"/>
        <v>2260.1190476190477</v>
      </c>
      <c r="C12" s="18">
        <v>10</v>
      </c>
      <c r="D12" s="29">
        <f t="shared" si="7"/>
        <v>36.111599999999996</v>
      </c>
      <c r="E12" s="30">
        <f t="shared" si="8"/>
        <v>218.02455357142858</v>
      </c>
      <c r="F12" s="30"/>
      <c r="G12" s="30"/>
      <c r="H12" s="31">
        <f t="shared" si="3"/>
        <v>264.13615357142857</v>
      </c>
      <c r="I12" s="38">
        <f t="shared" si="9"/>
        <v>36.219934799999997</v>
      </c>
      <c r="J12" s="39">
        <f t="shared" si="10"/>
        <v>218.67862723214284</v>
      </c>
      <c r="K12" s="39"/>
      <c r="L12" s="39"/>
      <c r="M12" s="40">
        <f t="shared" si="6"/>
        <v>264.89856203214282</v>
      </c>
    </row>
    <row r="13" spans="1:13" x14ac:dyDescent="0.25">
      <c r="A13" s="8" t="s">
        <v>9</v>
      </c>
      <c r="B13" s="20">
        <f t="shared" si="0"/>
        <v>2260.1190476190477</v>
      </c>
      <c r="C13" s="18">
        <v>10</v>
      </c>
      <c r="D13" s="29"/>
      <c r="E13" s="30"/>
      <c r="F13" s="30">
        <f t="shared" ref="F13:F15" si="11">400*$D$21</f>
        <v>31.957200000000004</v>
      </c>
      <c r="G13" s="30">
        <f t="shared" ref="G13:G15" si="12">(B13-400)*$D$22</f>
        <v>192.94084821428572</v>
      </c>
      <c r="H13" s="31">
        <f t="shared" si="3"/>
        <v>234.89804821428572</v>
      </c>
      <c r="I13" s="38"/>
      <c r="J13" s="39"/>
      <c r="K13" s="39">
        <f t="shared" ref="K13:K15" si="13">400*$E$21</f>
        <v>32.053071600000003</v>
      </c>
      <c r="L13" s="39">
        <f t="shared" si="5"/>
        <v>193.51967075892856</v>
      </c>
      <c r="M13" s="40">
        <f t="shared" si="6"/>
        <v>235.57274235892856</v>
      </c>
    </row>
    <row r="14" spans="1:13" x14ac:dyDescent="0.25">
      <c r="A14" s="8" t="s">
        <v>10</v>
      </c>
      <c r="B14" s="20">
        <f t="shared" si="0"/>
        <v>2260.1190476190477</v>
      </c>
      <c r="C14" s="18">
        <v>10</v>
      </c>
      <c r="D14" s="29"/>
      <c r="E14" s="30"/>
      <c r="F14" s="30">
        <f t="shared" si="11"/>
        <v>31.957200000000004</v>
      </c>
      <c r="G14" s="30">
        <f t="shared" si="12"/>
        <v>192.94084821428572</v>
      </c>
      <c r="H14" s="31">
        <f t="shared" si="3"/>
        <v>234.89804821428572</v>
      </c>
      <c r="I14" s="38"/>
      <c r="J14" s="39"/>
      <c r="K14" s="39">
        <f t="shared" si="13"/>
        <v>32.053071600000003</v>
      </c>
      <c r="L14" s="39">
        <f t="shared" si="5"/>
        <v>193.51967075892856</v>
      </c>
      <c r="M14" s="40">
        <f t="shared" si="6"/>
        <v>235.57274235892856</v>
      </c>
    </row>
    <row r="15" spans="1:13" ht="15.75" thickBot="1" x14ac:dyDescent="0.3">
      <c r="A15" s="27" t="s">
        <v>11</v>
      </c>
      <c r="B15" s="9">
        <f t="shared" si="0"/>
        <v>2260.1190476190477</v>
      </c>
      <c r="C15" s="19">
        <v>10</v>
      </c>
      <c r="D15" s="32"/>
      <c r="E15" s="33"/>
      <c r="F15" s="33">
        <f t="shared" si="11"/>
        <v>31.957200000000004</v>
      </c>
      <c r="G15" s="33">
        <f t="shared" si="12"/>
        <v>192.94084821428572</v>
      </c>
      <c r="H15" s="34">
        <f t="shared" si="3"/>
        <v>234.89804821428572</v>
      </c>
      <c r="I15" s="41"/>
      <c r="J15" s="42"/>
      <c r="K15" s="42">
        <f t="shared" si="13"/>
        <v>32.053071600000003</v>
      </c>
      <c r="L15" s="42">
        <f t="shared" si="5"/>
        <v>193.51967075892856</v>
      </c>
      <c r="M15" s="43">
        <f t="shared" si="6"/>
        <v>235.57274235892856</v>
      </c>
    </row>
    <row r="16" spans="1:13" ht="15.75" thickBot="1" x14ac:dyDescent="0.3">
      <c r="G16" t="s">
        <v>45</v>
      </c>
      <c r="H16" s="26">
        <f>SUM(H4:H15)</f>
        <v>2935.7289999999998</v>
      </c>
      <c r="L16" t="s">
        <v>45</v>
      </c>
      <c r="M16" s="44">
        <f>SUM(M4:M15)</f>
        <v>2944.176187</v>
      </c>
    </row>
    <row r="17" spans="1:18" ht="21.75" thickBot="1" x14ac:dyDescent="0.4">
      <c r="D17" s="112" t="s">
        <v>41</v>
      </c>
      <c r="E17" s="113"/>
      <c r="H17" s="50"/>
      <c r="M17" s="50"/>
    </row>
    <row r="18" spans="1:18" ht="49.9" customHeight="1" thickBot="1" x14ac:dyDescent="0.3">
      <c r="D18" s="61" t="s">
        <v>59</v>
      </c>
      <c r="E18" s="62" t="s">
        <v>60</v>
      </c>
    </row>
    <row r="19" spans="1:18" ht="15.75" thickBot="1" x14ac:dyDescent="0.3">
      <c r="B19" s="7" t="s">
        <v>15</v>
      </c>
      <c r="C19" s="7" t="s">
        <v>16</v>
      </c>
      <c r="D19" s="45">
        <v>9.0278999999999998E-2</v>
      </c>
      <c r="E19" s="82">
        <f>D19*1.003</f>
        <v>9.0549836999999994E-2</v>
      </c>
    </row>
    <row r="20" spans="1:18" ht="19.5" thickBot="1" x14ac:dyDescent="0.35">
      <c r="B20" s="8" t="s">
        <v>15</v>
      </c>
      <c r="C20" s="8" t="s">
        <v>17</v>
      </c>
      <c r="D20" s="46">
        <v>0.11720999999999999</v>
      </c>
      <c r="E20" s="83">
        <f t="shared" ref="E20:E22" si="14">D20*1.003</f>
        <v>0.11756162999999999</v>
      </c>
      <c r="I20" s="68">
        <f>M16-H16</f>
        <v>8.4471870000002127</v>
      </c>
      <c r="J20" s="110" t="s">
        <v>68</v>
      </c>
      <c r="K20" s="110"/>
      <c r="L20" s="110"/>
      <c r="M20" s="110"/>
      <c r="N20" s="110"/>
      <c r="O20" s="110"/>
      <c r="P20" s="110"/>
      <c r="Q20" s="110"/>
      <c r="R20" s="111"/>
    </row>
    <row r="21" spans="1:18" x14ac:dyDescent="0.25">
      <c r="B21" s="8" t="s">
        <v>18</v>
      </c>
      <c r="C21" s="8" t="s">
        <v>16</v>
      </c>
      <c r="D21" s="46">
        <v>7.9893000000000006E-2</v>
      </c>
      <c r="E21" s="83">
        <f t="shared" si="14"/>
        <v>8.0132678999999998E-2</v>
      </c>
    </row>
    <row r="22" spans="1:18" ht="15.75" thickBot="1" x14ac:dyDescent="0.3">
      <c r="B22" s="27" t="s">
        <v>18</v>
      </c>
      <c r="C22" s="27" t="s">
        <v>17</v>
      </c>
      <c r="D22" s="47">
        <v>0.103725</v>
      </c>
      <c r="E22" s="84">
        <f t="shared" si="14"/>
        <v>0.10403617499999998</v>
      </c>
    </row>
    <row r="23" spans="1:18" ht="15.75" thickBot="1" x14ac:dyDescent="0.3"/>
    <row r="24" spans="1:18" ht="19.5" thickBot="1" x14ac:dyDescent="0.35">
      <c r="A24" s="96" t="s">
        <v>36</v>
      </c>
      <c r="B24" s="97"/>
      <c r="C24" s="98"/>
      <c r="E24" t="s">
        <v>37</v>
      </c>
      <c r="F24" t="s">
        <v>61</v>
      </c>
    </row>
    <row r="25" spans="1:18" ht="30" customHeight="1" x14ac:dyDescent="0.25">
      <c r="A25" s="99" t="s">
        <v>31</v>
      </c>
      <c r="B25" s="100"/>
      <c r="C25" s="15">
        <v>2000</v>
      </c>
      <c r="E25" s="114" t="s">
        <v>52</v>
      </c>
      <c r="F25" s="114"/>
      <c r="G25" s="114"/>
      <c r="H25" s="114"/>
    </row>
    <row r="26" spans="1:18" ht="30" customHeight="1" x14ac:dyDescent="0.25">
      <c r="A26" s="90" t="s">
        <v>32</v>
      </c>
      <c r="B26" s="91"/>
      <c r="C26" s="16">
        <v>11500</v>
      </c>
      <c r="E26" s="114" t="s">
        <v>70</v>
      </c>
      <c r="F26" s="114"/>
      <c r="G26" s="114"/>
      <c r="H26" s="114"/>
      <c r="I26" s="114"/>
    </row>
    <row r="27" spans="1:18" ht="30" customHeight="1" x14ac:dyDescent="0.25">
      <c r="A27" s="90" t="s">
        <v>33</v>
      </c>
      <c r="B27" s="91"/>
      <c r="C27" s="10">
        <f>C26/12</f>
        <v>958.33333333333337</v>
      </c>
    </row>
    <row r="28" spans="1:18" ht="30" customHeight="1" x14ac:dyDescent="0.25">
      <c r="A28" s="90" t="s">
        <v>26</v>
      </c>
      <c r="B28" s="91"/>
      <c r="C28" s="17">
        <v>0.95</v>
      </c>
      <c r="E28" s="114" t="s">
        <v>71</v>
      </c>
      <c r="F28" s="114"/>
      <c r="G28" s="114"/>
      <c r="H28" s="114"/>
      <c r="I28" s="114"/>
    </row>
    <row r="29" spans="1:18" ht="43.15" customHeight="1" x14ac:dyDescent="0.25">
      <c r="A29" s="90" t="s">
        <v>53</v>
      </c>
      <c r="B29" s="91"/>
      <c r="C29" s="16">
        <v>3.5</v>
      </c>
      <c r="E29" s="73" t="s">
        <v>54</v>
      </c>
    </row>
    <row r="30" spans="1:18" ht="30" customHeight="1" thickBot="1" x14ac:dyDescent="0.3">
      <c r="A30" s="92" t="s">
        <v>49</v>
      </c>
      <c r="B30" s="93"/>
      <c r="C30" s="11">
        <f>(C27/C29)*C28</f>
        <v>260.11904761904759</v>
      </c>
    </row>
    <row r="31" spans="1:18" ht="30" customHeight="1" thickBot="1" x14ac:dyDescent="0.3">
      <c r="A31" s="94" t="s">
        <v>34</v>
      </c>
      <c r="B31" s="95"/>
      <c r="C31" s="12">
        <f>C25+C30</f>
        <v>2260.1190476190477</v>
      </c>
    </row>
    <row r="32" spans="1:18" ht="15.75" thickBot="1" x14ac:dyDescent="0.3"/>
    <row r="33" spans="1:9" ht="30" customHeight="1" x14ac:dyDescent="0.25">
      <c r="A33" s="101" t="s">
        <v>35</v>
      </c>
      <c r="B33" s="102"/>
      <c r="C33" s="13">
        <f>C26*(1-C28)</f>
        <v>575.00000000000045</v>
      </c>
      <c r="E33" t="s">
        <v>50</v>
      </c>
    </row>
    <row r="34" spans="1:9" ht="30" customHeight="1" x14ac:dyDescent="0.25">
      <c r="A34" s="103" t="s">
        <v>39</v>
      </c>
      <c r="B34" s="104"/>
      <c r="C34" s="14">
        <v>0.2</v>
      </c>
      <c r="E34" s="114" t="s">
        <v>72</v>
      </c>
      <c r="F34" s="114"/>
      <c r="G34" s="114"/>
      <c r="H34" s="114"/>
      <c r="I34" s="114"/>
    </row>
    <row r="35" spans="1:9" ht="30" customHeight="1" x14ac:dyDescent="0.25">
      <c r="A35" s="103" t="s">
        <v>51</v>
      </c>
      <c r="B35" s="104"/>
      <c r="C35" s="14">
        <f>C33*(C34/100)</f>
        <v>1.150000000000001</v>
      </c>
    </row>
    <row r="36" spans="1:9" ht="45.6" customHeight="1" x14ac:dyDescent="0.25">
      <c r="A36" s="103" t="s">
        <v>38</v>
      </c>
      <c r="B36" s="104"/>
      <c r="C36" s="14">
        <f>C35*150</f>
        <v>172.50000000000014</v>
      </c>
    </row>
    <row r="37" spans="1:9" ht="45.6" customHeight="1" x14ac:dyDescent="0.25">
      <c r="A37" s="105" t="s">
        <v>56</v>
      </c>
      <c r="B37" s="106"/>
      <c r="C37" s="74">
        <v>0.4</v>
      </c>
    </row>
    <row r="38" spans="1:9" ht="45.6" customHeight="1" x14ac:dyDescent="0.25">
      <c r="A38" s="105" t="s">
        <v>63</v>
      </c>
      <c r="B38" s="106"/>
      <c r="C38" s="76">
        <v>0.35</v>
      </c>
      <c r="E38" t="s">
        <v>62</v>
      </c>
    </row>
    <row r="39" spans="1:9" ht="45.6" customHeight="1" x14ac:dyDescent="0.25">
      <c r="A39" s="105" t="s">
        <v>57</v>
      </c>
      <c r="B39" s="106"/>
      <c r="C39" s="74">
        <f>C37-C38</f>
        <v>5.0000000000000044E-2</v>
      </c>
    </row>
    <row r="40" spans="1:9" ht="30" customHeight="1" thickBot="1" x14ac:dyDescent="0.3">
      <c r="A40" s="88" t="s">
        <v>65</v>
      </c>
      <c r="B40" s="89"/>
      <c r="C40" s="75">
        <f>C36*C39</f>
        <v>8.6250000000000142</v>
      </c>
    </row>
  </sheetData>
  <mergeCells count="24">
    <mergeCell ref="A39:B39"/>
    <mergeCell ref="A40:B40"/>
    <mergeCell ref="A33:B33"/>
    <mergeCell ref="A34:B34"/>
    <mergeCell ref="A35:B35"/>
    <mergeCell ref="A36:B36"/>
    <mergeCell ref="A37:B37"/>
    <mergeCell ref="A38:B38"/>
    <mergeCell ref="E34:I34"/>
    <mergeCell ref="A31:B31"/>
    <mergeCell ref="D2:H2"/>
    <mergeCell ref="I2:M2"/>
    <mergeCell ref="D17:E17"/>
    <mergeCell ref="J20:R20"/>
    <mergeCell ref="A24:C24"/>
    <mergeCell ref="A25:B25"/>
    <mergeCell ref="E25:H25"/>
    <mergeCell ref="E26:I26"/>
    <mergeCell ref="E28:I28"/>
    <mergeCell ref="A26:B26"/>
    <mergeCell ref="A27:B27"/>
    <mergeCell ref="A28:B28"/>
    <mergeCell ref="A29:B29"/>
    <mergeCell ref="A30:B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workbookViewId="0">
      <selection activeCell="B3" sqref="B3"/>
    </sheetView>
  </sheetViews>
  <sheetFormatPr defaultRowHeight="15" x14ac:dyDescent="0.25"/>
  <cols>
    <col min="2" max="2" width="19.5703125" customWidth="1"/>
    <col min="3" max="3" width="21.5703125" customWidth="1"/>
    <col min="4" max="4" width="19.7109375" customWidth="1"/>
    <col min="5" max="5" width="16.140625" customWidth="1"/>
    <col min="6" max="6" width="13.7109375" customWidth="1"/>
    <col min="7" max="7" width="15.5703125" customWidth="1"/>
    <col min="8" max="8" width="10.140625" bestFit="1" customWidth="1"/>
    <col min="9" max="9" width="12.28515625" customWidth="1"/>
    <col min="10" max="10" width="12" customWidth="1"/>
    <col min="12" max="12" width="15.85546875" customWidth="1"/>
    <col min="13" max="13" width="10.140625" bestFit="1" customWidth="1"/>
  </cols>
  <sheetData>
    <row r="1" spans="1:13" ht="15.75" thickBot="1" x14ac:dyDescent="0.3">
      <c r="D1" s="115" t="s">
        <v>22</v>
      </c>
      <c r="E1" s="116"/>
      <c r="F1" s="116"/>
      <c r="G1" s="116"/>
      <c r="H1" s="66"/>
      <c r="I1" s="116" t="s">
        <v>23</v>
      </c>
      <c r="J1" s="116"/>
      <c r="K1" s="116"/>
      <c r="L1" s="116"/>
      <c r="M1" s="49"/>
    </row>
    <row r="2" spans="1:13" ht="75.75" thickBot="1" x14ac:dyDescent="0.3">
      <c r="A2" s="48"/>
      <c r="B2" s="59" t="s">
        <v>12</v>
      </c>
      <c r="C2" s="77" t="s">
        <v>13</v>
      </c>
      <c r="D2" s="61" t="s">
        <v>14</v>
      </c>
      <c r="E2" s="60" t="s">
        <v>19</v>
      </c>
      <c r="F2" s="60" t="s">
        <v>20</v>
      </c>
      <c r="G2" s="60" t="s">
        <v>21</v>
      </c>
      <c r="H2" s="62" t="s">
        <v>24</v>
      </c>
      <c r="I2" s="60" t="s">
        <v>14</v>
      </c>
      <c r="J2" s="60" t="s">
        <v>19</v>
      </c>
      <c r="K2" s="60" t="s">
        <v>20</v>
      </c>
      <c r="L2" s="60" t="s">
        <v>21</v>
      </c>
      <c r="M2" s="62"/>
    </row>
    <row r="3" spans="1:13" x14ac:dyDescent="0.25">
      <c r="A3" s="46" t="s">
        <v>0</v>
      </c>
      <c r="B3" s="57">
        <v>775</v>
      </c>
      <c r="C3" s="78">
        <v>10</v>
      </c>
      <c r="D3" s="52"/>
      <c r="E3" s="52"/>
      <c r="F3" s="52">
        <f>400*$D$20</f>
        <v>31.957200000000004</v>
      </c>
      <c r="G3" s="52">
        <f>(B3-400)*$D$21</f>
        <v>38.896875000000001</v>
      </c>
      <c r="H3" s="53">
        <f>SUM(C3:G3)</f>
        <v>80.854074999999995</v>
      </c>
      <c r="I3" s="63"/>
      <c r="J3" s="64"/>
      <c r="K3" s="64">
        <f>400*$E$20</f>
        <v>32.053071600000003</v>
      </c>
      <c r="L3" s="64">
        <f>(B3-400)*$E$21</f>
        <v>39.013565624999991</v>
      </c>
      <c r="M3" s="65">
        <f>SUM(C3,I3:L3)</f>
        <v>81.066637224999994</v>
      </c>
    </row>
    <row r="4" spans="1:13" x14ac:dyDescent="0.25">
      <c r="A4" s="46" t="s">
        <v>1</v>
      </c>
      <c r="B4" s="57">
        <f t="shared" ref="B4:B14" si="0">$C$23</f>
        <v>775</v>
      </c>
      <c r="C4" s="79">
        <v>10</v>
      </c>
      <c r="D4" s="52"/>
      <c r="E4" s="52"/>
      <c r="F4" s="52">
        <f t="shared" ref="F4:F7" si="1">400*$D$20</f>
        <v>31.957200000000004</v>
      </c>
      <c r="G4" s="52">
        <f t="shared" ref="G4:G7" si="2">(B4-400)*$D$21</f>
        <v>38.896875000000001</v>
      </c>
      <c r="H4" s="53">
        <f t="shared" ref="H4:H14" si="3">SUM(C4:G4)</f>
        <v>80.854074999999995</v>
      </c>
      <c r="I4" s="51"/>
      <c r="J4" s="52"/>
      <c r="K4" s="52">
        <f t="shared" ref="K4:K7" si="4">400*$E$20</f>
        <v>32.053071600000003</v>
      </c>
      <c r="L4" s="52">
        <f t="shared" ref="L4:L14" si="5">(B4-400)*$E$21</f>
        <v>39.013565624999991</v>
      </c>
      <c r="M4" s="53">
        <f t="shared" ref="M4:M14" si="6">SUM(C4,I4:L4)</f>
        <v>81.066637224999994</v>
      </c>
    </row>
    <row r="5" spans="1:13" x14ac:dyDescent="0.25">
      <c r="A5" s="46" t="s">
        <v>2</v>
      </c>
      <c r="B5" s="57">
        <f t="shared" si="0"/>
        <v>775</v>
      </c>
      <c r="C5" s="79">
        <v>10</v>
      </c>
      <c r="D5" s="52"/>
      <c r="E5" s="52"/>
      <c r="F5" s="52">
        <f t="shared" si="1"/>
        <v>31.957200000000004</v>
      </c>
      <c r="G5" s="52">
        <f t="shared" si="2"/>
        <v>38.896875000000001</v>
      </c>
      <c r="H5" s="53">
        <f t="shared" si="3"/>
        <v>80.854074999999995</v>
      </c>
      <c r="I5" s="51"/>
      <c r="J5" s="52"/>
      <c r="K5" s="52">
        <f t="shared" si="4"/>
        <v>32.053071600000003</v>
      </c>
      <c r="L5" s="52">
        <f t="shared" si="5"/>
        <v>39.013565624999991</v>
      </c>
      <c r="M5" s="53">
        <f t="shared" si="6"/>
        <v>81.066637224999994</v>
      </c>
    </row>
    <row r="6" spans="1:13" x14ac:dyDescent="0.25">
      <c r="A6" s="46" t="s">
        <v>3</v>
      </c>
      <c r="B6" s="57">
        <f t="shared" si="0"/>
        <v>775</v>
      </c>
      <c r="C6" s="79">
        <v>10</v>
      </c>
      <c r="D6" s="52"/>
      <c r="E6" s="52"/>
      <c r="F6" s="52">
        <f t="shared" si="1"/>
        <v>31.957200000000004</v>
      </c>
      <c r="G6" s="52">
        <f t="shared" si="2"/>
        <v>38.896875000000001</v>
      </c>
      <c r="H6" s="53">
        <f t="shared" si="3"/>
        <v>80.854074999999995</v>
      </c>
      <c r="I6" s="51"/>
      <c r="J6" s="52"/>
      <c r="K6" s="52">
        <f t="shared" si="4"/>
        <v>32.053071600000003</v>
      </c>
      <c r="L6" s="52">
        <f t="shared" si="5"/>
        <v>39.013565624999991</v>
      </c>
      <c r="M6" s="53">
        <f t="shared" si="6"/>
        <v>81.066637224999994</v>
      </c>
    </row>
    <row r="7" spans="1:13" x14ac:dyDescent="0.25">
      <c r="A7" s="46" t="s">
        <v>4</v>
      </c>
      <c r="B7" s="57">
        <f t="shared" si="0"/>
        <v>775</v>
      </c>
      <c r="C7" s="79">
        <v>10</v>
      </c>
      <c r="D7" s="52"/>
      <c r="E7" s="52"/>
      <c r="F7" s="52">
        <f t="shared" si="1"/>
        <v>31.957200000000004</v>
      </c>
      <c r="G7" s="52">
        <f t="shared" si="2"/>
        <v>38.896875000000001</v>
      </c>
      <c r="H7" s="53">
        <f t="shared" si="3"/>
        <v>80.854074999999995</v>
      </c>
      <c r="I7" s="51"/>
      <c r="J7" s="52"/>
      <c r="K7" s="52">
        <f t="shared" si="4"/>
        <v>32.053071600000003</v>
      </c>
      <c r="L7" s="52">
        <f t="shared" si="5"/>
        <v>39.013565624999991</v>
      </c>
      <c r="M7" s="53">
        <f t="shared" si="6"/>
        <v>81.066637224999994</v>
      </c>
    </row>
    <row r="8" spans="1:13" x14ac:dyDescent="0.25">
      <c r="A8" s="46" t="s">
        <v>5</v>
      </c>
      <c r="B8" s="57">
        <f t="shared" si="0"/>
        <v>775</v>
      </c>
      <c r="C8" s="79">
        <v>10</v>
      </c>
      <c r="D8" s="52">
        <f t="shared" ref="D8:D11" si="7">400*$D$18</f>
        <v>36.111599999999996</v>
      </c>
      <c r="E8" s="52">
        <f>(B8-400)*$D$19</f>
        <v>43.953749999999999</v>
      </c>
      <c r="F8" s="52"/>
      <c r="G8" s="52"/>
      <c r="H8" s="53">
        <f t="shared" si="3"/>
        <v>90.065349999999995</v>
      </c>
      <c r="I8" s="51">
        <f>400*$E$18</f>
        <v>36.219934799999997</v>
      </c>
      <c r="J8" s="52">
        <f>(B8-400)*$E$19</f>
        <v>44.085611249999992</v>
      </c>
      <c r="K8" s="52"/>
      <c r="L8" s="52"/>
      <c r="M8" s="53">
        <f t="shared" si="6"/>
        <v>90.30554604999999</v>
      </c>
    </row>
    <row r="9" spans="1:13" x14ac:dyDescent="0.25">
      <c r="A9" s="46" t="s">
        <v>6</v>
      </c>
      <c r="B9" s="57">
        <f t="shared" si="0"/>
        <v>775</v>
      </c>
      <c r="C9" s="79">
        <v>10</v>
      </c>
      <c r="D9" s="52">
        <f t="shared" si="7"/>
        <v>36.111599999999996</v>
      </c>
      <c r="E9" s="52">
        <f t="shared" ref="E9:E11" si="8">(B9-400)*$D$19</f>
        <v>43.953749999999999</v>
      </c>
      <c r="F9" s="52"/>
      <c r="G9" s="52"/>
      <c r="H9" s="53">
        <f t="shared" si="3"/>
        <v>90.065349999999995</v>
      </c>
      <c r="I9" s="51">
        <f t="shared" ref="I9:I11" si="9">400*$E$18</f>
        <v>36.219934799999997</v>
      </c>
      <c r="J9" s="52">
        <f t="shared" ref="J9:J11" si="10">(B9-400)*$E$19</f>
        <v>44.085611249999992</v>
      </c>
      <c r="K9" s="52"/>
      <c r="L9" s="52"/>
      <c r="M9" s="53">
        <f t="shared" si="6"/>
        <v>90.30554604999999</v>
      </c>
    </row>
    <row r="10" spans="1:13" x14ac:dyDescent="0.25">
      <c r="A10" s="46" t="s">
        <v>7</v>
      </c>
      <c r="B10" s="57">
        <f t="shared" si="0"/>
        <v>775</v>
      </c>
      <c r="C10" s="79">
        <v>10</v>
      </c>
      <c r="D10" s="52">
        <f t="shared" si="7"/>
        <v>36.111599999999996</v>
      </c>
      <c r="E10" s="52">
        <f t="shared" si="8"/>
        <v>43.953749999999999</v>
      </c>
      <c r="F10" s="52"/>
      <c r="G10" s="52"/>
      <c r="H10" s="53">
        <f t="shared" si="3"/>
        <v>90.065349999999995</v>
      </c>
      <c r="I10" s="51">
        <f t="shared" si="9"/>
        <v>36.219934799999997</v>
      </c>
      <c r="J10" s="52">
        <f t="shared" si="10"/>
        <v>44.085611249999992</v>
      </c>
      <c r="K10" s="52"/>
      <c r="L10" s="52"/>
      <c r="M10" s="53">
        <f t="shared" si="6"/>
        <v>90.30554604999999</v>
      </c>
    </row>
    <row r="11" spans="1:13" x14ac:dyDescent="0.25">
      <c r="A11" s="46" t="s">
        <v>8</v>
      </c>
      <c r="B11" s="57">
        <f t="shared" si="0"/>
        <v>775</v>
      </c>
      <c r="C11" s="79">
        <v>10</v>
      </c>
      <c r="D11" s="52">
        <f t="shared" si="7"/>
        <v>36.111599999999996</v>
      </c>
      <c r="E11" s="52">
        <f t="shared" si="8"/>
        <v>43.953749999999999</v>
      </c>
      <c r="F11" s="52"/>
      <c r="G11" s="52"/>
      <c r="H11" s="53">
        <f t="shared" si="3"/>
        <v>90.065349999999995</v>
      </c>
      <c r="I11" s="51">
        <f t="shared" si="9"/>
        <v>36.219934799999997</v>
      </c>
      <c r="J11" s="52">
        <f t="shared" si="10"/>
        <v>44.085611249999992</v>
      </c>
      <c r="K11" s="52"/>
      <c r="L11" s="52"/>
      <c r="M11" s="53">
        <f t="shared" si="6"/>
        <v>90.30554604999999</v>
      </c>
    </row>
    <row r="12" spans="1:13" x14ac:dyDescent="0.25">
      <c r="A12" s="46" t="s">
        <v>9</v>
      </c>
      <c r="B12" s="57">
        <f t="shared" si="0"/>
        <v>775</v>
      </c>
      <c r="C12" s="79">
        <v>10</v>
      </c>
      <c r="D12" s="52"/>
      <c r="E12" s="52"/>
      <c r="F12" s="52">
        <f t="shared" ref="F12:F14" si="11">400*$D$20</f>
        <v>31.957200000000004</v>
      </c>
      <c r="G12" s="52">
        <f t="shared" ref="G12:G14" si="12">(B12-400)*$D$21</f>
        <v>38.896875000000001</v>
      </c>
      <c r="H12" s="53">
        <f t="shared" si="3"/>
        <v>80.854074999999995</v>
      </c>
      <c r="I12" s="51"/>
      <c r="J12" s="52"/>
      <c r="K12" s="52">
        <f t="shared" ref="K12:K14" si="13">400*$E$20</f>
        <v>32.053071600000003</v>
      </c>
      <c r="L12" s="52">
        <f t="shared" si="5"/>
        <v>39.013565624999991</v>
      </c>
      <c r="M12" s="53">
        <f t="shared" si="6"/>
        <v>81.066637224999994</v>
      </c>
    </row>
    <row r="13" spans="1:13" x14ac:dyDescent="0.25">
      <c r="A13" s="46" t="s">
        <v>10</v>
      </c>
      <c r="B13" s="57">
        <f t="shared" si="0"/>
        <v>775</v>
      </c>
      <c r="C13" s="79">
        <v>10</v>
      </c>
      <c r="D13" s="52"/>
      <c r="E13" s="52"/>
      <c r="F13" s="52">
        <f t="shared" si="11"/>
        <v>31.957200000000004</v>
      </c>
      <c r="G13" s="52">
        <f t="shared" si="12"/>
        <v>38.896875000000001</v>
      </c>
      <c r="H13" s="53">
        <f t="shared" si="3"/>
        <v>80.854074999999995</v>
      </c>
      <c r="I13" s="51"/>
      <c r="J13" s="52"/>
      <c r="K13" s="52">
        <f t="shared" si="13"/>
        <v>32.053071600000003</v>
      </c>
      <c r="L13" s="52">
        <f t="shared" si="5"/>
        <v>39.013565624999991</v>
      </c>
      <c r="M13" s="53">
        <f t="shared" si="6"/>
        <v>81.066637224999994</v>
      </c>
    </row>
    <row r="14" spans="1:13" ht="15.75" thickBot="1" x14ac:dyDescent="0.3">
      <c r="A14" s="47" t="s">
        <v>11</v>
      </c>
      <c r="B14" s="58">
        <f t="shared" si="0"/>
        <v>775</v>
      </c>
      <c r="C14" s="80">
        <v>10</v>
      </c>
      <c r="D14" s="55"/>
      <c r="E14" s="55"/>
      <c r="F14" s="55">
        <f t="shared" si="11"/>
        <v>31.957200000000004</v>
      </c>
      <c r="G14" s="55">
        <f t="shared" si="12"/>
        <v>38.896875000000001</v>
      </c>
      <c r="H14" s="56">
        <f t="shared" si="3"/>
        <v>80.854074999999995</v>
      </c>
      <c r="I14" s="54"/>
      <c r="J14" s="55"/>
      <c r="K14" s="55">
        <f t="shared" si="13"/>
        <v>32.053071600000003</v>
      </c>
      <c r="L14" s="55">
        <f t="shared" si="5"/>
        <v>39.013565624999991</v>
      </c>
      <c r="M14" s="56">
        <f t="shared" si="6"/>
        <v>81.066637224999994</v>
      </c>
    </row>
    <row r="15" spans="1:13" x14ac:dyDescent="0.25">
      <c r="G15" t="s">
        <v>47</v>
      </c>
      <c r="H15" s="1">
        <f>SUM(H3:H14)</f>
        <v>1007.0939999999997</v>
      </c>
      <c r="L15" t="s">
        <v>48</v>
      </c>
      <c r="M15" s="1">
        <f>SUM(M3:M14)</f>
        <v>1009.755282</v>
      </c>
    </row>
    <row r="16" spans="1:13" ht="15.75" thickBot="1" x14ac:dyDescent="0.3">
      <c r="H16" s="1"/>
      <c r="M16" s="1"/>
    </row>
    <row r="17" spans="2:16" ht="60.75" thickBot="1" x14ac:dyDescent="0.3">
      <c r="D17" s="61" t="s">
        <v>59</v>
      </c>
      <c r="E17" s="67" t="s">
        <v>46</v>
      </c>
    </row>
    <row r="18" spans="2:16" ht="15.75" thickBot="1" x14ac:dyDescent="0.3">
      <c r="B18" s="7" t="s">
        <v>15</v>
      </c>
      <c r="C18" s="7" t="s">
        <v>16</v>
      </c>
      <c r="D18" s="7">
        <v>9.0278999999999998E-2</v>
      </c>
      <c r="E18" s="85">
        <f>D18*1.003</f>
        <v>9.0549836999999994E-2</v>
      </c>
    </row>
    <row r="19" spans="2:16" ht="19.5" thickBot="1" x14ac:dyDescent="0.35">
      <c r="B19" s="8"/>
      <c r="C19" s="8" t="s">
        <v>17</v>
      </c>
      <c r="D19" s="8">
        <v>0.11720999999999999</v>
      </c>
      <c r="E19" s="86">
        <f t="shared" ref="E19:E21" si="14">D19*1.003</f>
        <v>0.11756162999999999</v>
      </c>
      <c r="I19" s="70">
        <f>M15-H15</f>
        <v>2.6612820000002557</v>
      </c>
      <c r="J19" s="71" t="s">
        <v>42</v>
      </c>
      <c r="K19" s="71"/>
      <c r="L19" s="71"/>
      <c r="M19" s="71"/>
      <c r="N19" s="71"/>
      <c r="O19" s="72"/>
      <c r="P19" s="69"/>
    </row>
    <row r="20" spans="2:16" x14ac:dyDescent="0.25">
      <c r="B20" s="8" t="s">
        <v>18</v>
      </c>
      <c r="C20" s="8" t="s">
        <v>16</v>
      </c>
      <c r="D20" s="8">
        <v>7.9893000000000006E-2</v>
      </c>
      <c r="E20" s="86">
        <f t="shared" si="14"/>
        <v>8.0132678999999998E-2</v>
      </c>
    </row>
    <row r="21" spans="2:16" ht="13.9" customHeight="1" thickBot="1" x14ac:dyDescent="0.3">
      <c r="B21" s="27"/>
      <c r="C21" s="27" t="s">
        <v>17</v>
      </c>
      <c r="D21" s="27">
        <v>0.103725</v>
      </c>
      <c r="E21" s="87">
        <f t="shared" si="14"/>
        <v>0.10403617499999998</v>
      </c>
    </row>
    <row r="22" spans="2:16" ht="13.9" customHeight="1" x14ac:dyDescent="0.25"/>
    <row r="23" spans="2:16" ht="100.15" customHeight="1" x14ac:dyDescent="0.25">
      <c r="B23" t="s">
        <v>30</v>
      </c>
      <c r="C23">
        <v>775</v>
      </c>
      <c r="E23" s="117" t="s">
        <v>43</v>
      </c>
      <c r="F23" s="117"/>
      <c r="G23" s="117"/>
      <c r="H23" s="117"/>
      <c r="I23" s="117"/>
      <c r="J23" s="117"/>
    </row>
  </sheetData>
  <mergeCells count="3">
    <mergeCell ref="D1:G1"/>
    <mergeCell ref="I1:L1"/>
    <mergeCell ref="E23:J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9" sqref="A9:XFD12"/>
    </sheetView>
  </sheetViews>
  <sheetFormatPr defaultRowHeight="15" x14ac:dyDescent="0.25"/>
  <cols>
    <col min="1" max="1" width="52" customWidth="1"/>
  </cols>
  <sheetData>
    <row r="1" spans="1:2" x14ac:dyDescent="0.25">
      <c r="A1" t="s">
        <v>55</v>
      </c>
      <c r="B1">
        <v>775</v>
      </c>
    </row>
    <row r="2" spans="1:2" x14ac:dyDescent="0.25">
      <c r="A2" t="s">
        <v>27</v>
      </c>
      <c r="B2" s="2">
        <v>11500</v>
      </c>
    </row>
    <row r="3" spans="1:2" x14ac:dyDescent="0.25">
      <c r="A3" t="s">
        <v>29</v>
      </c>
      <c r="B3" s="5">
        <f>B2/12</f>
        <v>958.33333333333337</v>
      </c>
    </row>
    <row r="4" spans="1:2" x14ac:dyDescent="0.25">
      <c r="A4" t="s">
        <v>26</v>
      </c>
      <c r="B4" s="6">
        <v>0.8</v>
      </c>
    </row>
    <row r="5" spans="1:2" x14ac:dyDescent="0.25">
      <c r="A5" t="s">
        <v>25</v>
      </c>
      <c r="B5" s="3">
        <v>0.43</v>
      </c>
    </row>
    <row r="6" spans="1:2" x14ac:dyDescent="0.25">
      <c r="A6" t="s">
        <v>66</v>
      </c>
      <c r="B6" s="3">
        <v>0.4</v>
      </c>
    </row>
    <row r="7" spans="1:2" x14ac:dyDescent="0.25">
      <c r="A7" t="s">
        <v>67</v>
      </c>
      <c r="B7" s="3">
        <v>0.15</v>
      </c>
    </row>
    <row r="8" spans="1:2" x14ac:dyDescent="0.25">
      <c r="A8" t="s">
        <v>28</v>
      </c>
      <c r="B8" s="4">
        <f>12/60</f>
        <v>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Residential Home with EV</vt:lpstr>
      <vt:lpstr>Residential Home with EV (high)</vt:lpstr>
      <vt:lpstr>Residential Home with No EV</vt:lpstr>
      <vt:lpstr>Assumptions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Williams</dc:creator>
  <cp:lastModifiedBy>Fred Nass</cp:lastModifiedBy>
  <dcterms:created xsi:type="dcterms:W3CDTF">2021-09-07T21:28:27Z</dcterms:created>
  <dcterms:modified xsi:type="dcterms:W3CDTF">2021-10-20T00:47:22Z</dcterms:modified>
</cp:coreProperties>
</file>