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01\"/>
    </mc:Choice>
  </mc:AlternateContent>
  <bookViews>
    <workbookView xWindow="0" yWindow="0" windowWidth="19125" windowHeight="12810"/>
  </bookViews>
  <sheets>
    <sheet name="(Exh.1) Comm Ord Metho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[3]Variables!$C$2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ar13">[3]Variables!$C$3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>'[4]1993'!#REF!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S0">[5]FuncStudy!$F$1380</definedName>
    <definedName name="ActualROR">#REF!</definedName>
    <definedName name="Adjs2avg">[6]Inputs!$L$255:'[6]Inputs'!$T$505</definedName>
    <definedName name="AdjustInput">[7]Inputs!$L$3:$T$250</definedName>
    <definedName name="Adjustment">#REF!</definedName>
    <definedName name="AdjustSwitch">[7]Variables!$AH$3:$AJ$3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[7]UTCR!$AC$22:$AQ$108</definedName>
    <definedName name="AverageFuelCost">#REF!</definedName>
    <definedName name="AverageInput">[7]Inputs!$F$3:$I$1732</definedName>
    <definedName name="B1_Print">#REF!</definedName>
    <definedName name="B2_Print">#REF!</definedName>
    <definedName name="B3_Print">#REF!</definedName>
    <definedName name="Bottom">[8]Variance!#REF!</definedName>
    <definedName name="Burn">#REF!</definedName>
    <definedName name="calcoutput">'[9]Calcoutput (futures)'!$B$7:$J$128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'[9]OTC Gas Quotes'!$M$2</definedName>
    <definedName name="CCG_Hier">OFFSET('[10]cost center'!$A$1,0,0,COUNTA('[10]cost center'!$A$1:$A$65536),COUNTA('[10]cost center'!$A$1:$IV$1))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[7]Inputs!$J$1</definedName>
    <definedName name="Checksumend">[7]Inputs!$E$1</definedName>
    <definedName name="Classification">[5]FuncStudy!$Y$91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mon">[11]Variables!$AQ$27</definedName>
    <definedName name="CONTRACTDATA">[12]MarketData!#REF!</definedName>
    <definedName name="contractsymbol">[9]Futures!$B$2:$B$500</definedName>
    <definedName name="ContractTypeDol">'[13]Check Dollars'!$R$258:$S$643</definedName>
    <definedName name="ContractTypeMWh">'[13]Check MWh'!$R$258:$S$643</definedName>
    <definedName name="COSFacVal">[5]Inputs!$W$11</definedName>
    <definedName name="Cost">#REF!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#REF!</definedName>
    <definedName name="Date">#REF!</definedName>
    <definedName name="dateTable">'[17]on off peak hours'!$C$15:$Z$15</definedName>
    <definedName name="Debt">[11]Variables!$AQ$25</definedName>
    <definedName name="DebtCost">[11]Variables!$AT$25</definedName>
    <definedName name="Demand">[18]Inputs!$D$9</definedName>
    <definedName name="Demand2">[5]Inputs!$D$10</definedName>
    <definedName name="Dis">[5]FuncStudy!$Y$90</definedName>
    <definedName name="DisFac">'[5]Func Dist Factor Table'!$A$11:$G$25</definedName>
    <definedName name="DispatchSum">"GRID Thermal Generation!R2C1:R4C2"</definedName>
    <definedName name="Dollars_Wheeling">'[16]Exhibit 1'!#REF!</definedName>
    <definedName name="DUDE" hidden="1">#REF!</definedName>
    <definedName name="ECDQF_Exp">#REF!</definedName>
    <definedName name="ECDQF_MWh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[9]MarketData!$J$1</definedName>
    <definedName name="ExchangeMWh">'[16]Base NPC'!#REF!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#REF!</definedName>
    <definedName name="Factorck">'[5]COS Factor Table'!$Q$15:$Q$136</definedName>
    <definedName name="FactorMethod">[7]Variables!$AC$2</definedName>
    <definedName name="FactSum">'[5]COS Factor Table'!$A$14:$Q$137</definedName>
    <definedName name="Fed_Funds___Bloomberg">[9]MarketData!$A$14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[7]Variables!$B$28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'[5]Func Factor Table'!$A$10:$H$76</definedName>
    <definedName name="Func_Ftrs">[7]Function1149!$E$6:$P$88</definedName>
    <definedName name="Function">[5]FuncStudy!$Y$90</definedName>
    <definedName name="Gas_Forward_Price_Curve_copy_Instructions_List">'[12]Main Page'!#REF!</definedName>
    <definedName name="GrossReceipts">[7]Variables!$B$31</definedName>
    <definedName name="Header">#REF!</definedName>
    <definedName name="HenryHub___Nymex">[12]MarketData!#REF!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[9]MarketData!$A$1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[8]Variance!#REF!</definedName>
    <definedName name="LeadLag">[7]Inputs!#REF!</definedName>
    <definedName name="limcount" hidden="1">1</definedName>
    <definedName name="LinkCos">'[5]JAM Download'!$I$4</definedName>
    <definedName name="ListOffset" hidden="1">1</definedName>
    <definedName name="Low_Plan">#REF!</definedName>
    <definedName name="Macro2">[21]!Macro2</definedName>
    <definedName name="market1">'[9]OTC Gas Quotes'!$E$5</definedName>
    <definedName name="market2">'[9]OTC Gas Quotes'!$F$5</definedName>
    <definedName name="market3">'[9]OTC Gas Quotes'!$G$5</definedName>
    <definedName name="market4">'[9]OTC Gas Quotes'!$H$5</definedName>
    <definedName name="market5">'[9]OTC Gas Quotes'!$I$5</definedName>
    <definedName name="market6">'[9]OTC Gas Quotes'!$J$5</definedName>
    <definedName name="market7">'[9]OTC Gas Quotes'!$K$5</definedName>
    <definedName name="Master" hidden="1">{#N/A,#N/A,FALSE,"Actual";#N/A,#N/A,FALSE,"Normalized";#N/A,#N/A,FALSE,"Electric Actual";#N/A,#N/A,FALSE,"Electric Normalized"}</definedName>
    <definedName name="MD_High1">'[8]Master Data'!$A$2</definedName>
    <definedName name="MD_Low1">'[8]Master Data'!$D$29</definedName>
    <definedName name="MidC">[22]lookup!$C$98:$D$107</definedName>
    <definedName name="Mill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#REF!</definedName>
    <definedName name="MSPAverageInput">[6]Inputs!#REF!</definedName>
    <definedName name="MSPYearEndInput">[6]Inputs!#REF!</definedName>
    <definedName name="MWh">#REF!</definedName>
    <definedName name="NameAverageFuelCost">#REF!</definedName>
    <definedName name="NameBurn">#REF!</definedName>
    <definedName name="NameCost">#REF!</definedName>
    <definedName name="NameECDQF_Exp">#REF!</definedName>
    <definedName name="NameECDQF_MWh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[5]Inputs!$H$21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[9]Futures!$A$2:$J$500</definedName>
    <definedName name="NymexOptions">[9]Options!$A$2:$K$3000</definedName>
    <definedName name="OFPC_Date">[23]VDOC!$O$4</definedName>
    <definedName name="OH">[5]Inputs!$D$24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[9]Options!$A$1:$P$3000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.cell">'[4]1993'!#REF!</definedName>
    <definedName name="PE_Lookup">'[16]Exhibit 1'!#REF!</definedName>
    <definedName name="Peak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[7]Variables!#REF!</definedName>
    <definedName name="PostDG">[7]Variables!#REF!</definedName>
    <definedName name="PreDG">[7]Variables!#REF!</definedName>
    <definedName name="Pref">[11]Variables!$AQ$26</definedName>
    <definedName name="PrefCost">[11]Variables!$AT$26</definedName>
    <definedName name="PricingInfo" hidden="1">[24]Inputs!#REF!</definedName>
    <definedName name="_xlnm.Print_Area">#REF!</definedName>
    <definedName name="PSATable">[13]Hermiston!$A$41:$E$56</definedName>
    <definedName name="Purchases">[22]lookup!$C$21:$D$64</definedName>
    <definedName name="QFs">[22]lookup!$C$66:$D$96</definedName>
    <definedName name="ResourceSupplier">[7]Variables!$B$30</definedName>
    <definedName name="retail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[7]Variables!$B$29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hidden="1">"44KU92Q9LH2VK4DK86GZ93AXN"</definedName>
    <definedName name="shapefactortable">'[9]GAS CURVE Engine'!$AW$3:$CB$34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[7]Variables!$AF$32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[8]Variance!#REF!</definedName>
    <definedName name="ST_Top1">[8]Variance!#REF!</definedName>
    <definedName name="ST_Top2">[8]Variance!#REF!</definedName>
    <definedName name="ST_Top3">#REF!</definedName>
    <definedName name="standard1" hidden="1">{"YTD-Total",#N/A,FALSE,"Provision"}</definedName>
    <definedName name="startmonth">'[9]GAS CURVE Engine'!$N$2</definedName>
    <definedName name="startmonth1">'[9]OTC Gas Quotes'!$L$6</definedName>
    <definedName name="startmonth10">'[9]OTC Gas Quotes'!$L$15</definedName>
    <definedName name="startmonth2">'[9]OTC Gas Quotes'!$L$7</definedName>
    <definedName name="startmonth3">'[9]OTC Gas Quotes'!$L$8</definedName>
    <definedName name="startmonth4">'[9]OTC Gas Quotes'!$L$9</definedName>
    <definedName name="startmonth5">'[9]OTC Gas Quotes'!$L$10</definedName>
    <definedName name="startmonth6">'[9]OTC Gas Quotes'!$L$11</definedName>
    <definedName name="startmonth7">'[9]OTC Gas Quotes'!$L$12</definedName>
    <definedName name="startmonth8">'[9]OTC Gas Quotes'!$L$13</definedName>
    <definedName name="startmonth9">'[9]OTC Gas Quotes'!$L$14</definedName>
    <definedName name="StartMWh">#REF!</definedName>
    <definedName name="StartTheMill">#REF!</definedName>
    <definedName name="StartTheRack">#REF!</definedName>
    <definedName name="State">[5]Inputs!$C$5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[5]Inputs!$L$6</definedName>
    <definedName name="Test_COS">'[5]Hot Sheet'!$F$120</definedName>
    <definedName name="TestPeriod">[5]Inputs!$C$6</definedName>
    <definedName name="Top">#REF!</definedName>
    <definedName name="TotalRateBase">'[5]G+T+D+R+M'!$H$58</definedName>
    <definedName name="TotTaxRate">[5]Inputs!$H$17</definedName>
    <definedName name="TRANSM_2">[25]Transm2!$A$1:$M$461:'[25]10 Yr FC'!$M$47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collectibleAccounts">[7]Variables!$B$27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SYieldCurves">'[9]Calcoutput (futures)'!$B$4:$C$124</definedName>
    <definedName name="Version">#REF!</definedName>
    <definedName name="w" hidden="1">[26]Inputs!#REF!</definedName>
    <definedName name="WinterPeak">'[27]Load Data'!$D$9:$H$12,'[27]Load Data'!$D$20:$H$22</definedName>
    <definedName name="Workforce_Data">OFFSET([28]Workforce!$A$1,0,0,COUNTA([28]Workforce!$A$1:$A$65536),COUNTA([28]Workforce!$A$1:$IV$1))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YearEndFactors">[7]UTCR!$G$22:$U$108</definedName>
    <definedName name="YearEndInput">[7]Inputs!$A$3:$D$1681</definedName>
    <definedName name="yesterdayscurves">'[9]Calcoutput (futures)'!$L$7:$T$128</definedName>
    <definedName name="z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5" i="1" l="1"/>
  <c r="U45" i="1" s="1"/>
  <c r="I44" i="1"/>
  <c r="J44" i="1" s="1"/>
  <c r="K44" i="1" s="1"/>
  <c r="L44" i="1" s="1"/>
  <c r="M44" i="1" s="1"/>
  <c r="N44" i="1" s="1"/>
  <c r="O44" i="1" s="1"/>
  <c r="P44" i="1" s="1"/>
  <c r="Q44" i="1" s="1"/>
  <c r="F44" i="1"/>
  <c r="H44" i="1" s="1"/>
  <c r="S35" i="1"/>
  <c r="U35" i="1" s="1"/>
  <c r="Q35" i="1"/>
  <c r="P35" i="1"/>
  <c r="O35" i="1"/>
  <c r="N35" i="1"/>
  <c r="M35" i="1"/>
  <c r="L35" i="1"/>
  <c r="K35" i="1"/>
  <c r="J35" i="1"/>
  <c r="I35" i="1"/>
  <c r="H35" i="1"/>
  <c r="G35" i="1"/>
  <c r="F36" i="1"/>
  <c r="S24" i="1"/>
  <c r="U24" i="1" s="1"/>
  <c r="S21" i="1"/>
  <c r="U21" i="1" s="1"/>
  <c r="F12" i="1"/>
  <c r="H6" i="1"/>
  <c r="G6" i="1"/>
  <c r="G22" i="1" s="1"/>
  <c r="G26" i="1" s="1"/>
  <c r="G36" i="1" l="1"/>
  <c r="H36" i="1" s="1"/>
  <c r="F16" i="1"/>
  <c r="A11" i="1"/>
  <c r="A10" i="1"/>
  <c r="F22" i="1"/>
  <c r="S38" i="1"/>
  <c r="U38" i="1" s="1"/>
  <c r="H22" i="1"/>
  <c r="H26" i="1" s="1"/>
  <c r="I6" i="1"/>
  <c r="S34" i="1"/>
  <c r="U34" i="1" s="1"/>
  <c r="G44" i="1"/>
  <c r="I36" i="1" l="1"/>
  <c r="J36" i="1" s="1"/>
  <c r="F26" i="1"/>
  <c r="A12" i="1"/>
  <c r="I22" i="1"/>
  <c r="I26" i="1" s="1"/>
  <c r="I12" i="1"/>
  <c r="I16" i="1" s="1"/>
  <c r="J6" i="1"/>
  <c r="A14" i="1"/>
  <c r="F30" i="1"/>
  <c r="F32" i="1" s="1"/>
  <c r="G12" i="1"/>
  <c r="H12" i="1"/>
  <c r="H16" i="1" s="1"/>
  <c r="H30" i="1" s="1"/>
  <c r="H32" i="1" s="1"/>
  <c r="H40" i="1" s="1"/>
  <c r="H46" i="1" s="1"/>
  <c r="D12" i="1"/>
  <c r="I30" i="1" l="1"/>
  <c r="I32" i="1" s="1"/>
  <c r="I40" i="1" s="1"/>
  <c r="I46" i="1" s="1"/>
  <c r="K6" i="1"/>
  <c r="J22" i="1"/>
  <c r="J26" i="1" s="1"/>
  <c r="A16" i="1"/>
  <c r="A20" i="1" s="1"/>
  <c r="G16" i="1"/>
  <c r="G30" i="1" s="1"/>
  <c r="G32" i="1" s="1"/>
  <c r="G40" i="1" s="1"/>
  <c r="G46" i="1" s="1"/>
  <c r="K36" i="1"/>
  <c r="L36" i="1" s="1"/>
  <c r="F40" i="1"/>
  <c r="D16" i="1"/>
  <c r="M36" i="1" l="1"/>
  <c r="N36" i="1" s="1"/>
  <c r="O36" i="1" s="1"/>
  <c r="P36" i="1" s="1"/>
  <c r="Q36" i="1" s="1"/>
  <c r="S36" i="1" s="1"/>
  <c r="U36" i="1" s="1"/>
  <c r="K22" i="1"/>
  <c r="K26" i="1" s="1"/>
  <c r="L6" i="1"/>
  <c r="A21" i="1"/>
  <c r="D22" i="1" s="1"/>
  <c r="F46" i="1"/>
  <c r="J12" i="1"/>
  <c r="F47" i="1" l="1"/>
  <c r="K12" i="1"/>
  <c r="K16" i="1" s="1"/>
  <c r="K30" i="1" s="1"/>
  <c r="K32" i="1" s="1"/>
  <c r="K40" i="1" s="1"/>
  <c r="K46" i="1" s="1"/>
  <c r="L22" i="1"/>
  <c r="L26" i="1" s="1"/>
  <c r="M6" i="1"/>
  <c r="A22" i="1"/>
  <c r="J16" i="1"/>
  <c r="J30" i="1" s="1"/>
  <c r="J32" i="1" s="1"/>
  <c r="J40" i="1" l="1"/>
  <c r="L12" i="1"/>
  <c r="M22" i="1"/>
  <c r="M26" i="1" s="1"/>
  <c r="N6" i="1"/>
  <c r="A24" i="1"/>
  <c r="D26" i="1" s="1"/>
  <c r="F48" i="1"/>
  <c r="G45" i="1" s="1"/>
  <c r="L16" i="1" l="1"/>
  <c r="L30" i="1" s="1"/>
  <c r="L32" i="1" s="1"/>
  <c r="A26" i="1"/>
  <c r="M12" i="1"/>
  <c r="M16" i="1" s="1"/>
  <c r="M30" i="1" s="1"/>
  <c r="M32" i="1" s="1"/>
  <c r="M40" i="1" s="1"/>
  <c r="M46" i="1" s="1"/>
  <c r="J46" i="1"/>
  <c r="O6" i="1"/>
  <c r="N22" i="1"/>
  <c r="N26" i="1" s="1"/>
  <c r="G47" i="1"/>
  <c r="G48" i="1" s="1"/>
  <c r="H45" i="1" s="1"/>
  <c r="H47" i="1" l="1"/>
  <c r="H48" i="1" s="1"/>
  <c r="I45" i="1" s="1"/>
  <c r="D30" i="1"/>
  <c r="A30" i="1"/>
  <c r="N12" i="1"/>
  <c r="N16" i="1" s="1"/>
  <c r="N30" i="1" s="1"/>
  <c r="N32" i="1" s="1"/>
  <c r="N40" i="1" s="1"/>
  <c r="N46" i="1" s="1"/>
  <c r="O22" i="1"/>
  <c r="O26" i="1" s="1"/>
  <c r="P6" i="1"/>
  <c r="L40" i="1"/>
  <c r="I47" i="1" l="1"/>
  <c r="I48" i="1" s="1"/>
  <c r="J45" i="1" s="1"/>
  <c r="D32" i="1"/>
  <c r="A32" i="1"/>
  <c r="L46" i="1"/>
  <c r="P22" i="1"/>
  <c r="P26" i="1" s="1"/>
  <c r="P12" i="1"/>
  <c r="Q6" i="1"/>
  <c r="O12" i="1"/>
  <c r="O16" i="1" s="1"/>
  <c r="O30" i="1" s="1"/>
  <c r="O32" i="1" s="1"/>
  <c r="J47" i="1" l="1"/>
  <c r="J48" i="1" s="1"/>
  <c r="K45" i="1" s="1"/>
  <c r="O40" i="1"/>
  <c r="A34" i="1"/>
  <c r="P16" i="1"/>
  <c r="P30" i="1" s="1"/>
  <c r="P32" i="1" s="1"/>
  <c r="P40" i="1" s="1"/>
  <c r="P46" i="1" s="1"/>
  <c r="S14" i="1"/>
  <c r="U14" i="1" s="1"/>
  <c r="S11" i="1"/>
  <c r="U11" i="1" s="1"/>
  <c r="K47" i="1" l="1"/>
  <c r="K48" i="1" s="1"/>
  <c r="L45" i="1" s="1"/>
  <c r="Q12" i="1"/>
  <c r="S10" i="1"/>
  <c r="U10" i="1" s="1"/>
  <c r="O46" i="1"/>
  <c r="A35" i="1"/>
  <c r="A36" i="1" s="1"/>
  <c r="Q22" i="1"/>
  <c r="S20" i="1"/>
  <c r="U20" i="1" s="1"/>
  <c r="L47" i="1" l="1"/>
  <c r="L48" i="1" s="1"/>
  <c r="M45" i="1" s="1"/>
  <c r="A38" i="1"/>
  <c r="A40" i="1" s="1"/>
  <c r="D40" i="1"/>
  <c r="D36" i="1"/>
  <c r="Q16" i="1"/>
  <c r="S12" i="1"/>
  <c r="Q26" i="1"/>
  <c r="S22" i="1"/>
  <c r="M47" i="1" l="1"/>
  <c r="M48" i="1" s="1"/>
  <c r="N45" i="1" s="1"/>
  <c r="U12" i="1"/>
  <c r="S16" i="1"/>
  <c r="D46" i="1"/>
  <c r="A44" i="1"/>
  <c r="Q30" i="1"/>
  <c r="Q32" i="1" s="1"/>
  <c r="U22" i="1"/>
  <c r="S26" i="1"/>
  <c r="U26" i="1" s="1"/>
  <c r="N47" i="1" l="1"/>
  <c r="N48" i="1" s="1"/>
  <c r="O45" i="1" s="1"/>
  <c r="U16" i="1"/>
  <c r="S30" i="1"/>
  <c r="U30" i="1" s="1"/>
  <c r="Q40" i="1"/>
  <c r="S32" i="1"/>
  <c r="U32" i="1" s="1"/>
  <c r="A45" i="1"/>
  <c r="O47" i="1" l="1"/>
  <c r="O48" i="1" s="1"/>
  <c r="P45" i="1" s="1"/>
  <c r="A46" i="1"/>
  <c r="A47" i="1" s="1"/>
  <c r="A48" i="1" s="1"/>
  <c r="Q46" i="1"/>
  <c r="S46" i="1" s="1"/>
  <c r="S40" i="1"/>
  <c r="U40" i="1" s="1"/>
  <c r="P47" i="1" l="1"/>
  <c r="P48" i="1" s="1"/>
  <c r="Q45" i="1" s="1"/>
  <c r="D48" i="1"/>
  <c r="U46" i="1"/>
  <c r="D45" i="1"/>
  <c r="D51" i="1"/>
  <c r="D50" i="1"/>
  <c r="A50" i="1"/>
  <c r="A51" i="1" s="1"/>
  <c r="A53" i="1" s="1"/>
  <c r="D47" i="1"/>
  <c r="Q47" i="1" l="1"/>
  <c r="S47" i="1" s="1"/>
  <c r="D53" i="1"/>
  <c r="U47" i="1" l="1"/>
  <c r="S48" i="1"/>
  <c r="Q48" i="1"/>
  <c r="U48" i="1" l="1"/>
  <c r="S50" i="1"/>
  <c r="U50" i="1" s="1"/>
  <c r="S51" i="1" l="1"/>
  <c r="U51" i="1" s="1"/>
  <c r="S53" i="1" l="1"/>
  <c r="U53" i="1" s="1"/>
</calcChain>
</file>

<file path=xl/sharedStrings.xml><?xml version="1.0" encoding="utf-8"?>
<sst xmlns="http://schemas.openxmlformats.org/spreadsheetml/2006/main" count="49" uniqueCount="43">
  <si>
    <t>Line No.</t>
  </si>
  <si>
    <t>Reference</t>
  </si>
  <si>
    <t>Updated Loads</t>
  </si>
  <si>
    <t>As Filed</t>
  </si>
  <si>
    <t>Variance</t>
  </si>
  <si>
    <t>Actual: Utah Allocated</t>
  </si>
  <si>
    <t>NPC</t>
  </si>
  <si>
    <t>Wheeling Revenue</t>
  </si>
  <si>
    <t>Total</t>
  </si>
  <si>
    <t>Jurisdictional Sales</t>
  </si>
  <si>
    <t>Actual Utah $/MWh</t>
  </si>
  <si>
    <t>Base:  Utah Allocated</t>
  </si>
  <si>
    <t>Base Utah $/MWh</t>
  </si>
  <si>
    <t>Deferral:</t>
  </si>
  <si>
    <t>$/MWH Differential</t>
  </si>
  <si>
    <t>EBA Deferrable</t>
  </si>
  <si>
    <t>Special Contract Customer Adjustment Subject to Deadband</t>
  </si>
  <si>
    <t>Symmetrical Deadband</t>
  </si>
  <si>
    <t>Docket 16-035-33</t>
  </si>
  <si>
    <t>Total Special Contract Adjustment</t>
  </si>
  <si>
    <t>Utah Situs Resource Adjustment</t>
  </si>
  <si>
    <t>Total Incremental EBA Deferral</t>
  </si>
  <si>
    <t>Energy Balancing Account:</t>
  </si>
  <si>
    <t>Monthly Interest Rate</t>
  </si>
  <si>
    <t>Note 1</t>
  </si>
  <si>
    <t>Beginning Balance</t>
  </si>
  <si>
    <t>Incremental Deferral</t>
  </si>
  <si>
    <t>Interest</t>
  </si>
  <si>
    <t>Ending Balance</t>
  </si>
  <si>
    <t>Interest Accrued January 1, 2021 through March 31, 2021</t>
  </si>
  <si>
    <t>Interest Accrued April 1, 2021 through February 28, 2022</t>
  </si>
  <si>
    <t>Requested EBA Recovery</t>
  </si>
  <si>
    <t>Notes:</t>
  </si>
  <si>
    <t>Interest rate is from Electric Service Schedule No. 300 due to Docket No. 09-035-15/Order Issued November 14, 2019.</t>
  </si>
  <si>
    <t>Utah Energy Balancing Account Mechanism</t>
  </si>
  <si>
    <t>January 1, 2020 - December 31, 2020</t>
  </si>
  <si>
    <t>Exhibit 1 - Commission Order Calculation Method (Dynamic Annual Allocation Factor)</t>
  </si>
  <si>
    <t>(2.1)</t>
  </si>
  <si>
    <t>(4.1)</t>
  </si>
  <si>
    <t>(5.2)</t>
  </si>
  <si>
    <t>(3.1)</t>
  </si>
  <si>
    <t>(7.1)</t>
  </si>
  <si>
    <t>(8.1)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</si>
</sst>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\ #,##0.00_);_(&quot;$&quot;* \(#,##0.00\);_(&quot;$&quot;* &quot;-&quot;??_);_(@_)"/>
    <numFmt numFmtId="167" formatCode="_(&quot;$&quot;* #,##0_);_(&quot;$&quot;* \(#,##0\);_(&quot;$&quot;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8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3" fillId="0" borderId="0" xfId="0" quotePrefix="1" applyNumberFormat="1" applyFont="1" applyAlignment="1">
      <alignment horizontal="center" vertical="center" wrapText="1"/>
    </xf>
    <xf numFmtId="42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quotePrefix="1" applyFont="1" applyAlignment="1">
      <alignment horizontal="center" vertical="center" wrapText="1"/>
    </xf>
    <xf numFmtId="165" fontId="3" fillId="0" borderId="0" xfId="1" applyNumberFormat="1" applyFont="1" applyFill="1" applyAlignment="1">
      <alignment horizontal="right" vertical="center"/>
    </xf>
    <xf numFmtId="42" fontId="3" fillId="0" borderId="2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44" fontId="3" fillId="0" borderId="0" xfId="2" applyFont="1" applyFill="1" applyAlignment="1">
      <alignment horizontal="right" vertical="center"/>
    </xf>
    <xf numFmtId="166" fontId="3" fillId="0" borderId="0" xfId="2" applyNumberFormat="1" applyFont="1" applyFill="1" applyAlignment="1">
      <alignment horizontal="right" vertical="center"/>
    </xf>
    <xf numFmtId="42" fontId="4" fillId="0" borderId="2" xfId="0" applyNumberFormat="1" applyFont="1" applyBorder="1" applyAlignment="1">
      <alignment horizontal="right" vertical="center"/>
    </xf>
    <xf numFmtId="42" fontId="4" fillId="0" borderId="0" xfId="0" applyNumberFormat="1" applyFont="1" applyAlignment="1">
      <alignment horizontal="right" vertical="center"/>
    </xf>
    <xf numFmtId="0" fontId="1" fillId="0" borderId="0" xfId="3" applyAlignment="1">
      <alignment horizontal="left" vertical="center" wrapText="1"/>
    </xf>
    <xf numFmtId="41" fontId="3" fillId="0" borderId="0" xfId="2" applyNumberFormat="1" applyFont="1" applyFill="1" applyAlignment="1">
      <alignment horizontal="right" vertical="center"/>
    </xf>
    <xf numFmtId="0" fontId="0" fillId="0" borderId="0" xfId="3" applyFont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0" fontId="3" fillId="0" borderId="0" xfId="3" applyFont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right" vertical="center"/>
    </xf>
    <xf numFmtId="167" fontId="3" fillId="0" borderId="0" xfId="2" quotePrefix="1" applyNumberFormat="1" applyFont="1" applyFill="1" applyBorder="1" applyAlignment="1">
      <alignment horizontal="right" vertical="center"/>
    </xf>
    <xf numFmtId="167" fontId="3" fillId="0" borderId="0" xfId="2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/>
    </xf>
    <xf numFmtId="42" fontId="4" fillId="0" borderId="3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/>
    <xf numFmtId="38" fontId="3" fillId="0" borderId="0" xfId="0" applyNumberFormat="1" applyFont="1" applyAlignment="1">
      <alignment horizontal="right" vertical="center"/>
    </xf>
    <xf numFmtId="167" fontId="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42" fontId="3" fillId="2" borderId="0" xfId="0" applyNumberFormat="1" applyFont="1" applyFill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 2 10 2 2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9">
          <cell r="D9">
            <v>0.75</v>
          </cell>
        </row>
        <row r="11">
          <cell r="Y1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tabSelected="1" view="pageBreakPreview" zoomScaleNormal="100" zoomScaleSheetLayoutView="100" workbookViewId="0">
      <pane ySplit="6" topLeftCell="A7" activePane="bottomLeft" state="frozen"/>
      <selection pane="bottomLeft" activeCell="L35" sqref="L35"/>
    </sheetView>
  </sheetViews>
  <sheetFormatPr defaultColWidth="9.140625" defaultRowHeight="11.25" x14ac:dyDescent="0.2"/>
  <cols>
    <col min="1" max="1" width="5.5703125" style="6" customWidth="1"/>
    <col min="2" max="2" width="37.140625" style="7" customWidth="1"/>
    <col min="3" max="3" width="2.28515625" style="8" customWidth="1"/>
    <col min="4" max="4" width="25.140625" style="9" customWidth="1"/>
    <col min="5" max="5" width="2.28515625" style="8" customWidth="1"/>
    <col min="6" max="6" width="12.85546875" style="8" bestFit="1" customWidth="1"/>
    <col min="7" max="7" width="13.5703125" style="8" bestFit="1" customWidth="1"/>
    <col min="8" max="8" width="13.140625" style="8" bestFit="1" customWidth="1"/>
    <col min="9" max="9" width="13.5703125" style="8" bestFit="1" customWidth="1"/>
    <col min="10" max="10" width="13.140625" style="8" bestFit="1" customWidth="1"/>
    <col min="11" max="13" width="13.5703125" style="8" bestFit="1" customWidth="1"/>
    <col min="14" max="14" width="13.85546875" style="8" bestFit="1" customWidth="1"/>
    <col min="15" max="16" width="13.5703125" style="8" bestFit="1" customWidth="1"/>
    <col min="17" max="17" width="13.85546875" style="8" bestFit="1" customWidth="1"/>
    <col min="18" max="18" width="2.28515625" style="8" customWidth="1"/>
    <col min="19" max="21" width="15.28515625" style="8" customWidth="1"/>
    <col min="22" max="16384" width="9.140625" style="8"/>
  </cols>
  <sheetData>
    <row r="1" spans="1:21" s="3" customFormat="1" ht="12.75" x14ac:dyDescent="0.2">
      <c r="A1" s="1" t="s">
        <v>34</v>
      </c>
      <c r="B1" s="2"/>
      <c r="D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3" customFormat="1" ht="12.75" x14ac:dyDescent="0.2">
      <c r="A2" s="1" t="s">
        <v>35</v>
      </c>
      <c r="B2" s="2"/>
      <c r="D2" s="4"/>
    </row>
    <row r="3" spans="1:21" s="3" customFormat="1" ht="12.75" x14ac:dyDescent="0.2">
      <c r="A3" s="1" t="s">
        <v>36</v>
      </c>
      <c r="B3" s="2"/>
      <c r="D3" s="4"/>
    </row>
    <row r="4" spans="1:21" ht="15.75" customHeight="1" x14ac:dyDescent="0.2"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"/>
    </row>
    <row r="5" spans="1:21" ht="15.75" customHeight="1" x14ac:dyDescent="0.2">
      <c r="A5" s="8"/>
      <c r="B5" s="11"/>
      <c r="R5" s="3"/>
    </row>
    <row r="6" spans="1:21" ht="25.5" x14ac:dyDescent="0.2">
      <c r="A6" s="12" t="s">
        <v>0</v>
      </c>
      <c r="B6" s="13"/>
      <c r="C6" s="3"/>
      <c r="D6" s="14" t="s">
        <v>1</v>
      </c>
      <c r="E6" s="3"/>
      <c r="F6" s="15">
        <v>43831</v>
      </c>
      <c r="G6" s="15">
        <f>EDATE(F6,1)</f>
        <v>43862</v>
      </c>
      <c r="H6" s="15">
        <f t="shared" ref="H6:O6" si="0">EDATE(G6,1)</f>
        <v>43891</v>
      </c>
      <c r="I6" s="15">
        <f t="shared" si="0"/>
        <v>43922</v>
      </c>
      <c r="J6" s="15">
        <f t="shared" si="0"/>
        <v>43952</v>
      </c>
      <c r="K6" s="15">
        <f t="shared" si="0"/>
        <v>43983</v>
      </c>
      <c r="L6" s="15">
        <f t="shared" si="0"/>
        <v>44013</v>
      </c>
      <c r="M6" s="15">
        <f t="shared" si="0"/>
        <v>44044</v>
      </c>
      <c r="N6" s="15">
        <f t="shared" si="0"/>
        <v>44075</v>
      </c>
      <c r="O6" s="15">
        <f t="shared" si="0"/>
        <v>44105</v>
      </c>
      <c r="P6" s="15">
        <f>EDATE(O6,1)</f>
        <v>44136</v>
      </c>
      <c r="Q6" s="15">
        <f>EDATE(P6,1)</f>
        <v>44166</v>
      </c>
      <c r="R6" s="3"/>
      <c r="S6" s="15" t="s">
        <v>2</v>
      </c>
      <c r="T6" s="15" t="s">
        <v>3</v>
      </c>
      <c r="U6" s="15" t="s">
        <v>4</v>
      </c>
    </row>
    <row r="7" spans="1:21" ht="15.75" customHeight="1" x14ac:dyDescent="0.2">
      <c r="A7" s="16"/>
      <c r="B7" s="17"/>
      <c r="C7" s="3"/>
      <c r="D7" s="18"/>
      <c r="E7" s="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3"/>
      <c r="S7" s="19"/>
      <c r="T7" s="19"/>
      <c r="U7" s="19"/>
    </row>
    <row r="8" spans="1:21" ht="12.75" x14ac:dyDescent="0.2">
      <c r="A8" s="1" t="s">
        <v>5</v>
      </c>
      <c r="B8" s="2"/>
      <c r="C8" s="3"/>
      <c r="D8" s="18"/>
      <c r="E8" s="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"/>
      <c r="S8" s="20"/>
      <c r="T8" s="20"/>
      <c r="U8" s="20"/>
    </row>
    <row r="9" spans="1:21" ht="12.75" x14ac:dyDescent="0.2">
      <c r="A9" s="21"/>
      <c r="B9" s="17"/>
      <c r="C9" s="1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"/>
      <c r="S9" s="23"/>
      <c r="T9" s="23"/>
      <c r="U9" s="23"/>
    </row>
    <row r="10" spans="1:21" ht="12.75" x14ac:dyDescent="0.2">
      <c r="A10" s="21">
        <f>+MAX($A$1:A9)+1</f>
        <v>1</v>
      </c>
      <c r="B10" s="18" t="s">
        <v>6</v>
      </c>
      <c r="D10" s="24" t="s">
        <v>37</v>
      </c>
      <c r="F10" s="25">
        <v>55111700.653506935</v>
      </c>
      <c r="G10" s="25">
        <v>54616993.745013468</v>
      </c>
      <c r="H10" s="25">
        <v>56734135.715820372</v>
      </c>
      <c r="I10" s="25">
        <v>46812988.149514109</v>
      </c>
      <c r="J10" s="25">
        <v>49776826.120684452</v>
      </c>
      <c r="K10" s="25">
        <v>55340166.629982404</v>
      </c>
      <c r="L10" s="25">
        <v>69532810.372365236</v>
      </c>
      <c r="M10" s="25">
        <v>67991474.604806498</v>
      </c>
      <c r="N10" s="25">
        <v>54426138.132368609</v>
      </c>
      <c r="O10" s="25">
        <v>53651147.898225576</v>
      </c>
      <c r="P10" s="25">
        <v>51119891.287466355</v>
      </c>
      <c r="Q10" s="25">
        <v>58214153.017553449</v>
      </c>
      <c r="R10" s="26"/>
      <c r="S10" s="25">
        <f>SUM(F10:Q10)</f>
        <v>673328426.32730746</v>
      </c>
      <c r="T10" s="25">
        <v>671913251.5872978</v>
      </c>
      <c r="U10" s="25">
        <f t="shared" ref="U10:U51" si="1">S10-T10</f>
        <v>1415174.7400096655</v>
      </c>
    </row>
    <row r="11" spans="1:21" ht="12.75" x14ac:dyDescent="0.2">
      <c r="A11" s="21">
        <f>+MAX($A$1:A10)+1</f>
        <v>2</v>
      </c>
      <c r="B11" s="18" t="s">
        <v>7</v>
      </c>
      <c r="D11" s="27" t="s">
        <v>38</v>
      </c>
      <c r="F11" s="28">
        <v>-4090065.5430165692</v>
      </c>
      <c r="G11" s="28">
        <v>-3812880.218651481</v>
      </c>
      <c r="H11" s="28">
        <v>-3866302.3582349103</v>
      </c>
      <c r="I11" s="28">
        <v>-2599886.4095006962</v>
      </c>
      <c r="J11" s="28">
        <v>-3933617.7387996055</v>
      </c>
      <c r="K11" s="28">
        <v>-5305176.5592289362</v>
      </c>
      <c r="L11" s="28">
        <v>-5505627.5285764206</v>
      </c>
      <c r="M11" s="28">
        <v>-5893984.7095972328</v>
      </c>
      <c r="N11" s="28">
        <v>-5492609.8436390832</v>
      </c>
      <c r="O11" s="28">
        <v>-4467210.074205908</v>
      </c>
      <c r="P11" s="28">
        <v>-3860678.2073390875</v>
      </c>
      <c r="Q11" s="28">
        <v>-1100186.6424611839</v>
      </c>
      <c r="R11" s="26"/>
      <c r="S11" s="28">
        <f>SUM(F11:Q11)</f>
        <v>-49928225.833251104</v>
      </c>
      <c r="T11" s="28">
        <v>-49817289.375964545</v>
      </c>
      <c r="U11" s="28">
        <f t="shared" si="1"/>
        <v>-110936.45728655905</v>
      </c>
    </row>
    <row r="12" spans="1:21" ht="12.75" x14ac:dyDescent="0.2">
      <c r="A12" s="21">
        <f>+MAX($A$1:A11)+1</f>
        <v>3</v>
      </c>
      <c r="B12" s="18" t="s">
        <v>8</v>
      </c>
      <c r="D12" s="9" t="str">
        <f>"∑ Lines "&amp;$A$10&amp;":"&amp;$A$11&amp;""</f>
        <v>∑ Lines 1:2</v>
      </c>
      <c r="F12" s="29">
        <f>SUM(F10:F11)</f>
        <v>51021635.110490367</v>
      </c>
      <c r="G12" s="29">
        <f t="shared" ref="G12:Q12" si="2">SUM(G10:G11)</f>
        <v>50804113.526361987</v>
      </c>
      <c r="H12" s="29">
        <f t="shared" si="2"/>
        <v>52867833.35758546</v>
      </c>
      <c r="I12" s="29">
        <f t="shared" si="2"/>
        <v>44213101.740013413</v>
      </c>
      <c r="J12" s="29">
        <f t="shared" si="2"/>
        <v>45843208.381884843</v>
      </c>
      <c r="K12" s="29">
        <f t="shared" si="2"/>
        <v>50034990.07075347</v>
      </c>
      <c r="L12" s="29">
        <f t="shared" si="2"/>
        <v>64027182.843788818</v>
      </c>
      <c r="M12" s="29">
        <f t="shared" si="2"/>
        <v>62097489.895209268</v>
      </c>
      <c r="N12" s="29">
        <f t="shared" si="2"/>
        <v>48933528.288729526</v>
      </c>
      <c r="O12" s="29">
        <f t="shared" si="2"/>
        <v>49183937.82401967</v>
      </c>
      <c r="P12" s="29">
        <f t="shared" si="2"/>
        <v>47259213.080127269</v>
      </c>
      <c r="Q12" s="29">
        <f t="shared" si="2"/>
        <v>57113966.375092268</v>
      </c>
      <c r="R12" s="26"/>
      <c r="S12" s="29">
        <f>SUM(F12:Q12)</f>
        <v>623400200.49405634</v>
      </c>
      <c r="T12" s="29">
        <v>622095962.21133327</v>
      </c>
      <c r="U12" s="29">
        <f t="shared" si="1"/>
        <v>1304238.2827230692</v>
      </c>
    </row>
    <row r="13" spans="1:21" ht="12.75" x14ac:dyDescent="0.2">
      <c r="A13" s="21"/>
      <c r="B13" s="18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6"/>
      <c r="S13" s="30"/>
      <c r="T13" s="30"/>
      <c r="U13" s="30"/>
    </row>
    <row r="14" spans="1:21" ht="12.75" x14ac:dyDescent="0.2">
      <c r="A14" s="21">
        <f>+MAX($A$1:A13)+1</f>
        <v>4</v>
      </c>
      <c r="B14" s="18" t="s">
        <v>9</v>
      </c>
      <c r="D14" s="27" t="s">
        <v>39</v>
      </c>
      <c r="F14" s="30">
        <v>2083869.3711439993</v>
      </c>
      <c r="G14" s="30">
        <v>1875968.8200792002</v>
      </c>
      <c r="H14" s="30">
        <v>1930671.0443299999</v>
      </c>
      <c r="I14" s="30">
        <v>1728180.3889955399</v>
      </c>
      <c r="J14" s="30">
        <v>1890590.2830001011</v>
      </c>
      <c r="K14" s="30">
        <v>2045474.5548399999</v>
      </c>
      <c r="L14" s="30">
        <v>2529659.8569987998</v>
      </c>
      <c r="M14" s="30">
        <v>2653007.8606110001</v>
      </c>
      <c r="N14" s="30">
        <v>2046074.9111600004</v>
      </c>
      <c r="O14" s="30">
        <v>1978369.901968</v>
      </c>
      <c r="P14" s="30">
        <v>1975636.2919049996</v>
      </c>
      <c r="Q14" s="30">
        <v>2132493.4752601995</v>
      </c>
      <c r="R14" s="26"/>
      <c r="S14" s="30">
        <f>SUM(F14:Q14)</f>
        <v>24869996.760291837</v>
      </c>
      <c r="T14" s="30">
        <v>24869996.760291837</v>
      </c>
      <c r="U14" s="30">
        <f t="shared" si="1"/>
        <v>0</v>
      </c>
    </row>
    <row r="15" spans="1:21" ht="12.75" x14ac:dyDescent="0.2">
      <c r="A15" s="21"/>
      <c r="B15" s="18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26"/>
      <c r="S15" s="31"/>
      <c r="T15" s="31"/>
      <c r="U15" s="31"/>
    </row>
    <row r="16" spans="1:21" ht="12.75" x14ac:dyDescent="0.2">
      <c r="A16" s="21">
        <f>+MAX($A$1:A15)+1</f>
        <v>5</v>
      </c>
      <c r="B16" s="18" t="s">
        <v>10</v>
      </c>
      <c r="D16" s="9" t="str">
        <f>"Line "&amp;$A$12&amp;" / Line "&amp;$A$14&amp;""</f>
        <v>Line 3 / Line 4</v>
      </c>
      <c r="F16" s="32">
        <f>F12/F14</f>
        <v>24.484085143245132</v>
      </c>
      <c r="G16" s="32">
        <f t="shared" ref="G16:Q16" si="3">G12/G14</f>
        <v>27.08153407593263</v>
      </c>
      <c r="H16" s="32">
        <f t="shared" si="3"/>
        <v>27.383138889894195</v>
      </c>
      <c r="I16" s="32">
        <f t="shared" si="3"/>
        <v>25.583615010069138</v>
      </c>
      <c r="J16" s="32">
        <f t="shared" si="3"/>
        <v>24.248092669310726</v>
      </c>
      <c r="K16" s="32">
        <f t="shared" si="3"/>
        <v>24.461311411750749</v>
      </c>
      <c r="L16" s="32">
        <f t="shared" si="3"/>
        <v>25.310589748517007</v>
      </c>
      <c r="M16" s="32">
        <f t="shared" si="3"/>
        <v>23.406447759603669</v>
      </c>
      <c r="N16" s="32">
        <f t="shared" si="3"/>
        <v>23.915804852417249</v>
      </c>
      <c r="O16" s="32">
        <f t="shared" si="3"/>
        <v>24.860840116448163</v>
      </c>
      <c r="P16" s="32">
        <f t="shared" si="3"/>
        <v>23.921008777662085</v>
      </c>
      <c r="Q16" s="32">
        <f t="shared" si="3"/>
        <v>26.782715650805645</v>
      </c>
      <c r="R16" s="32"/>
      <c r="S16" s="32">
        <f>S12/S14</f>
        <v>25.066356320938301</v>
      </c>
      <c r="T16" s="32">
        <v>25.013914083197221</v>
      </c>
      <c r="U16" s="32">
        <f t="shared" si="1"/>
        <v>5.2442237741079367E-2</v>
      </c>
    </row>
    <row r="17" spans="1:21" ht="12.75" x14ac:dyDescent="0.2">
      <c r="A17" s="2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26"/>
      <c r="S17" s="33"/>
      <c r="T17" s="33"/>
      <c r="U17" s="33"/>
    </row>
    <row r="18" spans="1:21" ht="12.75" x14ac:dyDescent="0.2">
      <c r="A18" s="1" t="s">
        <v>11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26"/>
      <c r="S18" s="33"/>
      <c r="T18" s="33"/>
      <c r="U18" s="33"/>
    </row>
    <row r="19" spans="1:21" ht="12.75" x14ac:dyDescent="0.2">
      <c r="A19" s="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4"/>
      <c r="R19" s="26"/>
      <c r="S19" s="33"/>
      <c r="T19" s="33"/>
      <c r="U19" s="33"/>
    </row>
    <row r="20" spans="1:21" ht="12.75" x14ac:dyDescent="0.2">
      <c r="A20" s="21">
        <f>+MAX($A$1:A19)+1</f>
        <v>6</v>
      </c>
      <c r="B20" s="18" t="s">
        <v>6</v>
      </c>
      <c r="C20" s="1"/>
      <c r="D20" s="27" t="s">
        <v>40</v>
      </c>
      <c r="E20" s="22"/>
      <c r="F20" s="25">
        <v>52951274.091305241</v>
      </c>
      <c r="G20" s="25">
        <v>49340602.199419484</v>
      </c>
      <c r="H20" s="25">
        <v>52632441.352353275</v>
      </c>
      <c r="I20" s="25">
        <v>48247357.847752899</v>
      </c>
      <c r="J20" s="25">
        <v>49229411.982862458</v>
      </c>
      <c r="K20" s="25">
        <v>51883411.554273084</v>
      </c>
      <c r="L20" s="25">
        <v>60534576.222015001</v>
      </c>
      <c r="M20" s="25">
        <v>60895339.604102701</v>
      </c>
      <c r="N20" s="25">
        <v>49740054.401154719</v>
      </c>
      <c r="O20" s="25">
        <v>49325488.310134262</v>
      </c>
      <c r="P20" s="25">
        <v>49731889.450345367</v>
      </c>
      <c r="Q20" s="25">
        <v>53488152.98428151</v>
      </c>
      <c r="R20" s="26"/>
      <c r="S20" s="25">
        <f>SUM(F20:Q20)</f>
        <v>628000000</v>
      </c>
      <c r="T20" s="25">
        <v>628000000</v>
      </c>
      <c r="U20" s="25">
        <f t="shared" si="1"/>
        <v>0</v>
      </c>
    </row>
    <row r="21" spans="1:21" ht="12.75" x14ac:dyDescent="0.2">
      <c r="A21" s="21">
        <f>+MAX($A$1:A20)+1</f>
        <v>7</v>
      </c>
      <c r="B21" s="18" t="s">
        <v>7</v>
      </c>
      <c r="C21" s="1"/>
      <c r="D21" s="27" t="s">
        <v>38</v>
      </c>
      <c r="E21" s="22"/>
      <c r="F21" s="28">
        <v>-3422346.376176998</v>
      </c>
      <c r="G21" s="28">
        <v>-3422346.376176998</v>
      </c>
      <c r="H21" s="28">
        <v>-3422346.376176998</v>
      </c>
      <c r="I21" s="28">
        <v>-3422346.376176998</v>
      </c>
      <c r="J21" s="28">
        <v>-3422346.376176998</v>
      </c>
      <c r="K21" s="28">
        <v>-3422346.376176998</v>
      </c>
      <c r="L21" s="28">
        <v>-3422346.376176998</v>
      </c>
      <c r="M21" s="28">
        <v>-3422346.376176998</v>
      </c>
      <c r="N21" s="28">
        <v>-3422346.376176998</v>
      </c>
      <c r="O21" s="28">
        <v>-3422346.376176998</v>
      </c>
      <c r="P21" s="28">
        <v>-3422346.376176998</v>
      </c>
      <c r="Q21" s="28">
        <v>-3422346.376176998</v>
      </c>
      <c r="R21" s="26"/>
      <c r="S21" s="28">
        <f>SUM(F21:Q21)</f>
        <v>-41068156.514123976</v>
      </c>
      <c r="T21" s="28">
        <v>-41068156.514123976</v>
      </c>
      <c r="U21" s="28">
        <f t="shared" si="1"/>
        <v>0</v>
      </c>
    </row>
    <row r="22" spans="1:21" ht="12.75" x14ac:dyDescent="0.2">
      <c r="A22" s="21">
        <f>+MAX($A$1:A21)+1</f>
        <v>8</v>
      </c>
      <c r="B22" s="18" t="s">
        <v>8</v>
      </c>
      <c r="C22" s="1"/>
      <c r="D22" s="9" t="str">
        <f>"∑ Lines "&amp;$A$20&amp;":"&amp;$A$21&amp;""</f>
        <v>∑ Lines 6:7</v>
      </c>
      <c r="E22" s="22"/>
      <c r="F22" s="29">
        <f>SUM(F20:F21)</f>
        <v>49528927.715128243</v>
      </c>
      <c r="G22" s="29">
        <f t="shared" ref="G22:Q22" si="4">SUM(G20:G21)</f>
        <v>45918255.823242486</v>
      </c>
      <c r="H22" s="29">
        <f t="shared" si="4"/>
        <v>49210094.976176277</v>
      </c>
      <c r="I22" s="29">
        <f t="shared" si="4"/>
        <v>44825011.471575901</v>
      </c>
      <c r="J22" s="29">
        <f t="shared" si="4"/>
        <v>45807065.60668546</v>
      </c>
      <c r="K22" s="29">
        <f t="shared" si="4"/>
        <v>48461065.178096086</v>
      </c>
      <c r="L22" s="29">
        <f t="shared" si="4"/>
        <v>57112229.845838003</v>
      </c>
      <c r="M22" s="29">
        <f t="shared" si="4"/>
        <v>57472993.227925703</v>
      </c>
      <c r="N22" s="29">
        <f t="shared" si="4"/>
        <v>46317708.024977721</v>
      </c>
      <c r="O22" s="29">
        <f t="shared" si="4"/>
        <v>45903141.933957264</v>
      </c>
      <c r="P22" s="29">
        <f t="shared" si="4"/>
        <v>46309543.074168369</v>
      </c>
      <c r="Q22" s="29">
        <f t="shared" si="4"/>
        <v>50065806.608104512</v>
      </c>
      <c r="R22" s="26"/>
      <c r="S22" s="29">
        <f>SUM(F22:Q22)</f>
        <v>586931843.48587608</v>
      </c>
      <c r="T22" s="29">
        <v>586931843.48587608</v>
      </c>
      <c r="U22" s="29">
        <f t="shared" si="1"/>
        <v>0</v>
      </c>
    </row>
    <row r="23" spans="1:21" ht="12.75" x14ac:dyDescent="0.2">
      <c r="A23" s="21"/>
      <c r="B23" s="18"/>
      <c r="C23" s="1"/>
      <c r="E23" s="2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26"/>
      <c r="S23" s="30"/>
      <c r="T23" s="30"/>
      <c r="U23" s="30"/>
    </row>
    <row r="24" spans="1:21" ht="12.75" x14ac:dyDescent="0.2">
      <c r="A24" s="21">
        <f>+MAX($A$1:A23)+1</f>
        <v>9</v>
      </c>
      <c r="B24" s="18" t="s">
        <v>9</v>
      </c>
      <c r="C24" s="1"/>
      <c r="D24" s="27" t="s">
        <v>39</v>
      </c>
      <c r="E24" s="22"/>
      <c r="F24" s="30">
        <v>2020369.6340750149</v>
      </c>
      <c r="G24" s="30">
        <v>1829853.6334000006</v>
      </c>
      <c r="H24" s="30">
        <v>1902391.4871999996</v>
      </c>
      <c r="I24" s="30">
        <v>1832113.2551000002</v>
      </c>
      <c r="J24" s="30">
        <v>1821070.3979</v>
      </c>
      <c r="K24" s="30">
        <v>1903418.8341139755</v>
      </c>
      <c r="L24" s="30">
        <v>2191141.30568837</v>
      </c>
      <c r="M24" s="30">
        <v>2157502.0906118797</v>
      </c>
      <c r="N24" s="30">
        <v>1865836.6002939758</v>
      </c>
      <c r="O24" s="30">
        <v>1829380.8936000003</v>
      </c>
      <c r="P24" s="30">
        <v>1877678.2182000002</v>
      </c>
      <c r="Q24" s="30">
        <v>2013528.5713025413</v>
      </c>
      <c r="R24" s="26"/>
      <c r="S24" s="30">
        <f>SUM(F24:Q24)</f>
        <v>23244284.921485759</v>
      </c>
      <c r="T24" s="30">
        <v>23244284.921485759</v>
      </c>
      <c r="U24" s="30">
        <f t="shared" si="1"/>
        <v>0</v>
      </c>
    </row>
    <row r="25" spans="1:21" ht="12.75" x14ac:dyDescent="0.2">
      <c r="A25" s="21"/>
      <c r="B25" s="18"/>
      <c r="C25" s="1"/>
      <c r="E25" s="2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26"/>
      <c r="S25" s="31"/>
      <c r="T25" s="31"/>
      <c r="U25" s="31"/>
    </row>
    <row r="26" spans="1:21" ht="12.75" x14ac:dyDescent="0.2">
      <c r="A26" s="21">
        <f>+MAX($A$1:A25)+1</f>
        <v>10</v>
      </c>
      <c r="B26" s="18" t="s">
        <v>12</v>
      </c>
      <c r="C26" s="1"/>
      <c r="D26" s="9" t="str">
        <f>"Line "&amp;$A$22&amp;" / Line "&amp;$A$24&amp;""</f>
        <v>Line 8 / Line 9</v>
      </c>
      <c r="E26" s="22"/>
      <c r="F26" s="32">
        <f>F22/F24</f>
        <v>24.514785255027878</v>
      </c>
      <c r="G26" s="32">
        <f t="shared" ref="G26:Q26" si="5">G22/G24</f>
        <v>25.093950130821685</v>
      </c>
      <c r="H26" s="32">
        <f t="shared" si="5"/>
        <v>25.867491159038597</v>
      </c>
      <c r="I26" s="32">
        <f t="shared" si="5"/>
        <v>24.46628850416197</v>
      </c>
      <c r="J26" s="32">
        <f t="shared" si="5"/>
        <v>25.15392357127363</v>
      </c>
      <c r="K26" s="32">
        <f t="shared" si="5"/>
        <v>25.460011380340408</v>
      </c>
      <c r="L26" s="32">
        <f t="shared" si="5"/>
        <v>26.065060111627805</v>
      </c>
      <c r="M26" s="32">
        <f t="shared" si="5"/>
        <v>26.63867324996475</v>
      </c>
      <c r="N26" s="32">
        <f t="shared" si="5"/>
        <v>24.824096610432036</v>
      </c>
      <c r="O26" s="32">
        <f t="shared" si="5"/>
        <v>25.092173037636485</v>
      </c>
      <c r="P26" s="32">
        <f t="shared" si="5"/>
        <v>24.663194484176376</v>
      </c>
      <c r="Q26" s="32">
        <f t="shared" si="5"/>
        <v>24.864711294221763</v>
      </c>
      <c r="R26" s="35"/>
      <c r="S26" s="32">
        <f>S22/S24</f>
        <v>25.250587207496672</v>
      </c>
      <c r="T26" s="32">
        <v>25.250587207496672</v>
      </c>
      <c r="U26" s="32">
        <f t="shared" si="1"/>
        <v>0</v>
      </c>
    </row>
    <row r="27" spans="1:21" ht="12.75" x14ac:dyDescent="0.2">
      <c r="A27" s="21"/>
      <c r="B27" s="36"/>
      <c r="C27" s="1"/>
      <c r="E27" s="2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6"/>
      <c r="S27" s="31"/>
      <c r="T27" s="31"/>
      <c r="U27" s="31"/>
    </row>
    <row r="28" spans="1:21" ht="12.75" x14ac:dyDescent="0.2">
      <c r="A28" s="1" t="s">
        <v>13</v>
      </c>
      <c r="B28" s="36"/>
      <c r="C28" s="1"/>
      <c r="E28" s="2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26"/>
      <c r="S28" s="31"/>
      <c r="T28" s="31"/>
      <c r="U28" s="31"/>
    </row>
    <row r="29" spans="1:21" ht="12.75" x14ac:dyDescent="0.2">
      <c r="A29" s="1"/>
      <c r="B29" s="36"/>
      <c r="C29" s="1"/>
      <c r="E29" s="2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6"/>
      <c r="S29" s="31"/>
      <c r="T29" s="31"/>
      <c r="U29" s="31"/>
    </row>
    <row r="30" spans="1:21" ht="12.75" x14ac:dyDescent="0.2">
      <c r="A30" s="21">
        <f>+MAX($A$1:A28)+1</f>
        <v>11</v>
      </c>
      <c r="B30" s="18" t="s">
        <v>14</v>
      </c>
      <c r="C30" s="1"/>
      <c r="D30" s="9" t="str">
        <f>"Line "&amp;$A$16&amp;" - Line "&amp;$A$26&amp;""</f>
        <v>Line 5 - Line 10</v>
      </c>
      <c r="E30" s="22"/>
      <c r="F30" s="37">
        <f>F16-F26</f>
        <v>-3.070011178274612E-2</v>
      </c>
      <c r="G30" s="37">
        <f>G16-G26</f>
        <v>1.9875839451109449</v>
      </c>
      <c r="H30" s="37">
        <f>H16-H26</f>
        <v>1.5156477308555978</v>
      </c>
      <c r="I30" s="37">
        <f t="shared" ref="I30:Q30" si="6">I16-I26</f>
        <v>1.1173265059071689</v>
      </c>
      <c r="J30" s="37">
        <f t="shared" si="6"/>
        <v>-0.90583090196290428</v>
      </c>
      <c r="K30" s="37">
        <f t="shared" si="6"/>
        <v>-0.99869996858965848</v>
      </c>
      <c r="L30" s="37">
        <f t="shared" si="6"/>
        <v>-0.75447036311079785</v>
      </c>
      <c r="M30" s="37">
        <f t="shared" si="6"/>
        <v>-3.2322254903610812</v>
      </c>
      <c r="N30" s="37">
        <f t="shared" si="6"/>
        <v>-0.90829175801478712</v>
      </c>
      <c r="O30" s="37">
        <f t="shared" si="6"/>
        <v>-0.23133292118832216</v>
      </c>
      <c r="P30" s="37">
        <f t="shared" si="6"/>
        <v>-0.74218570651429161</v>
      </c>
      <c r="Q30" s="37">
        <f t="shared" si="6"/>
        <v>1.9180043565838822</v>
      </c>
      <c r="R30" s="37"/>
      <c r="S30" s="37">
        <f>S16-S26</f>
        <v>-0.18423088655837105</v>
      </c>
      <c r="T30" s="37">
        <v>-0.23667312429945042</v>
      </c>
      <c r="U30" s="37">
        <f t="shared" si="1"/>
        <v>5.2442237741079367E-2</v>
      </c>
    </row>
    <row r="31" spans="1:21" ht="12.75" x14ac:dyDescent="0.2">
      <c r="A31" s="21"/>
      <c r="B31" s="18"/>
      <c r="C31" s="1"/>
      <c r="E31" s="22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26"/>
      <c r="S31" s="38"/>
      <c r="T31" s="38"/>
      <c r="U31" s="38"/>
    </row>
    <row r="32" spans="1:21" ht="12.75" x14ac:dyDescent="0.2">
      <c r="A32" s="21">
        <f>+MAX($A$1:A31)+1</f>
        <v>12</v>
      </c>
      <c r="B32" s="18" t="s">
        <v>15</v>
      </c>
      <c r="C32" s="1"/>
      <c r="D32" s="9" t="str">
        <f>"Line "&amp;$A$14&amp;" * Line "&amp;$A$30&amp;""</f>
        <v>Line 4 * Line 11</v>
      </c>
      <c r="E32" s="22"/>
      <c r="F32" s="39">
        <f>F30*F14</f>
        <v>-63975.022634761641</v>
      </c>
      <c r="G32" s="39">
        <f t="shared" ref="G32:Q32" si="7">G30*G14</f>
        <v>3728645.5083181411</v>
      </c>
      <c r="H32" s="39">
        <f t="shared" si="7"/>
        <v>2926217.1873673717</v>
      </c>
      <c r="I32" s="39">
        <f t="shared" si="7"/>
        <v>1930941.7556136784</v>
      </c>
      <c r="J32" s="39">
        <f t="shared" si="7"/>
        <v>-1712555.101292284</v>
      </c>
      <c r="K32" s="39">
        <f t="shared" si="7"/>
        <v>-2042815.3736696534</v>
      </c>
      <c r="L32" s="39">
        <f t="shared" si="7"/>
        <v>-1908553.3908566935</v>
      </c>
      <c r="M32" s="39">
        <f t="shared" si="7"/>
        <v>-8575119.6331951935</v>
      </c>
      <c r="N32" s="39">
        <f t="shared" si="7"/>
        <v>-1858432.9780874662</v>
      </c>
      <c r="O32" s="39">
        <f t="shared" si="7"/>
        <v>-457662.08861331199</v>
      </c>
      <c r="P32" s="39">
        <f t="shared" si="7"/>
        <v>-1466289.0171227874</v>
      </c>
      <c r="Q32" s="39">
        <f t="shared" si="7"/>
        <v>4090131.7759357658</v>
      </c>
      <c r="R32" s="26"/>
      <c r="S32" s="39">
        <f>SUM(F32:Q32)</f>
        <v>-5409466.3782371935</v>
      </c>
      <c r="T32" s="39">
        <v>-6713704.6609601807</v>
      </c>
      <c r="U32" s="39">
        <f t="shared" si="1"/>
        <v>1304238.2827229872</v>
      </c>
    </row>
    <row r="33" spans="1:21" ht="12.75" x14ac:dyDescent="0.2">
      <c r="A33" s="21"/>
      <c r="B33" s="18"/>
      <c r="C33" s="1"/>
      <c r="E33" s="22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26"/>
      <c r="S33" s="40"/>
      <c r="T33" s="40"/>
      <c r="U33" s="40"/>
    </row>
    <row r="34" spans="1:21" ht="25.5" x14ac:dyDescent="0.2">
      <c r="A34" s="21">
        <f>+MAX($A$1:A33)+1</f>
        <v>13</v>
      </c>
      <c r="B34" s="41" t="s">
        <v>16</v>
      </c>
      <c r="C34" s="1"/>
      <c r="D34" s="9" t="s">
        <v>41</v>
      </c>
      <c r="E34" s="22"/>
      <c r="F34" s="42">
        <v>258649.23666538839</v>
      </c>
      <c r="G34" s="42">
        <v>733647.69318537449</v>
      </c>
      <c r="H34" s="42">
        <v>374437.75806855829</v>
      </c>
      <c r="I34" s="42">
        <v>650213.27345455578</v>
      </c>
      <c r="J34" s="42">
        <v>1057941.42255436</v>
      </c>
      <c r="K34" s="42">
        <v>2045959.1853143254</v>
      </c>
      <c r="L34" s="42">
        <v>1284985.1758698814</v>
      </c>
      <c r="M34" s="42">
        <v>-111560.78014983729</v>
      </c>
      <c r="N34" s="42">
        <v>-589405.06494646927</v>
      </c>
      <c r="O34" s="42">
        <v>-310828.36618504697</v>
      </c>
      <c r="P34" s="42">
        <v>118947.78874036242</v>
      </c>
      <c r="Q34" s="42">
        <v>-152776.53628506299</v>
      </c>
      <c r="R34" s="25"/>
      <c r="S34" s="30">
        <f>SUM(F34:Q34)</f>
        <v>5360210.7862863895</v>
      </c>
      <c r="T34" s="30">
        <v>5360210.7862863895</v>
      </c>
      <c r="U34" s="30">
        <f t="shared" si="1"/>
        <v>0</v>
      </c>
    </row>
    <row r="35" spans="1:21" ht="12.75" x14ac:dyDescent="0.2">
      <c r="A35" s="21">
        <f>+MAX($A$1:A34)+1</f>
        <v>14</v>
      </c>
      <c r="B35" s="43" t="s">
        <v>17</v>
      </c>
      <c r="C35" s="1"/>
      <c r="D35" s="9" t="s">
        <v>18</v>
      </c>
      <c r="E35" s="22"/>
      <c r="F35" s="44">
        <v>350000</v>
      </c>
      <c r="G35" s="44">
        <f>$F$35</f>
        <v>350000</v>
      </c>
      <c r="H35" s="44">
        <f t="shared" ref="H35:Q35" si="8">$F$35</f>
        <v>350000</v>
      </c>
      <c r="I35" s="44">
        <f t="shared" si="8"/>
        <v>350000</v>
      </c>
      <c r="J35" s="44">
        <f t="shared" si="8"/>
        <v>350000</v>
      </c>
      <c r="K35" s="44">
        <f t="shared" si="8"/>
        <v>350000</v>
      </c>
      <c r="L35" s="44">
        <f t="shared" si="8"/>
        <v>350000</v>
      </c>
      <c r="M35" s="44">
        <f t="shared" si="8"/>
        <v>350000</v>
      </c>
      <c r="N35" s="44">
        <f t="shared" si="8"/>
        <v>350000</v>
      </c>
      <c r="O35" s="44">
        <f t="shared" si="8"/>
        <v>350000</v>
      </c>
      <c r="P35" s="44">
        <f t="shared" si="8"/>
        <v>350000</v>
      </c>
      <c r="Q35" s="44">
        <f t="shared" si="8"/>
        <v>350000</v>
      </c>
      <c r="R35" s="44"/>
      <c r="S35" s="44">
        <f>$F$35</f>
        <v>350000</v>
      </c>
      <c r="T35" s="44">
        <v>350000</v>
      </c>
      <c r="U35" s="44">
        <f t="shared" si="1"/>
        <v>0</v>
      </c>
    </row>
    <row r="36" spans="1:21" ht="12.75" x14ac:dyDescent="0.2">
      <c r="A36" s="21">
        <f>+MAX($A$1:A35)+1</f>
        <v>15</v>
      </c>
      <c r="B36" s="41" t="s">
        <v>19</v>
      </c>
      <c r="C36" s="1"/>
      <c r="D36" s="9" t="str">
        <f>"Line "&amp;$A$34&amp;" - Line "&amp;$A$35&amp;""</f>
        <v>Line 13 - Line 14</v>
      </c>
      <c r="E36" s="22"/>
      <c r="F36" s="45">
        <f>IF(SUM($F$34:F34)&lt;=-F35,(SUM($F$34:F34)+F35,IF(SUM($F$34:F34)&gt;F35,SUM($F$34:F34)-F35)),0)</f>
        <v>0</v>
      </c>
      <c r="G36" s="45">
        <f>IF(SUM($F$34:G34)&lt;=-G35,SUM($F$34:G34)+G35-SUM($F$36:F36),IF(SUM($F$34:G34)&gt;G35,SUM($F$34:G34)-G35)-SUM($F$36:F36))</f>
        <v>642296.92985076294</v>
      </c>
      <c r="H36" s="45">
        <f>IF(SUM($F$34:H34)&lt;=-H35,SUM($F$34:H34)+H35-SUM($F$36:G36),IF(SUM($F$34:H34)&gt;H35,SUM($F$34:H34)-H35)-SUM($F$36:G36))</f>
        <v>374437.75806855829</v>
      </c>
      <c r="I36" s="45">
        <f>IF(SUM($F$34:I34)&lt;=-I35,SUM($F$34:I34)+I35-SUM($F$36:H36),IF(SUM($F$34:I34)&gt;I35,SUM($F$34:I34)-I35)-SUM($F$36:H36))</f>
        <v>650213.27345455578</v>
      </c>
      <c r="J36" s="45">
        <f>IF(SUM($F$34:J34)&lt;=-J35,SUM($F$34:J34)+J35-SUM($F$36:I36),IF(SUM($F$34:J34)&gt;J35,SUM($F$34:J34)-J35)-SUM($F$36:I36))</f>
        <v>1057941.42255436</v>
      </c>
      <c r="K36" s="45">
        <f>IF(SUM($F$34:K34)&lt;=-K35,SUM($F$34:K34)+K35-SUM($F$36:J36),IF(SUM($F$34:K34)&gt;K35,SUM($F$34:K34)-K35)-SUM($F$36:J36))</f>
        <v>2045959.1853143252</v>
      </c>
      <c r="L36" s="45">
        <f>IF(SUM($F$34:L34)&lt;=-L35,SUM($F$34:L34)+L35-SUM($F$36:K36),IF(SUM($F$34:L34)&gt;L35,SUM($F$34:L34)-L35)-SUM($F$36:K36))</f>
        <v>1284985.1758698812</v>
      </c>
      <c r="M36" s="45">
        <f>IF(SUM($F$34:M34)&lt;=-M35,SUM($F$34:M34)+M35-SUM($F$36:L36),IF(SUM($F$34:M34)&gt;M35,SUM($F$34:M34)-M35)-SUM($F$36:L36))</f>
        <v>-111560.78014983702</v>
      </c>
      <c r="N36" s="45">
        <f>IF(SUM($F$34:N34)&lt;=-N35,SUM($F$34:N34)+N35-SUM($F$36:M36),IF(SUM($F$34:N34)&gt;N35,SUM($F$34:N34)-N35)-SUM($F$36:M36))</f>
        <v>-589405.06494646892</v>
      </c>
      <c r="O36" s="45">
        <f>IF(SUM($F$34:O34)&lt;=-O35,SUM($F$34:O34)+O35-SUM($F$36:N36),IF(SUM($F$34:O34)&gt;O35,SUM($F$34:O34)-O35)-SUM($F$36:N36))</f>
        <v>-310828.36618504673</v>
      </c>
      <c r="P36" s="45">
        <f>IF(SUM($F$34:P34)&lt;=-P35,SUM($F$34:P34)+P35-SUM($F$36:O36),IF(SUM($F$34:P34)&gt;P35,SUM($F$34:P34)-P35)-SUM($F$36:O36))</f>
        <v>118947.78874036204</v>
      </c>
      <c r="Q36" s="45">
        <f>IF(SUM($F$34:Q34)&lt;=-Q35,SUM($F$34:Q34)+Q35-SUM($F$36:P36),IF(SUM($F$34:Q34)&gt;Q35,SUM($F$34:Q34)-Q35)-SUM($F$36:P36))</f>
        <v>-152776.53628506325</v>
      </c>
      <c r="R36" s="30"/>
      <c r="S36" s="30">
        <f>SUM(F36:Q36)</f>
        <v>5010210.7862863895</v>
      </c>
      <c r="T36" s="30">
        <v>5010210.7862863895</v>
      </c>
      <c r="U36" s="30">
        <f t="shared" si="1"/>
        <v>0</v>
      </c>
    </row>
    <row r="37" spans="1:21" ht="12.75" x14ac:dyDescent="0.2">
      <c r="A37" s="21"/>
      <c r="B37" s="41"/>
      <c r="C37" s="1"/>
      <c r="D37" s="46"/>
      <c r="E37" s="22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8"/>
      <c r="R37" s="25"/>
      <c r="S37" s="25"/>
      <c r="T37" s="25"/>
      <c r="U37" s="25"/>
    </row>
    <row r="38" spans="1:21" ht="12.75" customHeight="1" x14ac:dyDescent="0.2">
      <c r="A38" s="21">
        <f>+MAX($A$1:A37)+1</f>
        <v>16</v>
      </c>
      <c r="B38" s="41" t="s">
        <v>20</v>
      </c>
      <c r="C38" s="1"/>
      <c r="D38" s="9" t="s">
        <v>42</v>
      </c>
      <c r="E38" s="49"/>
      <c r="F38" s="42">
        <v>11215.106800000009</v>
      </c>
      <c r="G38" s="42">
        <v>221122.7456960002</v>
      </c>
      <c r="H38" s="42">
        <v>306021.21599999996</v>
      </c>
      <c r="I38" s="42">
        <v>585947.16149000113</v>
      </c>
      <c r="J38" s="42">
        <v>685176.65999999992</v>
      </c>
      <c r="K38" s="42">
        <v>552318.63681599812</v>
      </c>
      <c r="L38" s="42">
        <v>391050.234</v>
      </c>
      <c r="M38" s="42">
        <v>-377519.94958200114</v>
      </c>
      <c r="N38" s="42">
        <v>203287.40826200115</v>
      </c>
      <c r="O38" s="42">
        <v>293505.99506400223</v>
      </c>
      <c r="P38" s="42">
        <v>193014.20848999993</v>
      </c>
      <c r="Q38" s="42">
        <v>108981.09720000002</v>
      </c>
      <c r="R38" s="30"/>
      <c r="S38" s="30">
        <f>SUM(F38:Q38)</f>
        <v>3174120.5202360018</v>
      </c>
      <c r="T38" s="30">
        <v>3174120.5202360018</v>
      </c>
      <c r="U38" s="30">
        <f t="shared" si="1"/>
        <v>0</v>
      </c>
    </row>
    <row r="39" spans="1:21" ht="12.75" x14ac:dyDescent="0.2">
      <c r="A39" s="21"/>
      <c r="B39" s="50"/>
      <c r="C39" s="1"/>
      <c r="E39" s="22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ht="12.75" x14ac:dyDescent="0.2">
      <c r="A40" s="21">
        <f>+MAX($A$1:A39)+1</f>
        <v>17</v>
      </c>
      <c r="B40" s="50" t="s">
        <v>21</v>
      </c>
      <c r="C40" s="1"/>
      <c r="D40" s="9" t="str">
        <f>"∑ Lines "&amp;$A$32&amp;" and Lines "&amp;$A$36&amp;":"&amp;A38&amp;" "</f>
        <v xml:space="preserve">∑ Lines 12 and Lines 15:16 </v>
      </c>
      <c r="E40" s="22"/>
      <c r="F40" s="39">
        <f>+F32+F36+F38</f>
        <v>-52759.915834761632</v>
      </c>
      <c r="G40" s="39">
        <f t="shared" ref="G40:Q40" si="9">+G32+G36+G38</f>
        <v>4592065.1838649036</v>
      </c>
      <c r="H40" s="39">
        <f t="shared" si="9"/>
        <v>3606676.1614359301</v>
      </c>
      <c r="I40" s="39">
        <f t="shared" si="9"/>
        <v>3167102.1905582356</v>
      </c>
      <c r="J40" s="39">
        <f t="shared" si="9"/>
        <v>30562.981262075948</v>
      </c>
      <c r="K40" s="39">
        <f t="shared" si="9"/>
        <v>555462.44846066984</v>
      </c>
      <c r="L40" s="39">
        <f t="shared" si="9"/>
        <v>-232517.98098681233</v>
      </c>
      <c r="M40" s="39">
        <f t="shared" si="9"/>
        <v>-9064200.3629270326</v>
      </c>
      <c r="N40" s="39">
        <f t="shared" si="9"/>
        <v>-2244550.6347719338</v>
      </c>
      <c r="O40" s="39">
        <f t="shared" si="9"/>
        <v>-474984.4597343565</v>
      </c>
      <c r="P40" s="39">
        <f t="shared" si="9"/>
        <v>-1154327.0198924255</v>
      </c>
      <c r="Q40" s="39">
        <f t="shared" si="9"/>
        <v>4046336.3368507028</v>
      </c>
      <c r="R40" s="40"/>
      <c r="S40" s="39">
        <f>SUM(F40:Q40)</f>
        <v>2774864.9282851964</v>
      </c>
      <c r="T40" s="39">
        <v>1470626.6455622129</v>
      </c>
      <c r="U40" s="39">
        <f t="shared" si="1"/>
        <v>1304238.2827229835</v>
      </c>
    </row>
    <row r="41" spans="1:21" ht="12.75" x14ac:dyDescent="0.2">
      <c r="A41" s="21"/>
      <c r="B41" s="18"/>
      <c r="C41" s="1"/>
      <c r="E41" s="22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  <c r="S41" s="40"/>
      <c r="T41" s="40"/>
      <c r="U41" s="40"/>
    </row>
    <row r="42" spans="1:21" ht="12.75" x14ac:dyDescent="0.2">
      <c r="A42" s="1" t="s">
        <v>22</v>
      </c>
      <c r="B42" s="36"/>
      <c r="C42" s="1"/>
      <c r="E42" s="22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6"/>
      <c r="S42" s="31"/>
      <c r="T42" s="31"/>
      <c r="U42" s="31"/>
    </row>
    <row r="43" spans="1:21" ht="12.75" x14ac:dyDescent="0.2">
      <c r="A43" s="21"/>
      <c r="B43" s="36"/>
      <c r="C43" s="51"/>
      <c r="E43" s="52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6"/>
      <c r="S43" s="31"/>
      <c r="T43" s="31"/>
      <c r="U43" s="31"/>
    </row>
    <row r="44" spans="1:21" ht="12.75" x14ac:dyDescent="0.2">
      <c r="A44" s="21">
        <f>+MAX($A$1:A43)+1</f>
        <v>18</v>
      </c>
      <c r="B44" s="18" t="s">
        <v>23</v>
      </c>
      <c r="C44" s="53"/>
      <c r="D44" s="9" t="s">
        <v>24</v>
      </c>
      <c r="E44" s="54"/>
      <c r="F44" s="55">
        <f>0.0437/12</f>
        <v>3.6416666666666667E-3</v>
      </c>
      <c r="G44" s="55">
        <f>$F$44</f>
        <v>3.6416666666666667E-3</v>
      </c>
      <c r="H44" s="55">
        <f t="shared" ref="H44" si="10">$F$44</f>
        <v>3.6416666666666667E-3</v>
      </c>
      <c r="I44" s="55">
        <f>0.0388/12</f>
        <v>3.2333333333333333E-3</v>
      </c>
      <c r="J44" s="55">
        <f>I44</f>
        <v>3.2333333333333333E-3</v>
      </c>
      <c r="K44" s="55">
        <f t="shared" ref="K44:Q44" si="11">J44</f>
        <v>3.2333333333333333E-3</v>
      </c>
      <c r="L44" s="55">
        <f t="shared" si="11"/>
        <v>3.2333333333333333E-3</v>
      </c>
      <c r="M44" s="55">
        <f t="shared" si="11"/>
        <v>3.2333333333333333E-3</v>
      </c>
      <c r="N44" s="55">
        <f t="shared" si="11"/>
        <v>3.2333333333333333E-3</v>
      </c>
      <c r="O44" s="55">
        <f t="shared" si="11"/>
        <v>3.2333333333333333E-3</v>
      </c>
      <c r="P44" s="55">
        <f t="shared" si="11"/>
        <v>3.2333333333333333E-3</v>
      </c>
      <c r="Q44" s="55">
        <f t="shared" si="11"/>
        <v>3.2333333333333333E-3</v>
      </c>
      <c r="R44" s="26"/>
      <c r="S44" s="55"/>
      <c r="T44" s="55"/>
      <c r="U44" s="55"/>
    </row>
    <row r="45" spans="1:21" ht="12.75" x14ac:dyDescent="0.2">
      <c r="A45" s="21">
        <f>+MAX($A$1:A44)+1</f>
        <v>19</v>
      </c>
      <c r="B45" s="18" t="s">
        <v>25</v>
      </c>
      <c r="C45" s="53"/>
      <c r="D45" s="9" t="str">
        <f>"Prior Month Line "&amp;$A$48&amp;""</f>
        <v>Prior Month Line 22</v>
      </c>
      <c r="E45" s="54"/>
      <c r="F45" s="64">
        <v>3247893.0847825781</v>
      </c>
      <c r="G45" s="25">
        <f>F48</f>
        <v>3206864.8459181506</v>
      </c>
      <c r="H45" s="25">
        <f t="shared" ref="H45:Q45" si="12">G48</f>
        <v>7818969.74795256</v>
      </c>
      <c r="I45" s="25">
        <f t="shared" si="12"/>
        <v>11460687.147064565</v>
      </c>
      <c r="J45" s="25">
        <f t="shared" si="12"/>
        <v>14669965.707939712</v>
      </c>
      <c r="K45" s="25">
        <f t="shared" si="12"/>
        <v>14748010.988477169</v>
      </c>
      <c r="L45" s="25">
        <f t="shared" si="12"/>
        <v>15352056.67009226</v>
      </c>
      <c r="M45" s="25">
        <f t="shared" si="12"/>
        <v>15168801.101602817</v>
      </c>
      <c r="N45" s="25">
        <f t="shared" si="12"/>
        <v>6138992.7383175679</v>
      </c>
      <c r="O45" s="25">
        <f t="shared" si="12"/>
        <v>3910662.8232066464</v>
      </c>
      <c r="P45" s="25">
        <f t="shared" si="12"/>
        <v>3447554.9483907539</v>
      </c>
      <c r="Q45" s="25">
        <f t="shared" si="12"/>
        <v>2302508.860815966</v>
      </c>
      <c r="R45" s="26"/>
      <c r="S45" s="25">
        <f>F45</f>
        <v>3247893.0847825781</v>
      </c>
      <c r="T45" s="25">
        <v>0</v>
      </c>
      <c r="U45" s="25">
        <f t="shared" si="1"/>
        <v>3247893.0847825781</v>
      </c>
    </row>
    <row r="46" spans="1:21" ht="12.75" x14ac:dyDescent="0.2">
      <c r="A46" s="21">
        <f>+MAX($A$1:A45)+1</f>
        <v>20</v>
      </c>
      <c r="B46" s="18" t="s">
        <v>26</v>
      </c>
      <c r="C46" s="53"/>
      <c r="D46" s="9" t="str">
        <f>"Line "&amp;A40</f>
        <v>Line 17</v>
      </c>
      <c r="E46" s="54"/>
      <c r="F46" s="28">
        <f>F40</f>
        <v>-52759.915834761632</v>
      </c>
      <c r="G46" s="28">
        <f t="shared" ref="G46:Q46" si="13">G40</f>
        <v>4592065.1838649036</v>
      </c>
      <c r="H46" s="28">
        <f t="shared" si="13"/>
        <v>3606676.1614359301</v>
      </c>
      <c r="I46" s="28">
        <f t="shared" si="13"/>
        <v>3167102.1905582356</v>
      </c>
      <c r="J46" s="28">
        <f t="shared" si="13"/>
        <v>30562.981262075948</v>
      </c>
      <c r="K46" s="28">
        <f t="shared" si="13"/>
        <v>555462.44846066984</v>
      </c>
      <c r="L46" s="28">
        <f t="shared" si="13"/>
        <v>-232517.98098681233</v>
      </c>
      <c r="M46" s="28">
        <f t="shared" si="13"/>
        <v>-9064200.3629270326</v>
      </c>
      <c r="N46" s="28">
        <f t="shared" si="13"/>
        <v>-2244550.6347719338</v>
      </c>
      <c r="O46" s="28">
        <f t="shared" si="13"/>
        <v>-474984.4597343565</v>
      </c>
      <c r="P46" s="28">
        <f t="shared" si="13"/>
        <v>-1154327.0198924255</v>
      </c>
      <c r="Q46" s="28">
        <f t="shared" si="13"/>
        <v>4046336.3368507028</v>
      </c>
      <c r="R46" s="26"/>
      <c r="S46" s="28">
        <f>SUM(F46:Q46)</f>
        <v>2774864.9282851964</v>
      </c>
      <c r="T46" s="28">
        <v>1470626.6455622129</v>
      </c>
      <c r="U46" s="28">
        <f t="shared" si="1"/>
        <v>1304238.2827229835</v>
      </c>
    </row>
    <row r="47" spans="1:21" ht="22.5" x14ac:dyDescent="0.2">
      <c r="A47" s="21">
        <f>+MAX($A$1:A46)+1</f>
        <v>21</v>
      </c>
      <c r="B47" s="18" t="s">
        <v>27</v>
      </c>
      <c r="C47" s="53"/>
      <c r="D47" s="9" t="str">
        <f>"Line "&amp;$A$44&amp;" * ( Line "&amp;$A$45&amp;" + 50% x Line "&amp;$A$46&amp;")"</f>
        <v>Line 18 * ( Line 19 + 50% x Line 20)</v>
      </c>
      <c r="E47" s="54"/>
      <c r="F47" s="44">
        <f>(F45+0.5*SUM(F46))*F44</f>
        <v>11731.676970334094</v>
      </c>
      <c r="G47" s="44">
        <f>(G45+0.5*SUM(G46))*G44</f>
        <v>20039.718169505944</v>
      </c>
      <c r="H47" s="44">
        <f>(H45+0.5*SUM(H46))*H44</f>
        <v>35041.237676075158</v>
      </c>
      <c r="I47" s="44">
        <f t="shared" ref="I47:Q47" si="14">(I45+0.5*SUM(I46))*I44</f>
        <v>42176.370316911241</v>
      </c>
      <c r="J47" s="44">
        <f t="shared" si="14"/>
        <v>47482.299275378762</v>
      </c>
      <c r="K47" s="44">
        <f t="shared" si="14"/>
        <v>48583.233154420923</v>
      </c>
      <c r="L47" s="44">
        <f t="shared" si="14"/>
        <v>49262.412497369631</v>
      </c>
      <c r="M47" s="44">
        <f t="shared" si="14"/>
        <v>34391.999641783739</v>
      </c>
      <c r="N47" s="44">
        <f t="shared" si="14"/>
        <v>16220.719661012175</v>
      </c>
      <c r="O47" s="44">
        <f t="shared" si="14"/>
        <v>11876.584918464281</v>
      </c>
      <c r="P47" s="44">
        <f t="shared" si="14"/>
        <v>9280.9323176373509</v>
      </c>
      <c r="Q47" s="44">
        <f t="shared" si="14"/>
        <v>13986.355727880262</v>
      </c>
      <c r="R47" s="26"/>
      <c r="S47" s="28">
        <f>SUM(F47:Q47)</f>
        <v>340073.5403267736</v>
      </c>
      <c r="T47" s="28">
        <v>182131.0831689128</v>
      </c>
      <c r="U47" s="28">
        <f t="shared" si="1"/>
        <v>157942.4571578608</v>
      </c>
    </row>
    <row r="48" spans="1:21" ht="13.5" thickBot="1" x14ac:dyDescent="0.25">
      <c r="A48" s="21">
        <f>+MAX($A$1:A47)+1</f>
        <v>22</v>
      </c>
      <c r="B48" s="36" t="s">
        <v>28</v>
      </c>
      <c r="C48" s="53"/>
      <c r="D48" s="9" t="str">
        <f>"∑ Lines "&amp;$A$45&amp;":"&amp;$A$47&amp;""</f>
        <v>∑ Lines 19:21</v>
      </c>
      <c r="E48" s="54"/>
      <c r="F48" s="56">
        <f t="shared" ref="F48:Q48" si="15">SUM(F45:F47)</f>
        <v>3206864.8459181506</v>
      </c>
      <c r="G48" s="56">
        <f t="shared" si="15"/>
        <v>7818969.74795256</v>
      </c>
      <c r="H48" s="56">
        <f t="shared" si="15"/>
        <v>11460687.147064565</v>
      </c>
      <c r="I48" s="56">
        <f t="shared" si="15"/>
        <v>14669965.707939712</v>
      </c>
      <c r="J48" s="56">
        <f t="shared" si="15"/>
        <v>14748010.988477169</v>
      </c>
      <c r="K48" s="56">
        <f t="shared" si="15"/>
        <v>15352056.67009226</v>
      </c>
      <c r="L48" s="56">
        <f t="shared" si="15"/>
        <v>15168801.101602817</v>
      </c>
      <c r="M48" s="56">
        <f t="shared" si="15"/>
        <v>6138992.7383175679</v>
      </c>
      <c r="N48" s="56">
        <f>SUM(N45:N47)</f>
        <v>3910662.8232066464</v>
      </c>
      <c r="O48" s="56">
        <f t="shared" si="15"/>
        <v>3447554.9483907539</v>
      </c>
      <c r="P48" s="56">
        <f t="shared" si="15"/>
        <v>2302508.860815966</v>
      </c>
      <c r="Q48" s="56">
        <f t="shared" si="15"/>
        <v>6362831.5533945495</v>
      </c>
      <c r="R48" s="26"/>
      <c r="S48" s="56">
        <f>SUM(S45:S47)</f>
        <v>6362831.5533945477</v>
      </c>
      <c r="T48" s="56">
        <v>1652757.7287311256</v>
      </c>
      <c r="U48" s="56">
        <f t="shared" si="1"/>
        <v>4710073.8246634221</v>
      </c>
    </row>
    <row r="49" spans="1:21" ht="13.5" thickTop="1" x14ac:dyDescent="0.2">
      <c r="A49" s="21"/>
      <c r="B49" s="1"/>
      <c r="C49" s="1"/>
      <c r="D49" s="4"/>
      <c r="E49" s="1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3"/>
      <c r="S49" s="10"/>
      <c r="T49" s="10"/>
      <c r="U49" s="10"/>
    </row>
    <row r="50" spans="1:21" ht="25.5" x14ac:dyDescent="0.2">
      <c r="A50" s="21">
        <f>+MAX($A$1:A49)+1</f>
        <v>23</v>
      </c>
      <c r="B50" s="18" t="s">
        <v>29</v>
      </c>
      <c r="C50" s="1"/>
      <c r="D50" s="9" t="str">
        <f>"Line "&amp;$A$48&amp;" * (1 + 1.0388% / 12) ^ 3 - Line "&amp;$A$48&amp;""</f>
        <v>Line 22 * (1 + 1.0388% / 12) ^ 3 - Line 22</v>
      </c>
      <c r="E50" s="1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3"/>
      <c r="S50" s="30">
        <f>(S48)*(1+0.0388/12)^3-(S48)</f>
        <v>61919.240755791776</v>
      </c>
      <c r="T50" s="30">
        <v>16083.641827937681</v>
      </c>
      <c r="U50" s="30">
        <f t="shared" si="1"/>
        <v>45835.598927854095</v>
      </c>
    </row>
    <row r="51" spans="1:21" ht="25.5" x14ac:dyDescent="0.2">
      <c r="A51" s="21">
        <f>+MAX($A$1:A50)+1</f>
        <v>24</v>
      </c>
      <c r="B51" s="18" t="s">
        <v>30</v>
      </c>
      <c r="C51" s="1"/>
      <c r="D51" s="9" t="str">
        <f>"Line "&amp;$A$48&amp; " and " &amp;$A$50&amp;" * (1 + 1.0304% / 12) ^ 11 - Line "&amp;$A$48&amp; " and " &amp;$A$50&amp;""</f>
        <v>Line 22 and 23 * (1 + 1.0304% / 12) ^ 11 - Line 22 and 23</v>
      </c>
      <c r="E51" s="1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3"/>
      <c r="S51" s="30">
        <f>(S48+S50)*(1+0.0304/12)^11-(S48+S50)</f>
        <v>181321.50592714362</v>
      </c>
      <c r="T51" s="30">
        <v>47098.609760677209</v>
      </c>
      <c r="U51" s="30">
        <f t="shared" si="1"/>
        <v>134222.89616646641</v>
      </c>
    </row>
    <row r="52" spans="1:21" ht="12.75" x14ac:dyDescent="0.2">
      <c r="A52" s="21"/>
      <c r="B52" s="58"/>
      <c r="C52" s="1"/>
      <c r="E52" s="1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3"/>
      <c r="S52" s="59"/>
      <c r="T52" s="59"/>
      <c r="U52" s="59"/>
    </row>
    <row r="53" spans="1:21" ht="13.5" thickBot="1" x14ac:dyDescent="0.25">
      <c r="A53" s="21">
        <f>+MAX($A$1:A52)+1</f>
        <v>25</v>
      </c>
      <c r="B53" s="36" t="s">
        <v>31</v>
      </c>
      <c r="C53" s="1"/>
      <c r="D53" s="9" t="str">
        <f>"∑ Lines "&amp;$A$48&amp;":"&amp;A50&amp;""</f>
        <v>∑ Lines 22:23</v>
      </c>
      <c r="E53" s="1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3"/>
      <c r="S53" s="60">
        <f>SUM(S48:S52)</f>
        <v>6606072.3000774831</v>
      </c>
      <c r="T53" s="60">
        <v>1715939.9803197405</v>
      </c>
      <c r="U53" s="60">
        <f>S53-T53</f>
        <v>4890132.3197577428</v>
      </c>
    </row>
    <row r="54" spans="1:21" ht="13.5" thickTop="1" x14ac:dyDescent="0.2">
      <c r="A54" s="21"/>
      <c r="B54" s="17"/>
      <c r="C54" s="1"/>
      <c r="D54" s="4"/>
      <c r="E54" s="1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3"/>
      <c r="S54" s="10"/>
      <c r="T54" s="10"/>
      <c r="U54" s="10"/>
    </row>
    <row r="55" spans="1:21" ht="12.75" x14ac:dyDescent="0.2">
      <c r="A55" s="3" t="s">
        <v>32</v>
      </c>
      <c r="C55" s="1"/>
      <c r="D55" s="4"/>
      <c r="E55" s="1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3"/>
      <c r="S55" s="10"/>
      <c r="T55" s="10"/>
      <c r="U55" s="10"/>
    </row>
    <row r="56" spans="1:21" ht="12.75" x14ac:dyDescent="0.2">
      <c r="A56" s="61">
        <v>1</v>
      </c>
      <c r="B56" s="62" t="s">
        <v>33</v>
      </c>
      <c r="C56" s="22"/>
      <c r="E56" s="22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3"/>
      <c r="S56" s="10"/>
      <c r="T56" s="10"/>
      <c r="U56" s="10"/>
    </row>
    <row r="57" spans="1:21" ht="12.75" x14ac:dyDescent="0.2">
      <c r="A57" s="61"/>
      <c r="B57" s="62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3"/>
      <c r="S57" s="63"/>
      <c r="T57" s="63"/>
      <c r="U57" s="63"/>
    </row>
    <row r="58" spans="1:21" ht="12.75" x14ac:dyDescent="0.2">
      <c r="B58" s="62"/>
      <c r="R58" s="3"/>
      <c r="S58" s="63"/>
      <c r="T58" s="63"/>
      <c r="U58" s="63"/>
    </row>
    <row r="59" spans="1:21" ht="12.75" x14ac:dyDescent="0.2">
      <c r="A59" s="61"/>
      <c r="B59" s="62"/>
      <c r="R59" s="3"/>
      <c r="S59" s="63"/>
      <c r="T59" s="63"/>
      <c r="U59" s="63"/>
    </row>
    <row r="60" spans="1:21" ht="12.75" x14ac:dyDescent="0.2">
      <c r="A60" s="61"/>
      <c r="B60" s="6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3"/>
      <c r="S60" s="63"/>
      <c r="T60" s="63"/>
      <c r="U60" s="63"/>
    </row>
    <row r="61" spans="1:21" ht="12.75" x14ac:dyDescent="0.2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3"/>
      <c r="S61" s="63"/>
      <c r="T61" s="63"/>
      <c r="U61" s="63"/>
    </row>
    <row r="62" spans="1:21" ht="12.75" x14ac:dyDescent="0.2">
      <c r="R62" s="3"/>
      <c r="S62" s="63"/>
      <c r="T62" s="63"/>
      <c r="U62" s="63"/>
    </row>
    <row r="63" spans="1:21" ht="12.75" x14ac:dyDescent="0.2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3"/>
      <c r="S63" s="63"/>
      <c r="T63" s="63"/>
      <c r="U63" s="63"/>
    </row>
    <row r="64" spans="1:21" ht="12.75" x14ac:dyDescent="0.2">
      <c r="R64" s="3"/>
      <c r="S64" s="63"/>
      <c r="T64" s="63"/>
      <c r="U64" s="63"/>
    </row>
    <row r="65" spans="1:18" ht="12.75" x14ac:dyDescent="0.2">
      <c r="R65" s="3"/>
    </row>
    <row r="66" spans="1:18" ht="12.75" x14ac:dyDescent="0.2">
      <c r="R66" s="3"/>
    </row>
    <row r="67" spans="1:18" ht="12.75" x14ac:dyDescent="0.2">
      <c r="R67" s="3"/>
    </row>
    <row r="68" spans="1:18" ht="12.75" x14ac:dyDescent="0.2">
      <c r="R68" s="3"/>
    </row>
    <row r="69" spans="1:18" ht="12.75" x14ac:dyDescent="0.2">
      <c r="A69" s="8"/>
      <c r="B69" s="8"/>
      <c r="D69" s="8"/>
      <c r="R69" s="3"/>
    </row>
    <row r="70" spans="1:18" ht="12.75" x14ac:dyDescent="0.2">
      <c r="A70" s="8"/>
      <c r="B70" s="8"/>
      <c r="D70" s="8"/>
      <c r="R70" s="3"/>
    </row>
    <row r="71" spans="1:18" ht="12.75" x14ac:dyDescent="0.2">
      <c r="A71" s="8"/>
      <c r="B71" s="8"/>
      <c r="D71" s="8"/>
      <c r="R71" s="3"/>
    </row>
    <row r="72" spans="1:18" ht="12.75" x14ac:dyDescent="0.2">
      <c r="A72" s="8"/>
      <c r="B72" s="8"/>
      <c r="D72" s="8"/>
      <c r="R72" s="3"/>
    </row>
    <row r="73" spans="1:18" ht="12.75" x14ac:dyDescent="0.2">
      <c r="A73" s="8"/>
      <c r="B73" s="8"/>
      <c r="D73" s="8"/>
      <c r="R73" s="3"/>
    </row>
    <row r="74" spans="1:18" ht="12.75" x14ac:dyDescent="0.2">
      <c r="A74" s="8"/>
      <c r="B74" s="8"/>
      <c r="D74" s="8"/>
      <c r="R74" s="3"/>
    </row>
    <row r="75" spans="1:18" ht="12.75" x14ac:dyDescent="0.2">
      <c r="A75" s="8"/>
      <c r="B75" s="8"/>
      <c r="D75" s="8"/>
      <c r="R75" s="3"/>
    </row>
    <row r="76" spans="1:18" ht="12.75" x14ac:dyDescent="0.2">
      <c r="A76" s="8"/>
      <c r="B76" s="8"/>
      <c r="D76" s="8"/>
      <c r="R76" s="3"/>
    </row>
    <row r="77" spans="1:18" ht="12.75" x14ac:dyDescent="0.2">
      <c r="A77" s="8"/>
      <c r="B77" s="8"/>
      <c r="D77" s="8"/>
      <c r="R77" s="3"/>
    </row>
    <row r="78" spans="1:18" ht="12.75" x14ac:dyDescent="0.2">
      <c r="A78" s="8"/>
      <c r="B78" s="8"/>
      <c r="D78" s="8"/>
      <c r="R78" s="3"/>
    </row>
    <row r="79" spans="1:18" ht="12.75" x14ac:dyDescent="0.2">
      <c r="A79" s="8"/>
      <c r="B79" s="8"/>
      <c r="D79" s="8"/>
      <c r="R79" s="3"/>
    </row>
    <row r="80" spans="1:18" ht="12.75" x14ac:dyDescent="0.2">
      <c r="A80" s="8"/>
      <c r="B80" s="8"/>
      <c r="D80" s="8"/>
      <c r="R80" s="3"/>
    </row>
    <row r="81" spans="1:18" ht="12.75" x14ac:dyDescent="0.2">
      <c r="A81" s="8"/>
      <c r="B81" s="8"/>
      <c r="D81" s="8"/>
      <c r="R81" s="3"/>
    </row>
    <row r="82" spans="1:18" ht="12.75" x14ac:dyDescent="0.2">
      <c r="A82" s="8"/>
      <c r="B82" s="8"/>
      <c r="D82" s="8"/>
      <c r="R82" s="3"/>
    </row>
    <row r="83" spans="1:18" ht="12.75" x14ac:dyDescent="0.2">
      <c r="A83" s="8"/>
      <c r="B83" s="8"/>
      <c r="D83" s="8"/>
      <c r="R83" s="3"/>
    </row>
    <row r="84" spans="1:18" ht="12.75" x14ac:dyDescent="0.2">
      <c r="A84" s="8"/>
      <c r="B84" s="8"/>
      <c r="D84" s="8"/>
      <c r="R84" s="3"/>
    </row>
    <row r="85" spans="1:18" ht="12.75" x14ac:dyDescent="0.2">
      <c r="A85" s="8"/>
      <c r="B85" s="8"/>
      <c r="D85" s="8"/>
      <c r="R85" s="3"/>
    </row>
    <row r="86" spans="1:18" ht="12.75" x14ac:dyDescent="0.2">
      <c r="A86" s="8"/>
      <c r="B86" s="8"/>
      <c r="D86" s="8"/>
      <c r="R86" s="3"/>
    </row>
    <row r="87" spans="1:18" ht="12.75" x14ac:dyDescent="0.2">
      <c r="A87" s="8"/>
      <c r="B87" s="8"/>
      <c r="D87" s="8"/>
      <c r="R87" s="3"/>
    </row>
    <row r="88" spans="1:18" ht="12.75" x14ac:dyDescent="0.2">
      <c r="A88" s="8"/>
      <c r="B88" s="8"/>
      <c r="D88" s="8"/>
      <c r="R88" s="3"/>
    </row>
    <row r="89" spans="1:18" ht="12.75" x14ac:dyDescent="0.2">
      <c r="A89" s="8"/>
      <c r="B89" s="8"/>
      <c r="D89" s="8"/>
      <c r="R89" s="3"/>
    </row>
    <row r="90" spans="1:18" ht="12.75" x14ac:dyDescent="0.2">
      <c r="A90" s="8"/>
      <c r="B90" s="8"/>
      <c r="D90" s="8"/>
      <c r="R90" s="3"/>
    </row>
    <row r="91" spans="1:18" ht="12.75" x14ac:dyDescent="0.2">
      <c r="A91" s="8"/>
      <c r="B91" s="8"/>
      <c r="D91" s="8"/>
      <c r="R91" s="3"/>
    </row>
    <row r="92" spans="1:18" ht="12.75" x14ac:dyDescent="0.2">
      <c r="A92" s="8"/>
      <c r="B92" s="8"/>
      <c r="D92" s="8"/>
      <c r="R92" s="3"/>
    </row>
    <row r="93" spans="1:18" ht="12.75" x14ac:dyDescent="0.2">
      <c r="A93" s="8"/>
      <c r="B93" s="8"/>
      <c r="D93" s="8"/>
      <c r="R93" s="3"/>
    </row>
    <row r="94" spans="1:18" ht="12.75" x14ac:dyDescent="0.2">
      <c r="A94" s="8"/>
      <c r="B94" s="8"/>
      <c r="D94" s="8"/>
      <c r="R94" s="3"/>
    </row>
    <row r="95" spans="1:18" ht="12.75" x14ac:dyDescent="0.2">
      <c r="A95" s="8"/>
      <c r="B95" s="8"/>
      <c r="D95" s="8"/>
      <c r="R95" s="3"/>
    </row>
    <row r="96" spans="1:18" ht="12.75" x14ac:dyDescent="0.2">
      <c r="A96" s="8"/>
      <c r="B96" s="8"/>
      <c r="D96" s="8"/>
      <c r="R96" s="3"/>
    </row>
    <row r="97" spans="1:18" ht="12.75" x14ac:dyDescent="0.2">
      <c r="A97" s="8"/>
      <c r="B97" s="8"/>
      <c r="D97" s="8"/>
      <c r="R97" s="3"/>
    </row>
    <row r="98" spans="1:18" ht="12.75" x14ac:dyDescent="0.2">
      <c r="A98" s="8"/>
      <c r="B98" s="8"/>
      <c r="D98" s="8"/>
      <c r="R98" s="3"/>
    </row>
    <row r="99" spans="1:18" ht="12.75" x14ac:dyDescent="0.2">
      <c r="A99" s="8"/>
      <c r="B99" s="8"/>
      <c r="D99" s="8"/>
      <c r="R99" s="3"/>
    </row>
    <row r="100" spans="1:18" ht="12.75" x14ac:dyDescent="0.2">
      <c r="A100" s="8"/>
      <c r="B100" s="8"/>
      <c r="D100" s="8"/>
      <c r="R100" s="3"/>
    </row>
    <row r="101" spans="1:18" ht="12.75" x14ac:dyDescent="0.2">
      <c r="A101" s="8"/>
      <c r="B101" s="8"/>
      <c r="D101" s="8"/>
      <c r="R101" s="3"/>
    </row>
    <row r="102" spans="1:18" ht="12.75" x14ac:dyDescent="0.2">
      <c r="A102" s="8"/>
      <c r="B102" s="8"/>
      <c r="D102" s="8"/>
      <c r="R102" s="3"/>
    </row>
    <row r="103" spans="1:18" ht="12.75" x14ac:dyDescent="0.2">
      <c r="A103" s="8"/>
      <c r="B103" s="8"/>
      <c r="D103" s="8"/>
      <c r="R103" s="3"/>
    </row>
    <row r="104" spans="1:18" ht="12.75" x14ac:dyDescent="0.2">
      <c r="A104" s="8"/>
      <c r="B104" s="8"/>
      <c r="D104" s="8"/>
      <c r="R104" s="3"/>
    </row>
    <row r="105" spans="1:18" ht="12.75" x14ac:dyDescent="0.2">
      <c r="A105" s="8"/>
      <c r="B105" s="8"/>
      <c r="D105" s="8"/>
      <c r="R105" s="3"/>
    </row>
    <row r="106" spans="1:18" ht="12.75" x14ac:dyDescent="0.2">
      <c r="A106" s="8"/>
      <c r="B106" s="8"/>
      <c r="D106" s="8"/>
      <c r="R106" s="3"/>
    </row>
    <row r="107" spans="1:18" ht="12.75" x14ac:dyDescent="0.2">
      <c r="A107" s="8"/>
      <c r="B107" s="8"/>
      <c r="D107" s="8"/>
      <c r="R107" s="3"/>
    </row>
    <row r="108" spans="1:18" ht="12.75" x14ac:dyDescent="0.2">
      <c r="A108" s="8"/>
      <c r="B108" s="8"/>
      <c r="D108" s="8"/>
      <c r="R108" s="3"/>
    </row>
    <row r="109" spans="1:18" ht="12.75" x14ac:dyDescent="0.2">
      <c r="A109" s="8"/>
      <c r="B109" s="8"/>
      <c r="D109" s="8"/>
      <c r="R109" s="3"/>
    </row>
    <row r="110" spans="1:18" ht="12.75" x14ac:dyDescent="0.2">
      <c r="A110" s="8"/>
      <c r="B110" s="8"/>
      <c r="D110" s="8"/>
      <c r="R110" s="3"/>
    </row>
    <row r="111" spans="1:18" ht="12.75" x14ac:dyDescent="0.2">
      <c r="A111" s="8"/>
      <c r="B111" s="8"/>
      <c r="D111" s="8"/>
      <c r="R111" s="3"/>
    </row>
    <row r="112" spans="1:18" ht="12.75" x14ac:dyDescent="0.2">
      <c r="A112" s="8"/>
      <c r="B112" s="8"/>
      <c r="D112" s="8"/>
      <c r="R112" s="3"/>
    </row>
    <row r="113" spans="1:18" ht="12.75" x14ac:dyDescent="0.2">
      <c r="A113" s="8"/>
      <c r="B113" s="8"/>
      <c r="D113" s="8"/>
      <c r="R113" s="3"/>
    </row>
    <row r="114" spans="1:18" ht="12.75" x14ac:dyDescent="0.2">
      <c r="A114" s="8"/>
      <c r="B114" s="8"/>
      <c r="D114" s="8"/>
      <c r="R114" s="3"/>
    </row>
    <row r="115" spans="1:18" ht="12.75" x14ac:dyDescent="0.2">
      <c r="A115" s="8"/>
      <c r="B115" s="8"/>
      <c r="D115" s="8"/>
      <c r="R115" s="3"/>
    </row>
    <row r="116" spans="1:18" ht="12.75" x14ac:dyDescent="0.2">
      <c r="A116" s="8"/>
      <c r="B116" s="8"/>
      <c r="D116" s="8"/>
      <c r="R116" s="3"/>
    </row>
    <row r="117" spans="1:18" ht="12.75" x14ac:dyDescent="0.2">
      <c r="A117" s="8"/>
      <c r="B117" s="8"/>
      <c r="D117" s="8"/>
      <c r="R117" s="3"/>
    </row>
    <row r="118" spans="1:18" ht="12.75" x14ac:dyDescent="0.2">
      <c r="A118" s="8"/>
      <c r="B118" s="8"/>
      <c r="D118" s="8"/>
      <c r="R118" s="3"/>
    </row>
    <row r="119" spans="1:18" ht="12.75" x14ac:dyDescent="0.2">
      <c r="A119" s="8"/>
      <c r="B119" s="8"/>
      <c r="D119" s="8"/>
      <c r="R119" s="3"/>
    </row>
    <row r="120" spans="1:18" ht="12.75" x14ac:dyDescent="0.2">
      <c r="A120" s="8"/>
      <c r="B120" s="8"/>
      <c r="D120" s="8"/>
      <c r="R120" s="3"/>
    </row>
    <row r="121" spans="1:18" ht="12.75" x14ac:dyDescent="0.2">
      <c r="A121" s="8"/>
      <c r="B121" s="8"/>
      <c r="D121" s="8"/>
      <c r="R121" s="3"/>
    </row>
    <row r="122" spans="1:18" ht="12.75" x14ac:dyDescent="0.2">
      <c r="A122" s="8"/>
      <c r="B122" s="8"/>
      <c r="D122" s="8"/>
      <c r="R122" s="3"/>
    </row>
    <row r="123" spans="1:18" ht="12.75" x14ac:dyDescent="0.2">
      <c r="A123" s="8"/>
      <c r="B123" s="8"/>
      <c r="D123" s="8"/>
      <c r="R123" s="3"/>
    </row>
    <row r="124" spans="1:18" ht="12.75" x14ac:dyDescent="0.2">
      <c r="A124" s="8"/>
      <c r="B124" s="8"/>
      <c r="D124" s="8"/>
      <c r="R124" s="3"/>
    </row>
    <row r="125" spans="1:18" ht="12.75" x14ac:dyDescent="0.2">
      <c r="A125" s="8"/>
      <c r="B125" s="8"/>
      <c r="D125" s="8"/>
      <c r="R125" s="3"/>
    </row>
    <row r="126" spans="1:18" ht="12.75" x14ac:dyDescent="0.2">
      <c r="A126" s="8"/>
      <c r="B126" s="8"/>
      <c r="D126" s="8"/>
      <c r="R126" s="3"/>
    </row>
    <row r="127" spans="1:18" ht="12.75" x14ac:dyDescent="0.2">
      <c r="A127" s="8"/>
      <c r="B127" s="8"/>
      <c r="D127" s="8"/>
      <c r="R127" s="3"/>
    </row>
    <row r="128" spans="1:18" ht="12.75" x14ac:dyDescent="0.2">
      <c r="A128" s="8"/>
      <c r="B128" s="8"/>
      <c r="D128" s="8"/>
      <c r="R128" s="3"/>
    </row>
    <row r="129" spans="1:18" ht="12.75" x14ac:dyDescent="0.2">
      <c r="A129" s="8"/>
      <c r="B129" s="8"/>
      <c r="D129" s="8"/>
      <c r="R129" s="3"/>
    </row>
    <row r="130" spans="1:18" ht="12.75" x14ac:dyDescent="0.2">
      <c r="A130" s="8"/>
      <c r="B130" s="8"/>
      <c r="D130" s="8"/>
      <c r="R130" s="3"/>
    </row>
    <row r="131" spans="1:18" ht="12.75" x14ac:dyDescent="0.2">
      <c r="A131" s="8"/>
      <c r="B131" s="8"/>
      <c r="D131" s="8"/>
      <c r="R131" s="3"/>
    </row>
    <row r="132" spans="1:18" ht="12.75" x14ac:dyDescent="0.2">
      <c r="A132" s="8"/>
      <c r="B132" s="8"/>
      <c r="D132" s="8"/>
      <c r="R132" s="3"/>
    </row>
    <row r="133" spans="1:18" ht="12.75" x14ac:dyDescent="0.2">
      <c r="A133" s="8"/>
      <c r="B133" s="8"/>
      <c r="D133" s="8"/>
      <c r="R133" s="3"/>
    </row>
    <row r="134" spans="1:18" ht="12.75" x14ac:dyDescent="0.2">
      <c r="A134" s="8"/>
      <c r="B134" s="8"/>
      <c r="D134" s="8"/>
      <c r="R134" s="3"/>
    </row>
    <row r="135" spans="1:18" ht="12.75" x14ac:dyDescent="0.2">
      <c r="A135" s="8"/>
      <c r="B135" s="8"/>
      <c r="D135" s="8"/>
      <c r="R135" s="3"/>
    </row>
    <row r="136" spans="1:18" ht="12.75" x14ac:dyDescent="0.2">
      <c r="A136" s="8"/>
      <c r="B136" s="8"/>
      <c r="D136" s="8"/>
      <c r="R136" s="3"/>
    </row>
    <row r="137" spans="1:18" ht="12.75" x14ac:dyDescent="0.2">
      <c r="A137" s="8"/>
      <c r="B137" s="8"/>
      <c r="D137" s="8"/>
      <c r="R137" s="3"/>
    </row>
    <row r="138" spans="1:18" ht="12.75" x14ac:dyDescent="0.2">
      <c r="A138" s="8"/>
      <c r="B138" s="8"/>
      <c r="D138" s="8"/>
      <c r="R138" s="3"/>
    </row>
    <row r="139" spans="1:18" ht="12.75" x14ac:dyDescent="0.2">
      <c r="A139" s="8"/>
      <c r="B139" s="8"/>
      <c r="D139" s="8"/>
      <c r="R139" s="3"/>
    </row>
    <row r="140" spans="1:18" ht="12.75" x14ac:dyDescent="0.2">
      <c r="A140" s="8"/>
      <c r="B140" s="8"/>
      <c r="D140" s="8"/>
      <c r="R140" s="3"/>
    </row>
    <row r="141" spans="1:18" ht="12.75" x14ac:dyDescent="0.2">
      <c r="A141" s="8"/>
      <c r="B141" s="8"/>
      <c r="D141" s="8"/>
      <c r="R141" s="3"/>
    </row>
    <row r="142" spans="1:18" ht="12.75" x14ac:dyDescent="0.2">
      <c r="A142" s="8"/>
      <c r="B142" s="8"/>
      <c r="D142" s="8"/>
      <c r="R142" s="3"/>
    </row>
    <row r="143" spans="1:18" ht="12.75" x14ac:dyDescent="0.2">
      <c r="A143" s="8"/>
      <c r="B143" s="8"/>
      <c r="D143" s="8"/>
      <c r="R143" s="3"/>
    </row>
    <row r="144" spans="1:18" x14ac:dyDescent="0.2">
      <c r="A144" s="8"/>
      <c r="B144" s="8"/>
      <c r="D144" s="8"/>
    </row>
    <row r="145" spans="1:4" x14ac:dyDescent="0.2">
      <c r="A145" s="8"/>
      <c r="B145" s="8"/>
      <c r="D145" s="8"/>
    </row>
    <row r="146" spans="1:4" x14ac:dyDescent="0.2">
      <c r="A146" s="8"/>
      <c r="B146" s="8"/>
      <c r="D146" s="8"/>
    </row>
    <row r="147" spans="1:4" x14ac:dyDescent="0.2">
      <c r="A147" s="8"/>
      <c r="B147" s="8"/>
      <c r="D147" s="8"/>
    </row>
    <row r="148" spans="1:4" x14ac:dyDescent="0.2">
      <c r="A148" s="8"/>
      <c r="B148" s="8"/>
      <c r="D148" s="8"/>
    </row>
    <row r="149" spans="1:4" x14ac:dyDescent="0.2">
      <c r="A149" s="8"/>
      <c r="B149" s="8"/>
      <c r="D149" s="8"/>
    </row>
    <row r="150" spans="1:4" x14ac:dyDescent="0.2">
      <c r="A150" s="8"/>
      <c r="B150" s="8"/>
      <c r="D150" s="8"/>
    </row>
    <row r="151" spans="1:4" x14ac:dyDescent="0.2">
      <c r="A151" s="8"/>
      <c r="B151" s="8"/>
      <c r="D151" s="8"/>
    </row>
    <row r="152" spans="1:4" x14ac:dyDescent="0.2">
      <c r="A152" s="8"/>
      <c r="B152" s="8"/>
      <c r="D152" s="8"/>
    </row>
    <row r="153" spans="1:4" x14ac:dyDescent="0.2">
      <c r="A153" s="8"/>
      <c r="B153" s="8"/>
      <c r="D153" s="8"/>
    </row>
    <row r="154" spans="1:4" x14ac:dyDescent="0.2">
      <c r="A154" s="8"/>
      <c r="B154" s="8"/>
      <c r="D154" s="8"/>
    </row>
    <row r="155" spans="1:4" x14ac:dyDescent="0.2">
      <c r="A155" s="8"/>
      <c r="B155" s="8"/>
      <c r="D155" s="8"/>
    </row>
    <row r="156" spans="1:4" x14ac:dyDescent="0.2">
      <c r="A156" s="8"/>
      <c r="B156" s="8"/>
      <c r="D156" s="8"/>
    </row>
    <row r="157" spans="1:4" x14ac:dyDescent="0.2">
      <c r="A157" s="8"/>
      <c r="B157" s="8"/>
      <c r="D157" s="8"/>
    </row>
    <row r="158" spans="1:4" x14ac:dyDescent="0.2">
      <c r="A158" s="8"/>
      <c r="B158" s="8"/>
      <c r="D158" s="8"/>
    </row>
    <row r="159" spans="1:4" x14ac:dyDescent="0.2">
      <c r="A159" s="8"/>
      <c r="B159" s="8"/>
      <c r="D159" s="8"/>
    </row>
    <row r="160" spans="1:4" x14ac:dyDescent="0.2">
      <c r="A160" s="8"/>
      <c r="B160" s="8"/>
      <c r="D160" s="8"/>
    </row>
    <row r="161" spans="1:4" x14ac:dyDescent="0.2">
      <c r="A161" s="8"/>
      <c r="B161" s="8"/>
      <c r="D161" s="8"/>
    </row>
    <row r="162" spans="1:4" x14ac:dyDescent="0.2">
      <c r="A162" s="8"/>
      <c r="B162" s="8"/>
      <c r="D162" s="8"/>
    </row>
  </sheetData>
  <pageMargins left="0.25" right="0.25" top="0.5" bottom="0.25" header="0" footer="0.3"/>
  <pageSetup scale="48" fitToWidth="0" fitToHeight="0" orientation="landscape" r:id="rId1"/>
  <headerFooter alignWithMargins="0">
    <oddFooter>&amp;C&amp;"arial"&amp;11Exhibit 2 - Docket 09-035-15 Commission Order Calculation (Dynamic Annual Allocation Factor)&amp;R&amp;"arial"&amp;11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(Exh.1) Comm Ord Method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Jack</dc:creator>
  <cp:lastModifiedBy>Fred Nass</cp:lastModifiedBy>
  <cp:lastPrinted>2021-06-14T21:19:31Z</cp:lastPrinted>
  <dcterms:created xsi:type="dcterms:W3CDTF">2021-06-07T15:55:59Z</dcterms:created>
  <dcterms:modified xsi:type="dcterms:W3CDTF">2021-06-14T22:51:44Z</dcterms:modified>
</cp:coreProperties>
</file>