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Websites\Pscweb\utilities\electric\21docs\2103505\"/>
    </mc:Choice>
  </mc:AlternateContent>
  <bookViews>
    <workbookView xWindow="0" yWindow="0" windowWidth="19200" windowHeight="11595" activeTab="2"/>
  </bookViews>
  <sheets>
    <sheet name="Index" sheetId="1" r:id="rId1"/>
    <sheet name="RMP_(GB-1)" sheetId="2" r:id="rId2"/>
    <sheet name="RMP_(GB-2)" sheetId="3" r:id="rId3"/>
    <sheet name="Page 2.1" sheetId="4" r:id="rId4"/>
    <sheet name="Page 2.2" sheetId="5" r:id="rId5"/>
  </sheets>
  <externalReferences>
    <externalReference r:id="rId6"/>
    <externalReference r:id="rId7"/>
    <externalReference r:id="rId8"/>
    <externalReference r:id="rId9"/>
    <externalReference r:id="rId10"/>
    <externalReference r:id="rId11"/>
    <externalReference r:id="rId12"/>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localSheetId="0" hidden="1">{"PRINT",#N/A,TRUE,"APPA";"PRINT",#N/A,TRUE,"APS";"PRINT",#N/A,TRUE,"BHPL";"PRINT",#N/A,TRUE,"BHPL2";"PRINT",#N/A,TRUE,"CDWR";"PRINT",#N/A,TRUE,"EWEB";"PRINT",#N/A,TRUE,"LADWP";"PRINT",#N/A,TRUE,"NEVBASE"}</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0" hidden="1">{#N/A,#N/A,FALSE,"Summary";#N/A,#N/A,FALSE,"SmPlants";#N/A,#N/A,FALSE,"Utah";#N/A,#N/A,FALSE,"Idaho";#N/A,#N/A,FALSE,"Lewis River";#N/A,#N/A,FALSE,"NrthUmpq";#N/A,#N/A,FALSE,"KlamRog"}</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[1]Inputs!#REF!</definedName>
    <definedName name="__123Graph_A" localSheetId="3" hidden="1">[2]Inputs!#REF!</definedName>
    <definedName name="__123Graph_A" localSheetId="1" hidden="1">[2]Inputs!#REF!</definedName>
    <definedName name="__123Graph_A" localSheetId="2" hidden="1">[2]Inputs!#REF!</definedName>
    <definedName name="__123Graph_A" hidden="1">[2]Inputs!#REF!</definedName>
    <definedName name="__123Graph_B" localSheetId="0" hidden="1">[1]Inputs!#REF!</definedName>
    <definedName name="__123Graph_B" localSheetId="3" hidden="1">[2]Inputs!#REF!</definedName>
    <definedName name="__123Graph_B" localSheetId="1" hidden="1">[2]Inputs!#REF!</definedName>
    <definedName name="__123Graph_B" localSheetId="2" hidden="1">[2]Inputs!#REF!</definedName>
    <definedName name="__123Graph_B" hidden="1">[2]Inputs!#REF!</definedName>
    <definedName name="__123Graph_D" localSheetId="0" hidden="1">[1]Inputs!#REF!</definedName>
    <definedName name="__123Graph_D" localSheetId="3" hidden="1">[2]Inputs!#REF!</definedName>
    <definedName name="__123Graph_D" localSheetId="1" hidden="1">[2]Inputs!#REF!</definedName>
    <definedName name="__123Graph_D" localSheetId="2" hidden="1">[2]Inputs!#REF!</definedName>
    <definedName name="__123Graph_D" hidden="1">[2]Inputs!#REF!</definedName>
    <definedName name="__123Graph_E" localSheetId="0" hidden="1">[3]Input!$E$22:$E$37</definedName>
    <definedName name="__123Graph_E" hidden="1">[4]Input!$E$22:$E$37</definedName>
    <definedName name="__123Graph_F" localSheetId="0" hidden="1">[3]Input!$D$22:$D$37</definedName>
    <definedName name="__123Graph_F" hidden="1">[4]Input!$D$22:$D$37</definedName>
    <definedName name="__j1" localSheetId="0" hidden="1">{"PRINT",#N/A,TRUE,"APPA";"PRINT",#N/A,TRUE,"APS";"PRINT",#N/A,TRUE,"BHPL";"PRINT",#N/A,TRUE,"BHPL2";"PRINT",#N/A,TRUE,"CDWR";"PRINT",#N/A,TRUE,"EWEB";"PRINT",#N/A,TRUE,"LADWP";"PRINT",#N/A,TRUE,"NEVBASE"}</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localSheetId="3" hidden="1">#REF!</definedName>
    <definedName name="_Fill" localSheetId="1" hidden="1">#REF!</definedName>
    <definedName name="_Fill" localSheetId="2" hidden="1">#REF!</definedName>
    <definedName name="_Fill" hidden="1">#REF!</definedName>
    <definedName name="_xlnm._FilterDatabase" localSheetId="0" hidden="1">#REF!</definedName>
    <definedName name="_xlnm._FilterDatabase" localSheetId="3" hidden="1">#REF!</definedName>
    <definedName name="_xlnm._FilterDatabase" localSheetId="1" hidden="1">#REF!</definedName>
    <definedName name="_xlnm._FilterDatabase" localSheetId="2" hidden="1">#REF!</definedName>
    <definedName name="_xlnm._FilterDatabase" hidden="1">#REF!</definedName>
    <definedName name="_j1" localSheetId="0"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3" hidden="1">#REF!</definedName>
    <definedName name="_Key1" localSheetId="1" hidden="1">#REF!</definedName>
    <definedName name="_Key1" localSheetId="2" hidden="1">#REF!</definedName>
    <definedName name="_Key1" hidden="1">#REF!</definedName>
    <definedName name="_Key2" localSheetId="0" hidden="1">#REF!</definedName>
    <definedName name="_Key2" localSheetId="3" hidden="1">#REF!</definedName>
    <definedName name="_Key2" localSheetId="1" hidden="1">#REF!</definedName>
    <definedName name="_Key2" localSheetId="2" hidden="1">#REF!</definedName>
    <definedName name="_Key2" hidden="1">#REF!</definedName>
    <definedName name="_OM1" localSheetId="0" hidden="1">{#N/A,#N/A,FALSE,"Summary";#N/A,#N/A,FALSE,"SmPlants";#N/A,#N/A,FALSE,"Utah";#N/A,#N/A,FALSE,"Idaho";#N/A,#N/A,FALSE,"Lewis River";#N/A,#N/A,FALSE,"NrthUmpq";#N/A,#N/A,FALSE,"KlamRog"}</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localSheetId="0" hidden="1">0</definedName>
    <definedName name="_Order2" hidden="1">0</definedName>
    <definedName name="_Sort" localSheetId="0" hidden="1">#REF!</definedName>
    <definedName name="_Sort" localSheetId="3" hidden="1">#REF!</definedName>
    <definedName name="_Sort" localSheetId="1" hidden="1">#REF!</definedName>
    <definedName name="_Sort" localSheetId="2" hidden="1">#REF!</definedName>
    <definedName name="_Sort" hidden="1">#REF!</definedName>
    <definedName name="a" localSheetId="0" hidden="1">#REF!</definedName>
    <definedName name="Access_Button1" hidden="1">"Headcount_Workbook_Schedules_List"</definedName>
    <definedName name="AccessDatabase" hidden="1">"P:\HR\SharonPlummer\Headcount Workbook.mdb"</definedName>
    <definedName name="asa" localSheetId="0" hidden="1">{"Factors Pages 1-2",#N/A,FALSE,"Factors";"Factors Page 3",#N/A,FALSE,"Factors";"Factors Page 4",#N/A,FALSE,"Factors";"Factors Page 5",#N/A,FALSE,"Factors";"Factors Pages 8-27",#N/A,FALSE,"Factors"}</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localSheetId="0" hidden="1">{"PRINT",#N/A,TRUE,"APPA";"PRINT",#N/A,TRUE,"APS";"PRINT",#N/A,TRUE,"BHPL";"PRINT",#N/A,TRUE,"BHPL2";"PRINT",#N/A,TRUE,"CDWR";"PRINT",#N/A,TRUE,"EWEB";"PRINT",#N/A,TRUE,"LADWP";"PRINT",#N/A,TRUE,"NEVBASE"}</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0" hidden="1">{"YTD-Total",#N/A,TRUE,"Provision";"YTD-Utility",#N/A,TRUE,"Prov Utility";"YTD-NonUtility",#N/A,TRUE,"Prov NonUtility"}</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DUDE" localSheetId="0" hidden="1">#REF!</definedName>
    <definedName name="DUDE" localSheetId="3" hidden="1">#REF!</definedName>
    <definedName name="DUDE" localSheetId="1" hidden="1">#REF!</definedName>
    <definedName name="DUDE" localSheetId="2" hidden="1">#REF!</definedName>
    <definedName name="DUDE" hidden="1">#REF!</definedName>
    <definedName name="enrgy" localSheetId="0"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oo" localSheetId="0"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0" hidden="1">{#N/A,#N/A,FALSE,"Summary";#N/A,#N/A,FALSE,"SmPlants";#N/A,#N/A,FALSE,"Utah";#N/A,#N/A,FALSE,"Idaho";#N/A,#N/A,FALSE,"Lewis River";#N/A,#N/A,FALSE,"NrthUmpq";#N/A,#N/A,FALSE,"KlamRog"}</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0" hidden="1">{"PRINT",#N/A,TRUE,"APPA";"PRINT",#N/A,TRUE,"APS";"PRINT",#N/A,TRUE,"BHPL";"PRINT",#N/A,TRUE,"BHPL2";"PRINT",#N/A,TRUE,"CDWR";"PRINT",#N/A,TRUE,"EWEB";"PRINT",#N/A,TRUE,"LADWP";"PRINT",#N/A,TRUE,"NEVBASE"}</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0"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OHSch10YR" localSheetId="0" hidden="1">{#N/A,#N/A,FALSE,"Summary";#N/A,#N/A,FALSE,"SmPlants";#N/A,#N/A,FALSE,"Utah";#N/A,#N/A,FALSE,"Idaho";#N/A,#N/A,FALSE,"Lewis River";#N/A,#N/A,FALSE,"NrthUmpq";#N/A,#N/A,FALSE,"KlamRog"}</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0"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[5]Inputs!#REF!</definedName>
    <definedName name="PricingInfo" localSheetId="3" hidden="1">[1]Inputs!#REF!</definedName>
    <definedName name="PricingInfo" localSheetId="1" hidden="1">[1]Inputs!#REF!</definedName>
    <definedName name="PricingInfo" localSheetId="2" hidden="1">[1]Inputs!#REF!</definedName>
    <definedName name="PricingInfo" hidden="1">[1]Inputs!#REF!</definedName>
    <definedName name="_xlnm.Print_Area" localSheetId="3">'Page 2.1'!$A$1:$M$61</definedName>
    <definedName name="_xlnm.Print_Area" localSheetId="4">'Page 2.2'!$A$1:$L$43</definedName>
    <definedName name="_xlnm.Print_Area" localSheetId="1">'RMP_(GB-1)'!$A$1:$G$35</definedName>
    <definedName name="_xlnm.Print_Area" localSheetId="2">'RMP_(GB-2)'!$A$1:$P$77</definedName>
    <definedName name="retail" localSheetId="0"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localSheetId="0" hidden="1">{#N/A,#N/A,FALSE,"Actual";#N/A,#N/A,FALSE,"Normalized";#N/A,#N/A,FALSE,"Electric Actual";#N/A,#N/A,FALSE,"Electric Normalized"}</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localSheetId="0" hidden="1">{"YTD-Total",#N/A,FALSE,"Provision"}</definedName>
    <definedName name="standard1" localSheetId="3"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[6]Inputs!#REF!</definedName>
    <definedName name="w" localSheetId="3" hidden="1">[7]Inputs!#REF!</definedName>
    <definedName name="w" localSheetId="1" hidden="1">[7]Inputs!#REF!</definedName>
    <definedName name="w" localSheetId="2" hidden="1">[7]Inputs!#REF!</definedName>
    <definedName name="w" hidden="1">[7]Inputs!#REF!</definedName>
    <definedName name="wrn.1996._.Hydro._.5._.Year._.Forecast._.Budget." localSheetId="0" hidden="1">{#N/A,#N/A,FALSE,"Summary";#N/A,#N/A,FALSE,"SmPlants";#N/A,#N/A,FALSE,"Utah";#N/A,#N/A,FALSE,"Idaho";#N/A,#N/A,FALSE,"Lewis River";#N/A,#N/A,FALSE,"NrthUmpq";#N/A,#N/A,FALSE,"KlamRog"}</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0" hidden="1">{"Page 3.4.1",#N/A,FALSE,"Totals";"Page 3.4.2",#N/A,FALSE,"Totals"}</definedName>
    <definedName name="wrn.Adj._.Back_Up." localSheetId="3"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Sheet";#N/A,#N/A,FALSE,"T-Accounts";#N/A,#N/A,FALSE,"Expense Detail 10 01 to 3  02";#N/A,#N/A,FALSE,"Expense Detail 4 01 to 9 01";#N/A,#N/A,FALSE,"Three Factor % 3  2002"}</definedName>
    <definedName name="wrn.All._.Pages." localSheetId="3"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BUS._.RPT." localSheetId="0"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0" hidden="1">{#N/A,#N/A,TRUE,"Cover";#N/A,#N/A,TRUE,"Contents"}</definedName>
    <definedName name="wrn.Cover." localSheetId="3" hidden="1">{#N/A,#N/A,TRUE,"Cover";#N/A,#N/A,TRUE,"Contents"}</definedName>
    <definedName name="wrn.Cover." hidden="1">{#N/A,#N/A,TRUE,"Cover";#N/A,#N/A,TRUE,"Contents"}</definedName>
    <definedName name="wrn.CoverContents." localSheetId="0" hidden="1">{#N/A,#N/A,FALSE,"Cover";#N/A,#N/A,FALSE,"Contents"}</definedName>
    <definedName name="wrn.CoverContents." localSheetId="3" hidden="1">{#N/A,#N/A,FALSE,"Cover";#N/A,#N/A,FALSE,"Contents"}</definedName>
    <definedName name="wrn.CoverContents." hidden="1">{#N/A,#N/A,FALSE,"Cover";#N/A,#N/A,FALSE,"Contents"}</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0" hidden="1">{"FullView",#N/A,FALSE,"Consltd-For contngcy"}</definedName>
    <definedName name="wrn.Full._.View." localSheetId="3"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0" hidden="1">{"Open issues Only",#N/A,FALSE,"TIMELINE"}</definedName>
    <definedName name="wrn.Open._.Issues._.Only." localSheetId="3"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0" hidden="1">{#N/A,#N/A,FALSE,"Consltd-For contngcy";"PaymentView",#N/A,FALSE,"Consltd-For contngcy"}</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localSheetId="3" hidden="1">{"PFS recon view",#N/A,FALSE,"Hyperion Proof"}</definedName>
    <definedName name="wrn.PFSreconview." hidden="1">{"PFS recon view",#N/A,FALSE,"Hyperion Proof"}</definedName>
    <definedName name="wrn.PGHCreconview." localSheetId="0" hidden="1">{"PGHC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localSheetId="3" hidden="1">{#N/A,#N/A,FALSE,"PHI MTD";#N/A,#N/A,FALSE,"PHI YTD"}</definedName>
    <definedName name="wrn.PHI._.all._.other._.months." hidden="1">{#N/A,#N/A,FALSE,"PHI MTD";#N/A,#N/A,FALSE,"PHI YTD"}</definedName>
    <definedName name="wrn.PHI._.only." localSheetId="0" hidden="1">{#N/A,#N/A,FALSE,"PHI"}</definedName>
    <definedName name="wrn.PHI._.only." localSheetId="3" hidden="1">{#N/A,#N/A,FALSE,"PHI"}</definedName>
    <definedName name="wrn.PHI._.only." hidden="1">{#N/A,#N/A,FALSE,"PHI"}</definedName>
    <definedName name="wrn.PHI._.Sept._.Dec._.March." localSheetId="0" hidden="1">{#N/A,#N/A,FALSE,"PHI MTD";#N/A,#N/A,FALSE,"PHI QTD";#N/A,#N/A,FALSE,"PHI YTD"}</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localSheetId="3" hidden="1">{"PPM Co Code View",#N/A,FALSE,"Comp Codes"}</definedName>
    <definedName name="wrn.PPMCoCodeView." hidden="1">{"PPM Co Code View",#N/A,FALSE,"Comp Codes"}</definedName>
    <definedName name="wrn.PPMreconview." localSheetId="0" hidden="1">{"PPM Recon View",#N/A,FALSE,"Hyperion Proof"}</definedName>
    <definedName name="wrn.PPMreconview." localSheetId="3" hidden="1">{"PPM Recon View",#N/A,FALSE,"Hyperion Proof"}</definedName>
    <definedName name="wrn.PPMreconview." hidden="1">{"PPM Recon View",#N/A,FALSE,"Hyperion Proof"}</definedName>
    <definedName name="wrn.PRINT._.SOURCE._.DATA." localSheetId="3" hidden="1">{"DATA_SET",#N/A,FALSE,"HOURLY SPREAD"}</definedName>
    <definedName name="wrn.PRINT._.SOURCE._.DATA." hidden="1">{"DATA_SET",#N/A,FALSE,"HOURLY SPREAD"}</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0" hidden="1">{"Electric Only",#N/A,FALSE,"Hyperion Proof"}</definedName>
    <definedName name="wrn.ProofElectricOnly." localSheetId="3" hidden="1">{"Electric Only",#N/A,FALSE,"Hyperion Proof"}</definedName>
    <definedName name="wrn.ProofElectricOnly." hidden="1">{"Electric Only",#N/A,FALSE,"Hyperion Proof"}</definedName>
    <definedName name="wrn.ProofTotal." localSheetId="0" hidden="1">{"Proof Total",#N/A,FALSE,"Hyperion Proof"}</definedName>
    <definedName name="wrn.ProofTotal." localSheetId="3" hidden="1">{"Proof Total",#N/A,FALSE,"Hyperion Proof"}</definedName>
    <definedName name="wrn.ProofTotal." hidden="1">{"Proof Total",#N/A,FALSE,"Hyperion Proof"}</definedName>
    <definedName name="wrn.Reformat._.only." localSheetId="0" hidden="1">{#N/A,#N/A,FALSE,"Dec 1999 mapping"}</definedName>
    <definedName name="wrn.Reformat._.only." localSheetId="3"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0"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0" hidden="1">{"YTD-Total",#N/A,FALSE,"Provision"}</definedName>
    <definedName name="wrn.Standard." localSheetId="3" hidden="1">{"YTD-Total",#N/A,FALSE,"Provision"}</definedName>
    <definedName name="wrn.Standard." hidden="1">{"YTD-Total",#N/A,FALSE,"Provision"}</definedName>
    <definedName name="wrn.Standard._.NonUtility._.Only." localSheetId="0" hidden="1">{"YTD-NonUtility",#N/A,FALSE,"Prov NonUtility"}</definedName>
    <definedName name="wrn.Standard._.NonUtility._.Only." localSheetId="3"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localSheetId="3" hidden="1">{"YTD-Utility",#N/A,FALSE,"Prov Utility"}</definedName>
    <definedName name="wrn.Standard._.Utility._.Only." hidden="1">{"YTD-Utility",#N/A,FALSE,"Prov Utility"}</definedName>
    <definedName name="wrn.Summary." localSheetId="0" hidden="1">{"Table A",#N/A,FALSE,"Summary";"Table D",#N/A,FALSE,"Summary";"Table E",#N/A,FALSE,"Summary"}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0" hidden="1">{#N/A,#N/A,FALSE,"Consltd-For contngcy"}</definedName>
    <definedName name="wrn.Summary._.View." localSheetId="3" hidden="1">{#N/A,#N/A,FALSE,"Consltd-For contngcy"}</definedName>
    <definedName name="wrn.Summary._.View." hidden="1">{#N/A,#N/A,FALSE,"Consltd-For contngcy"}</definedName>
    <definedName name="wrn.Total._.Summary." localSheetId="0" hidden="1">{"Total Summary",#N/A,FALSE,"Summary"}</definedName>
    <definedName name="wrn.Total._.Summary." localSheetId="3" hidden="1">{"Total Summary",#N/A,FALSE,"Summary"}</definedName>
    <definedName name="wrn.Total._.Summary." hidden="1">{"Total Summary",#N/A,FALSE,"Summary"}</definedName>
    <definedName name="wrn.UK._.Conversion._.Only." localSheetId="0" hidden="1">{#N/A,#N/A,FALSE,"Dec 1999 UK Continuing Ops"}</definedName>
    <definedName name="wrn.UK._.Conversion._.Only." localSheetId="3"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0" hidden="1">#REF!</definedName>
    <definedName name="y" hidden="1">'[2]DSM Output'!$B$21:$B$23</definedName>
    <definedName name="z" localSheetId="0" hidden="1">#REF!</definedName>
    <definedName name="z" hidden="1">'[2]DSM Output'!$G$21:$G$23</definedName>
    <definedName name="Z_01844156_6462_4A28_9785_1A86F4D0C834_.wvu.PrintTitles" localSheetId="0" hidden="1">#REF!</definedName>
    <definedName name="Z_01844156_6462_4A28_9785_1A86F4D0C834_.wvu.PrintTitles" localSheetId="3" hidden="1">#REF!</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 i="5" l="1"/>
  <c r="F40" i="5"/>
  <c r="K40" i="5"/>
  <c r="H40" i="5"/>
  <c r="G40" i="5"/>
  <c r="I40" i="5"/>
  <c r="E40" i="5"/>
  <c r="K21" i="5"/>
  <c r="G21" i="5"/>
  <c r="I21" i="5"/>
  <c r="H21" i="5"/>
  <c r="E21" i="5"/>
  <c r="A10" i="5"/>
  <c r="J21" i="5"/>
  <c r="A2" i="5"/>
  <c r="A1" i="5"/>
  <c r="B104" i="4"/>
  <c r="B105" i="4" s="1"/>
  <c r="B106" i="4" s="1"/>
  <c r="B107" i="4" s="1"/>
  <c r="B108" i="4" s="1"/>
  <c r="B109" i="4" s="1"/>
  <c r="B110" i="4" s="1"/>
  <c r="B111" i="4" s="1"/>
  <c r="B112" i="4" s="1"/>
  <c r="B113" i="4" s="1"/>
  <c r="B114" i="4" s="1"/>
  <c r="B115" i="4" s="1"/>
  <c r="L42" i="4"/>
  <c r="K42" i="4"/>
  <c r="J42" i="4"/>
  <c r="I42" i="4"/>
  <c r="M41" i="4"/>
  <c r="A41" i="4"/>
  <c r="M37" i="4"/>
  <c r="M42" i="4" s="1"/>
  <c r="A34" i="4"/>
  <c r="A25" i="4"/>
  <c r="A20" i="4"/>
  <c r="E27" i="4"/>
  <c r="A10" i="4"/>
  <c r="E20" i="4"/>
  <c r="A5" i="4"/>
  <c r="A48" i="4"/>
  <c r="E51" i="3"/>
  <c r="D51" i="3"/>
  <c r="G48" i="3"/>
  <c r="F48" i="3"/>
  <c r="F51" i="3" s="1"/>
  <c r="D37" i="3"/>
  <c r="D32" i="3"/>
  <c r="O28" i="3"/>
  <c r="N28" i="3"/>
  <c r="M28" i="3"/>
  <c r="L28" i="3"/>
  <c r="K28" i="3"/>
  <c r="J28" i="3"/>
  <c r="I28" i="3"/>
  <c r="H28" i="3"/>
  <c r="G28" i="3"/>
  <c r="F28" i="3"/>
  <c r="E28" i="3"/>
  <c r="D28" i="3"/>
  <c r="P22" i="3"/>
  <c r="F15" i="2" s="1"/>
  <c r="B20" i="3"/>
  <c r="A14" i="3"/>
  <c r="A12" i="3"/>
  <c r="F9" i="3"/>
  <c r="E9" i="3"/>
  <c r="A7" i="3"/>
  <c r="A5" i="3"/>
  <c r="B40" i="3"/>
  <c r="B109" i="2"/>
  <c r="B110" i="2" s="1"/>
  <c r="B111" i="2" s="1"/>
  <c r="B112" i="2" s="1"/>
  <c r="B113" i="2" s="1"/>
  <c r="B114" i="2" s="1"/>
  <c r="B115" i="2" s="1"/>
  <c r="B116" i="2" s="1"/>
  <c r="B117" i="2" s="1"/>
  <c r="B118" i="2" s="1"/>
  <c r="B119" i="2" s="1"/>
  <c r="B108" i="2"/>
  <c r="F16" i="2"/>
  <c r="F11" i="2"/>
  <c r="A11" i="2"/>
  <c r="A12" i="2" s="1"/>
  <c r="A13" i="2" s="1"/>
  <c r="A14" i="2" s="1"/>
  <c r="A15" i="2" s="1"/>
  <c r="A16" i="2" s="1"/>
  <c r="A17" i="2" s="1"/>
  <c r="A18" i="2" s="1"/>
  <c r="A19" i="2" s="1"/>
  <c r="A20" i="2" s="1"/>
  <c r="A21" i="2" s="1"/>
  <c r="F10" i="2"/>
  <c r="A10" i="2"/>
  <c r="B15" i="2"/>
  <c r="F32" i="3" l="1"/>
  <c r="G9" i="3"/>
  <c r="B14" i="2"/>
  <c r="B12" i="2"/>
  <c r="B19" i="2"/>
  <c r="B16" i="2"/>
  <c r="B20" i="2"/>
  <c r="B17" i="2"/>
  <c r="B8" i="2"/>
  <c r="E34" i="4"/>
  <c r="D14" i="4"/>
  <c r="B21" i="2"/>
  <c r="G51" i="3"/>
  <c r="H48" i="3"/>
  <c r="B22" i="3"/>
  <c r="B37" i="3"/>
  <c r="E32" i="3"/>
  <c r="A16" i="3"/>
  <c r="A17" i="3" s="1"/>
  <c r="A14" i="4"/>
  <c r="A38" i="5"/>
  <c r="A36" i="5"/>
  <c r="A34" i="5"/>
  <c r="A32" i="5"/>
  <c r="A30" i="5"/>
  <c r="A28" i="5"/>
  <c r="A19" i="5"/>
  <c r="A17" i="5"/>
  <c r="A15" i="5"/>
  <c r="A13" i="5"/>
  <c r="A11" i="5"/>
  <c r="A9" i="5"/>
  <c r="A39" i="5"/>
  <c r="A37" i="5"/>
  <c r="A35" i="5"/>
  <c r="A33" i="5"/>
  <c r="A31" i="5"/>
  <c r="A29" i="5"/>
  <c r="A5" i="5"/>
  <c r="A20" i="5"/>
  <c r="A18" i="5"/>
  <c r="A16" i="5"/>
  <c r="A14" i="5"/>
  <c r="A12" i="5"/>
  <c r="A49" i="4"/>
  <c r="A44" i="4"/>
  <c r="A32" i="4"/>
  <c r="A27" i="4"/>
  <c r="A16" i="4"/>
  <c r="A12" i="4"/>
  <c r="A8" i="4"/>
  <c r="B18" i="4"/>
  <c r="A39" i="4"/>
  <c r="F21" i="5"/>
  <c r="L21" i="5"/>
  <c r="K23" i="5" s="1"/>
  <c r="J23" i="5"/>
  <c r="I23" i="5"/>
  <c r="A22" i="3" l="1"/>
  <c r="L40" i="5"/>
  <c r="G23" i="5"/>
  <c r="E23" i="5"/>
  <c r="H23" i="5"/>
  <c r="A18" i="3"/>
  <c r="I48" i="3"/>
  <c r="H51" i="3"/>
  <c r="F23" i="5"/>
  <c r="A20" i="3"/>
  <c r="G32" i="3"/>
  <c r="H9" i="3"/>
  <c r="L23" i="5" l="1"/>
  <c r="I51" i="3"/>
  <c r="J51" i="3" s="1"/>
  <c r="J48" i="3"/>
  <c r="F18" i="2" s="1"/>
  <c r="A24" i="3"/>
  <c r="E42" i="5"/>
  <c r="J42" i="5"/>
  <c r="K42" i="5"/>
  <c r="H42" i="5"/>
  <c r="I42" i="5"/>
  <c r="F42" i="5"/>
  <c r="G42" i="5"/>
  <c r="I9" i="3"/>
  <c r="G43" i="5" l="1"/>
  <c r="H32" i="3"/>
  <c r="H43" i="5"/>
  <c r="A28" i="3"/>
  <c r="K43" i="5"/>
  <c r="I32" i="3"/>
  <c r="J9" i="3"/>
  <c r="F43" i="5"/>
  <c r="J43" i="5"/>
  <c r="A30" i="3"/>
  <c r="I43" i="5"/>
  <c r="L42" i="5"/>
  <c r="E43" i="5"/>
  <c r="G18" i="4" l="1"/>
  <c r="K18" i="4"/>
  <c r="H18" i="4"/>
  <c r="L43" i="5"/>
  <c r="F18" i="4"/>
  <c r="I18" i="4"/>
  <c r="K9" i="3"/>
  <c r="J32" i="3"/>
  <c r="L18" i="4"/>
  <c r="A32" i="3"/>
  <c r="D54" i="4"/>
  <c r="E54" i="4" s="1"/>
  <c r="J18" i="4"/>
  <c r="A34" i="3" l="1"/>
  <c r="A37" i="3" s="1"/>
  <c r="A38" i="3" s="1"/>
  <c r="A51" i="3"/>
  <c r="K32" i="3"/>
  <c r="L9" i="3"/>
  <c r="A39" i="3"/>
  <c r="A40" i="3" s="1"/>
  <c r="A48" i="3" s="1"/>
  <c r="A50" i="3" s="1"/>
  <c r="G20" i="4"/>
  <c r="G27" i="4"/>
  <c r="G34" i="4"/>
  <c r="J20" i="4"/>
  <c r="J27" i="4"/>
  <c r="J34" i="4"/>
  <c r="I27" i="4"/>
  <c r="I20" i="4"/>
  <c r="I34" i="4"/>
  <c r="A52" i="3"/>
  <c r="A53" i="3" s="1"/>
  <c r="A57" i="3" s="1"/>
  <c r="A58" i="3" s="1"/>
  <c r="A59" i="3" s="1"/>
  <c r="L20" i="4"/>
  <c r="L27" i="4"/>
  <c r="L34" i="4"/>
  <c r="H20" i="4"/>
  <c r="H27" i="4"/>
  <c r="H34" i="4"/>
  <c r="E18" i="4"/>
  <c r="F27" i="4"/>
  <c r="F20" i="4"/>
  <c r="E29" i="4"/>
  <c r="E22" i="4"/>
  <c r="E36" i="4"/>
  <c r="F34" i="4"/>
  <c r="K20" i="4"/>
  <c r="K27" i="4"/>
  <c r="K34" i="4"/>
  <c r="M9" i="3" l="1"/>
  <c r="L32" i="3"/>
  <c r="L29" i="4"/>
  <c r="H29" i="4"/>
  <c r="E41" i="4"/>
  <c r="J29" i="4"/>
  <c r="E30" i="4"/>
  <c r="G29" i="4"/>
  <c r="K29" i="4"/>
  <c r="I29" i="4"/>
  <c r="F29" i="4"/>
  <c r="E32" i="4"/>
  <c r="L32" i="4"/>
  <c r="J22" i="4"/>
  <c r="J25" i="4" s="1"/>
  <c r="F22" i="4"/>
  <c r="F23" i="4" s="1"/>
  <c r="E23" i="4"/>
  <c r="E25" i="4" s="1"/>
  <c r="H22" i="4"/>
  <c r="H23" i="4" s="1"/>
  <c r="K22" i="4"/>
  <c r="K25" i="4" s="1"/>
  <c r="L22" i="4"/>
  <c r="L25" i="4" s="1"/>
  <c r="I22" i="4"/>
  <c r="I25" i="4" s="1"/>
  <c r="G22" i="4"/>
  <c r="G23" i="4" s="1"/>
  <c r="G25" i="4" s="1"/>
  <c r="J36" i="4"/>
  <c r="J39" i="4" s="1"/>
  <c r="F36" i="4"/>
  <c r="F37" i="4" s="1"/>
  <c r="F39" i="4" s="1"/>
  <c r="E37" i="4"/>
  <c r="E39" i="4" s="1"/>
  <c r="H36" i="4"/>
  <c r="H39" i="4" s="1"/>
  <c r="L36" i="4"/>
  <c r="L39" i="4" s="1"/>
  <c r="G36" i="4"/>
  <c r="I36" i="4"/>
  <c r="I39" i="4" s="1"/>
  <c r="K36" i="4"/>
  <c r="K39" i="4" s="1"/>
  <c r="G39" i="4"/>
  <c r="H41" i="4" l="1"/>
  <c r="F30" i="4"/>
  <c r="F32" i="4" s="1"/>
  <c r="F44" i="4" s="1"/>
  <c r="F25" i="4"/>
  <c r="G41" i="4"/>
  <c r="G30" i="4"/>
  <c r="G42" i="4" s="1"/>
  <c r="H42" i="4"/>
  <c r="H25" i="4"/>
  <c r="M34" i="4"/>
  <c r="M39" i="4" s="1"/>
  <c r="M44" i="4" s="1"/>
  <c r="E44" i="4"/>
  <c r="F42" i="4"/>
  <c r="I41" i="4"/>
  <c r="J41" i="4"/>
  <c r="M32" i="3"/>
  <c r="N9" i="3"/>
  <c r="I32" i="4"/>
  <c r="I44" i="4" s="1"/>
  <c r="G32" i="4"/>
  <c r="G44" i="4" s="1"/>
  <c r="K41" i="4"/>
  <c r="H32" i="4"/>
  <c r="H44" i="4" s="1"/>
  <c r="L44" i="4"/>
  <c r="J32" i="4"/>
  <c r="J44" i="4" s="1"/>
  <c r="F41" i="4"/>
  <c r="E42" i="4"/>
  <c r="L41" i="4"/>
  <c r="K32" i="4"/>
  <c r="K44" i="4" s="1"/>
  <c r="N32" i="3" l="1"/>
  <c r="O9" i="3"/>
  <c r="E48" i="4"/>
  <c r="D46" i="3" l="1"/>
  <c r="E46" i="3" s="1"/>
  <c r="F46" i="3" s="1"/>
  <c r="G46" i="3" s="1"/>
  <c r="H46" i="3" s="1"/>
  <c r="I46" i="3" s="1"/>
  <c r="P20" i="3"/>
  <c r="F14" i="2" s="1"/>
  <c r="E49" i="4"/>
  <c r="M14" i="3"/>
  <c r="M16" i="3" s="1"/>
  <c r="I14" i="3"/>
  <c r="I16" i="3" s="1"/>
  <c r="E14" i="3"/>
  <c r="E16" i="3" s="1"/>
  <c r="K14" i="3"/>
  <c r="K16" i="3" s="1"/>
  <c r="F14" i="3"/>
  <c r="F16" i="3" s="1"/>
  <c r="O14" i="3"/>
  <c r="J14" i="3"/>
  <c r="J16" i="3" s="1"/>
  <c r="D14" i="3"/>
  <c r="D16" i="3" s="1"/>
  <c r="N14" i="3"/>
  <c r="N16" i="3" s="1"/>
  <c r="H14" i="3"/>
  <c r="H16" i="3" s="1"/>
  <c r="L14" i="3"/>
  <c r="L16" i="3" s="1"/>
  <c r="G14" i="3"/>
  <c r="G16" i="3" s="1"/>
  <c r="J17" i="3" l="1"/>
  <c r="J18" i="3" s="1"/>
  <c r="J24" i="3" s="1"/>
  <c r="J34" i="3" s="1"/>
  <c r="J38" i="3" s="1"/>
  <c r="L17" i="3"/>
  <c r="L18" i="3" s="1"/>
  <c r="L24" i="3" s="1"/>
  <c r="L34" i="3" s="1"/>
  <c r="L38" i="3" s="1"/>
  <c r="E17" i="3"/>
  <c r="E18" i="3" s="1"/>
  <c r="E24" i="3" s="1"/>
  <c r="E34" i="3" s="1"/>
  <c r="E38" i="3" s="1"/>
  <c r="H18" i="3"/>
  <c r="H24" i="3" s="1"/>
  <c r="H34" i="3" s="1"/>
  <c r="H38" i="3" s="1"/>
  <c r="H17" i="3"/>
  <c r="I17" i="3"/>
  <c r="I18" i="3" s="1"/>
  <c r="I24" i="3" s="1"/>
  <c r="I34" i="3" s="1"/>
  <c r="I38" i="3" s="1"/>
  <c r="N17" i="3"/>
  <c r="N18" i="3" s="1"/>
  <c r="N24" i="3" s="1"/>
  <c r="N34" i="3" s="1"/>
  <c r="N38" i="3" s="1"/>
  <c r="F17" i="3"/>
  <c r="F18" i="3" s="1"/>
  <c r="F24" i="3" s="1"/>
  <c r="F34" i="3" s="1"/>
  <c r="F38" i="3" s="1"/>
  <c r="M17" i="3"/>
  <c r="M18" i="3" s="1"/>
  <c r="M24" i="3" s="1"/>
  <c r="M34" i="3" s="1"/>
  <c r="M38" i="3" s="1"/>
  <c r="O16" i="3"/>
  <c r="P12" i="3"/>
  <c r="G17" i="3"/>
  <c r="G18" i="3" s="1"/>
  <c r="G24" i="3" s="1"/>
  <c r="G34" i="3" s="1"/>
  <c r="G38" i="3" s="1"/>
  <c r="P16" i="3"/>
  <c r="F12" i="2" s="1"/>
  <c r="D17" i="3"/>
  <c r="D18" i="3" s="1"/>
  <c r="K17" i="3"/>
  <c r="K18" i="3"/>
  <c r="K24" i="3" s="1"/>
  <c r="K34" i="3" s="1"/>
  <c r="K38" i="3" s="1"/>
  <c r="O32" i="3"/>
  <c r="P32" i="3" s="1"/>
  <c r="P30" i="3"/>
  <c r="F17" i="2" s="1"/>
  <c r="D24" i="3" l="1"/>
  <c r="O17" i="3"/>
  <c r="O18" i="3" s="1"/>
  <c r="O24" i="3" l="1"/>
  <c r="O34" i="3" s="1"/>
  <c r="O38" i="3" s="1"/>
  <c r="P18" i="3"/>
  <c r="P17" i="3"/>
  <c r="F13" i="2" s="1"/>
  <c r="D34" i="3"/>
  <c r="D38" i="3" l="1"/>
  <c r="P34" i="3"/>
  <c r="P24" i="3"/>
  <c r="D39" i="3" l="1"/>
  <c r="D40" i="3" s="1"/>
  <c r="E37" i="3" s="1"/>
  <c r="P38" i="3"/>
  <c r="E39" i="3" l="1"/>
  <c r="E40" i="3" s="1"/>
  <c r="F37" i="3" s="1"/>
  <c r="F39" i="3" l="1"/>
  <c r="F40" i="3" l="1"/>
  <c r="G37" i="3" s="1"/>
  <c r="G39" i="3" l="1"/>
  <c r="G40" i="3" l="1"/>
  <c r="H37" i="3" s="1"/>
  <c r="H39" i="3" l="1"/>
  <c r="H40" i="3" s="1"/>
  <c r="I37" i="3" s="1"/>
  <c r="I39" i="3" l="1"/>
  <c r="I40" i="3" s="1"/>
  <c r="J37" i="3" s="1"/>
  <c r="J39" i="3" l="1"/>
  <c r="J40" i="3"/>
  <c r="K37" i="3" s="1"/>
  <c r="K39" i="3" l="1"/>
  <c r="K40" i="3" s="1"/>
  <c r="L37" i="3" s="1"/>
  <c r="L39" i="3" l="1"/>
  <c r="L40" i="3" s="1"/>
  <c r="M37" i="3" s="1"/>
  <c r="M39" i="3" l="1"/>
  <c r="M40" i="3" s="1"/>
  <c r="N37" i="3" s="1"/>
  <c r="N39" i="3" l="1"/>
  <c r="N40" i="3" s="1"/>
  <c r="O37" i="3" s="1"/>
  <c r="O39" i="3" l="1"/>
  <c r="P39" i="3" s="1"/>
  <c r="F19" i="2" s="1"/>
  <c r="O40" i="3" l="1"/>
  <c r="D50" i="3" s="1"/>
  <c r="D52" i="3" l="1"/>
  <c r="D53" i="3" s="1"/>
  <c r="E50" i="3" s="1"/>
  <c r="E52" i="3" l="1"/>
  <c r="E53" i="3" s="1"/>
  <c r="F50" i="3" s="1"/>
  <c r="F52" i="3" l="1"/>
  <c r="F53" i="3"/>
  <c r="G50" i="3" s="1"/>
  <c r="G52" i="3" l="1"/>
  <c r="G53" i="3" l="1"/>
  <c r="H50" i="3" s="1"/>
  <c r="H52" i="3" l="1"/>
  <c r="J52" i="3" s="1"/>
  <c r="F20" i="2" s="1"/>
  <c r="F21" i="2" s="1"/>
  <c r="H53" i="3" l="1"/>
  <c r="I50" i="3" s="1"/>
  <c r="I53" i="3" s="1"/>
</calcChain>
</file>

<file path=xl/sharedStrings.xml><?xml version="1.0" encoding="utf-8"?>
<sst xmlns="http://schemas.openxmlformats.org/spreadsheetml/2006/main" count="167" uniqueCount="119">
  <si>
    <t>Exhibit Index</t>
  </si>
  <si>
    <t>Description:</t>
  </si>
  <si>
    <t>Deferral Period:</t>
  </si>
  <si>
    <t>RMP__(GB-1)</t>
  </si>
  <si>
    <t>Summary of Utah REC Balancing Account</t>
  </si>
  <si>
    <t>RMP__(GB-2)</t>
  </si>
  <si>
    <t>Page 2.1</t>
  </si>
  <si>
    <t>Page 2.2</t>
  </si>
  <si>
    <t>Rocky Mountain Power</t>
  </si>
  <si>
    <t>Utah REC Balancing Account</t>
  </si>
  <si>
    <t>Summary of REC Balancing Account (Schedule 98)</t>
  </si>
  <si>
    <t>Line No.</t>
  </si>
  <si>
    <t>Reference</t>
  </si>
  <si>
    <t>2020 REC Revenue Deferred Balance @ December 31, 2019</t>
  </si>
  <si>
    <t>Docket No. 20-035-13, RMP_(GB-2), line 16</t>
  </si>
  <si>
    <t>True Up for using actual resource allocations for Nov.19 &amp; Dec.19</t>
  </si>
  <si>
    <t>GB-2, Footnote 3</t>
  </si>
  <si>
    <t>REC Revenue Deferred Balance @ December 31, 2019 in this RBA filing</t>
  </si>
  <si>
    <t>GB-2, Line 13</t>
  </si>
  <si>
    <t>GB-2, Line 3</t>
  </si>
  <si>
    <t xml:space="preserve">10% retention incentive on incremental REC sales </t>
  </si>
  <si>
    <t>GB-2, Line 4</t>
  </si>
  <si>
    <t>GB-2, Line 6</t>
  </si>
  <si>
    <t>GB-2, Line 7</t>
  </si>
  <si>
    <t>GB-2, Line 9</t>
  </si>
  <si>
    <t>GB-2, Line 10</t>
  </si>
  <si>
    <t>Estimated Schedule 98 Surcharge/(Surcredit) January 2020 to May 2020</t>
  </si>
  <si>
    <t>GB-2, Line 17</t>
  </si>
  <si>
    <t>GB-2, Line 15</t>
  </si>
  <si>
    <t>GB-2, Line 20</t>
  </si>
  <si>
    <t>Total</t>
  </si>
  <si>
    <t>Actual REC Revenue</t>
  </si>
  <si>
    <t>Total Company REC Revenue</t>
  </si>
  <si>
    <t>SAP Actuals</t>
  </si>
  <si>
    <t>Allocation Rate</t>
  </si>
  <si>
    <t>Utah Allocated</t>
  </si>
  <si>
    <t>Line 1 * Line 2</t>
  </si>
  <si>
    <t xml:space="preserve"> 10% incentive </t>
  </si>
  <si>
    <t>Line 3 * 10%, Footnote 1</t>
  </si>
  <si>
    <t>Net Utah Allocated REC Revenue</t>
  </si>
  <si>
    <t>Line 3 - Line 4</t>
  </si>
  <si>
    <t>Total Utah Allocated REC Revenue</t>
  </si>
  <si>
    <t>Line 5 + Line 6 + Line 7</t>
  </si>
  <si>
    <t>REC Revenue in Rates</t>
  </si>
  <si>
    <t>Docket No. 13-035-184 Projected UT Allocated</t>
  </si>
  <si>
    <t>Footnote 2</t>
  </si>
  <si>
    <t xml:space="preserve">Schedule 98 Surcredits/(Surcharges) </t>
  </si>
  <si>
    <t>Actual Surcredits/(Surcharges) Billed</t>
  </si>
  <si>
    <t>Total in Rates</t>
  </si>
  <si>
    <t>Line 9 + line 10</t>
  </si>
  <si>
    <t>Monthly Deferral Amount</t>
  </si>
  <si>
    <t>Line 8 - Line 11</t>
  </si>
  <si>
    <t>Footnote 3</t>
  </si>
  <si>
    <t>Monthly Deferral</t>
  </si>
  <si>
    <t>Line 12</t>
  </si>
  <si>
    <t>Carrying Charge</t>
  </si>
  <si>
    <t>Footnotes 4 and 5</t>
  </si>
  <si>
    <t>Line 13 + Line 14 + Line 15</t>
  </si>
  <si>
    <t>Interim Period - Jan - June 2021</t>
  </si>
  <si>
    <t>Beginning Deferral Balance</t>
  </si>
  <si>
    <t>Line 16</t>
  </si>
  <si>
    <t>Monthly Deferral Balance</t>
  </si>
  <si>
    <t>Line 17</t>
  </si>
  <si>
    <t>Footnote 5 &amp; 6</t>
  </si>
  <si>
    <t>Ending Deferral Balance -</t>
  </si>
  <si>
    <t>Line 18 + Line 19 + Line 20</t>
  </si>
  <si>
    <t>Carrying Charge Rates</t>
  </si>
  <si>
    <t>Carrying Charge Rate (Apr 2019 - Mar 2020)</t>
  </si>
  <si>
    <t>Footnote 4</t>
  </si>
  <si>
    <t>Carrying Charge Rate (Apr 2020- Mar 2021)</t>
  </si>
  <si>
    <t>Footnote 5</t>
  </si>
  <si>
    <t>Carrying Charge Rate (Apr 2021- Jun 2021)</t>
  </si>
  <si>
    <t>Footnote 6</t>
  </si>
  <si>
    <r>
      <t>FOOTNOTES:
1) The Stipulation in Docket No. 11-035-200, paragraph 39 permits the Company to retain 10% of Utah-allocated REC revenue received after May 31, 2013, incremental to certain contracts executed before July 1, 2012.  The excludable contracts listed in Exhibit B to the 2012 GRC stipulation terminated during 2012, all REC revenue booked January 1,2019 through December 31, 2019 is eligible for the 10% incentive.    
2) The REC revenue in rates for January 1, 2020 through December 31, 2020 is consistent with the stipulation in Docket No. 13-035-184, page 9, paragraph 29 ($2 million Utah allocated per year).
3) The beginning balance shown for January 2019 represents the $670,986 ending December 31, 2019 balance from Docket No. 20-035-13, plus a true up $6 related to replace the November 2019 and December 2019 resource allocation estimates with actual resource allocated for November 2019 and December 2019.
4) The carrying charge of 4.37 percent applied to April 2019 through March 2020 represents the carrying charge determinded in Docket No. 19-035-T03 with an effective April 1, 2019 thorugh March 31, 2020. 
5) The carrying charge of 3.88 percent applied to April 2020 through March 2021 represents the carrying charge determinded in Docket No. 20-035-T01 with an effective April 1, 2020 thorugh March 31, 2021.
6) The carrying charge of 3.04 percent applied to April 2021 through June 2021 represents the carrying charge determinded in Docket No. 21-035-T01 with an effective April 1, 2021 thorugh March 31, 2022.</t>
    </r>
    <r>
      <rPr>
        <sz val="10"/>
        <color rgb="FFFF0000"/>
        <rFont val="Arial"/>
        <family val="2"/>
      </rPr>
      <t xml:space="preserve">
</t>
    </r>
    <r>
      <rPr>
        <sz val="10"/>
        <rFont val="Arial"/>
        <family val="2"/>
      </rPr>
      <t xml:space="preserve">
</t>
    </r>
  </si>
  <si>
    <t xml:space="preserve"> </t>
  </si>
  <si>
    <t>Factor</t>
  </si>
  <si>
    <t>California</t>
  </si>
  <si>
    <t>Oregon</t>
  </si>
  <si>
    <t>Washington</t>
  </si>
  <si>
    <t>Wyoming</t>
  </si>
  <si>
    <t>Utah</t>
  </si>
  <si>
    <t>Idaho</t>
  </si>
  <si>
    <t>FERC</t>
  </si>
  <si>
    <t>Other</t>
  </si>
  <si>
    <t>SG</t>
  </si>
  <si>
    <t>Adjustment for RPS/Commission Order</t>
  </si>
  <si>
    <t>Situs</t>
  </si>
  <si>
    <t>(A)</t>
  </si>
  <si>
    <t>(B)</t>
  </si>
  <si>
    <t>C = B / A</t>
  </si>
  <si>
    <t>D = C * A</t>
  </si>
  <si>
    <t>SG Factor</t>
  </si>
  <si>
    <t>Leaning Juniper Revenue - amounts booked in SAP</t>
  </si>
  <si>
    <t xml:space="preserve">Utah allocated Leaning Juniper Revenue </t>
  </si>
  <si>
    <t>Coincident Peaks:</t>
  </si>
  <si>
    <t>Year</t>
  </si>
  <si>
    <t>Month</t>
  </si>
  <si>
    <t>Day</t>
  </si>
  <si>
    <t>hour</t>
  </si>
  <si>
    <t>CA</t>
  </si>
  <si>
    <t>OR</t>
  </si>
  <si>
    <t>WA</t>
  </si>
  <si>
    <t>UT</t>
  </si>
  <si>
    <t>ID</t>
  </si>
  <si>
    <t>WY</t>
  </si>
  <si>
    <t>Total 12 CP</t>
  </si>
  <si>
    <t>System Capacity Factor</t>
  </si>
  <si>
    <t>Energy:</t>
  </si>
  <si>
    <t>Total Energy</t>
  </si>
  <si>
    <t>System Energy Factor</t>
  </si>
  <si>
    <t>System Generation Factor</t>
  </si>
  <si>
    <t>REC Balancing Account (Schedule 98) Filing March 13, 2021</t>
  </si>
  <si>
    <t>January 1, 2020 - December 31, 2020</t>
  </si>
  <si>
    <t>Calculation of REC Revenue Deferred Balance - Calendar Year 2020</t>
  </si>
  <si>
    <t>Calculation of Utah Allocated Actual REC Revenue for CY 2020</t>
  </si>
  <si>
    <t>Calculation of Utah CY 2020 Actual Allocation Factors</t>
  </si>
  <si>
    <t>March 13, 2021</t>
  </si>
  <si>
    <t>2021 RBA - Deferral Period</t>
  </si>
  <si>
    <t>March 15,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</si>
</sst>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_(* #,##0.0000_);_(* \(#,##0.0000\);_(* &quot;-&quot;??_);_(@_)"/>
    <numFmt numFmtId="168" formatCode="[$-409]mmm\-yy;@"/>
    <numFmt numFmtId="169" formatCode="0.000%"/>
    <numFmt numFmtId="170" formatCode="[$-409]mmmm\ d\,\ yyyy;@"/>
    <numFmt numFmtId="171" formatCode="#,##0.0"/>
    <numFmt numFmtId="172" formatCode="_(* #,##0.0_);_(* \(#,##0.0\);_(* &quot;-&quot;?_);_(@_)"/>
    <numFmt numFmtId="173" formatCode="0.0000%"/>
  </numFmts>
  <fonts count="17" x14ac:knownFonts="1">
    <font>
      <sz val="11"/>
      <color theme="1"/>
      <name val="Calibri"/>
      <family val="2"/>
      <scheme val="minor"/>
    </font>
    <font>
      <sz val="11"/>
      <color theme="1"/>
      <name val="Calibri"/>
      <family val="2"/>
      <scheme val="minor"/>
    </font>
    <font>
      <sz val="10"/>
      <name val="Arial"/>
      <family val="2"/>
    </font>
    <font>
      <b/>
      <sz val="10"/>
      <name val="Arial"/>
      <family val="2"/>
    </font>
    <font>
      <b/>
      <sz val="10"/>
      <name val="Arial Black"/>
      <family val="2"/>
    </font>
    <font>
      <b/>
      <sz val="10"/>
      <color theme="1"/>
      <name val="Arial"/>
      <family val="2"/>
    </font>
    <font>
      <sz val="10"/>
      <color theme="1"/>
      <name val="Arial"/>
      <family val="2"/>
    </font>
    <font>
      <i/>
      <sz val="10"/>
      <color theme="1"/>
      <name val="Arial"/>
      <family val="2"/>
    </font>
    <font>
      <sz val="10"/>
      <color rgb="FF0000FF"/>
      <name val="Arial"/>
      <family val="2"/>
    </font>
    <font>
      <sz val="10"/>
      <color rgb="FFFF0000"/>
      <name val="Arial"/>
      <family val="2"/>
    </font>
    <font>
      <i/>
      <sz val="10"/>
      <name val="Arial"/>
      <family val="2"/>
    </font>
    <font>
      <b/>
      <sz val="10"/>
      <color rgb="FFFF0000"/>
      <name val="Arial"/>
      <family val="2"/>
    </font>
    <font>
      <b/>
      <sz val="10"/>
      <color rgb="FF0000FF"/>
      <name val="Arial"/>
      <family val="2"/>
    </font>
    <font>
      <b/>
      <sz val="8"/>
      <name val="Arial"/>
      <family val="2"/>
    </font>
    <font>
      <sz val="8"/>
      <name val="Arial"/>
      <family val="2"/>
    </font>
    <font>
      <sz val="12"/>
      <color theme="1"/>
      <name val="Times New Roman"/>
      <family val="1"/>
    </font>
    <font>
      <u/>
      <sz val="10"/>
      <name val="Arial"/>
      <family val="2"/>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02">
    <xf numFmtId="0" fontId="0" fillId="0" borderId="0" xfId="0"/>
    <xf numFmtId="0" fontId="3" fillId="0" borderId="0" xfId="4" applyFont="1" applyAlignment="1">
      <alignment horizontal="centerContinuous"/>
    </xf>
    <xf numFmtId="0" fontId="2" fillId="0" borderId="0" xfId="4" applyAlignment="1">
      <alignment horizontal="centerContinuous"/>
    </xf>
    <xf numFmtId="0" fontId="2" fillId="0" borderId="0" xfId="4"/>
    <xf numFmtId="0" fontId="3" fillId="0" borderId="0" xfId="4" applyFont="1" applyAlignment="1">
      <alignment horizontal="left" wrapText="1"/>
    </xf>
    <xf numFmtId="0" fontId="3" fillId="0" borderId="0" xfId="4" applyFont="1"/>
    <xf numFmtId="0" fontId="2" fillId="0" borderId="0" xfId="4" applyAlignment="1">
      <alignment horizontal="center" wrapText="1"/>
    </xf>
    <xf numFmtId="0" fontId="2" fillId="0" borderId="0" xfId="4" applyAlignment="1">
      <alignment horizontal="left"/>
    </xf>
    <xf numFmtId="0" fontId="3" fillId="0" borderId="0" xfId="4" applyFont="1" applyAlignment="1">
      <alignment horizontal="center" wrapText="1"/>
    </xf>
    <xf numFmtId="0" fontId="3" fillId="0" borderId="0" xfId="4" applyFont="1" applyAlignment="1">
      <alignment horizontal="left"/>
    </xf>
    <xf numFmtId="0" fontId="2" fillId="0" borderId="0" xfId="4" applyAlignment="1">
      <alignment horizontal="center"/>
    </xf>
    <xf numFmtId="0" fontId="4" fillId="0" borderId="0" xfId="4" applyFont="1" applyAlignment="1">
      <alignment horizontal="center" wrapText="1"/>
    </xf>
    <xf numFmtId="0" fontId="4" fillId="0" borderId="0" xfId="4" applyFont="1" applyAlignment="1">
      <alignment horizontal="left"/>
    </xf>
    <xf numFmtId="0" fontId="5" fillId="0" borderId="0" xfId="0" applyFont="1"/>
    <xf numFmtId="0" fontId="6" fillId="0" borderId="0" xfId="0" applyFont="1"/>
    <xf numFmtId="15" fontId="6" fillId="0" borderId="0" xfId="0" quotePrefix="1" applyNumberFormat="1" applyFont="1"/>
    <xf numFmtId="0" fontId="7" fillId="0" borderId="0" xfId="0" applyFont="1"/>
    <xf numFmtId="0" fontId="6" fillId="0" borderId="0" xfId="0" applyFont="1" applyAlignment="1">
      <alignment horizontal="center"/>
    </xf>
    <xf numFmtId="0" fontId="6" fillId="0" borderId="0" xfId="0" applyFont="1" applyAlignment="1">
      <alignment horizontal="left" indent="1"/>
    </xf>
    <xf numFmtId="164" fontId="2" fillId="0" borderId="0" xfId="2" applyNumberFormat="1" applyFont="1" applyFill="1"/>
    <xf numFmtId="165" fontId="6" fillId="0" borderId="1" xfId="1" applyNumberFormat="1" applyFont="1" applyFill="1" applyBorder="1"/>
    <xf numFmtId="165" fontId="6" fillId="0" borderId="0" xfId="1" applyNumberFormat="1" applyFont="1" applyFill="1"/>
    <xf numFmtId="166" fontId="6" fillId="0" borderId="0" xfId="0" applyNumberFormat="1" applyFont="1"/>
    <xf numFmtId="164" fontId="5" fillId="0" borderId="2" xfId="2" applyNumberFormat="1" applyFont="1" applyFill="1" applyBorder="1"/>
    <xf numFmtId="44" fontId="6" fillId="0" borderId="0" xfId="0" applyNumberFormat="1" applyFont="1"/>
    <xf numFmtId="43" fontId="0" fillId="0" borderId="0" xfId="1" applyFont="1"/>
    <xf numFmtId="43" fontId="6" fillId="0" borderId="0" xfId="1" applyFont="1" applyFill="1" applyBorder="1"/>
    <xf numFmtId="0" fontId="5" fillId="0" borderId="0" xfId="0" applyFont="1" applyAlignment="1">
      <alignment horizontal="center" wrapText="1"/>
    </xf>
    <xf numFmtId="0" fontId="5" fillId="0" borderId="0" xfId="0" applyFont="1" applyAlignment="1">
      <alignment horizontal="center"/>
    </xf>
    <xf numFmtId="165" fontId="8" fillId="0" borderId="0" xfId="1" applyNumberFormat="1" applyFont="1" applyFill="1" applyBorder="1"/>
    <xf numFmtId="165" fontId="6" fillId="0" borderId="0" xfId="1" applyNumberFormat="1" applyFont="1" applyFill="1" applyBorder="1"/>
    <xf numFmtId="165" fontId="6" fillId="0" borderId="0" xfId="0" applyNumberFormat="1" applyFont="1"/>
    <xf numFmtId="0" fontId="3" fillId="0" borderId="0" xfId="0" applyFont="1"/>
    <xf numFmtId="0" fontId="2" fillId="0" borderId="0" xfId="0" applyFont="1"/>
    <xf numFmtId="0" fontId="9" fillId="0" borderId="0" xfId="0" applyFont="1"/>
    <xf numFmtId="15" fontId="2" fillId="0" borderId="0" xfId="0" quotePrefix="1" applyNumberFormat="1" applyFont="1"/>
    <xf numFmtId="0" fontId="10" fillId="0" borderId="0" xfId="0" applyFont="1"/>
    <xf numFmtId="165" fontId="6" fillId="0" borderId="6" xfId="1" applyNumberFormat="1" applyFont="1" applyFill="1" applyBorder="1"/>
    <xf numFmtId="0" fontId="6" fillId="0" borderId="7" xfId="0" applyFont="1" applyBorder="1"/>
    <xf numFmtId="168" fontId="3" fillId="0" borderId="1" xfId="0" applyNumberFormat="1" applyFont="1" applyBorder="1" applyAlignment="1">
      <alignment horizontal="center"/>
    </xf>
    <xf numFmtId="168" fontId="3" fillId="0" borderId="1" xfId="0" applyNumberFormat="1" applyFont="1" applyBorder="1" applyAlignment="1">
      <alignment horizontal="left"/>
    </xf>
    <xf numFmtId="168" fontId="5" fillId="0" borderId="8" xfId="0" applyNumberFormat="1" applyFont="1" applyBorder="1" applyAlignment="1">
      <alignment horizontal="center"/>
    </xf>
    <xf numFmtId="168" fontId="5" fillId="0" borderId="1" xfId="0" applyNumberFormat="1" applyFont="1" applyBorder="1" applyAlignment="1">
      <alignment horizontal="center"/>
    </xf>
    <xf numFmtId="168" fontId="5" fillId="0" borderId="9" xfId="0" applyNumberFormat="1" applyFont="1" applyBorder="1" applyAlignment="1">
      <alignment horizontal="center"/>
    </xf>
    <xf numFmtId="0" fontId="5" fillId="0" borderId="1" xfId="0" applyFont="1" applyBorder="1" applyAlignment="1">
      <alignment horizontal="center"/>
    </xf>
    <xf numFmtId="0" fontId="6" fillId="0" borderId="6" xfId="0" applyFont="1" applyBorder="1"/>
    <xf numFmtId="0" fontId="2" fillId="0" borderId="0" xfId="0" applyFont="1" applyAlignment="1">
      <alignment horizontal="center"/>
    </xf>
    <xf numFmtId="165" fontId="6" fillId="0" borderId="7" xfId="1" applyNumberFormat="1" applyFont="1" applyFill="1" applyBorder="1"/>
    <xf numFmtId="43" fontId="2" fillId="0" borderId="0" xfId="1" applyFont="1" applyFill="1" applyAlignment="1"/>
    <xf numFmtId="0" fontId="2" fillId="0" borderId="0" xfId="0" applyFont="1" applyAlignment="1">
      <alignment horizontal="left"/>
    </xf>
    <xf numFmtId="165" fontId="6" fillId="0" borderId="6" xfId="0" applyNumberFormat="1" applyFont="1" applyBorder="1"/>
    <xf numFmtId="165" fontId="6" fillId="0" borderId="7" xfId="0" applyNumberFormat="1" applyFont="1" applyBorder="1"/>
    <xf numFmtId="165" fontId="9" fillId="0" borderId="0" xfId="0" applyNumberFormat="1" applyFont="1"/>
    <xf numFmtId="0" fontId="2" fillId="0" borderId="0" xfId="0" applyFont="1" applyAlignment="1">
      <alignment horizontal="left" indent="1"/>
    </xf>
    <xf numFmtId="10" fontId="6" fillId="0" borderId="6" xfId="0" applyNumberFormat="1" applyFont="1" applyBorder="1"/>
    <xf numFmtId="10" fontId="6" fillId="0" borderId="0" xfId="0" applyNumberFormat="1" applyFont="1"/>
    <xf numFmtId="10" fontId="6" fillId="0" borderId="7" xfId="0" applyNumberFormat="1" applyFont="1" applyBorder="1"/>
    <xf numFmtId="43" fontId="6" fillId="0" borderId="0" xfId="0" applyNumberFormat="1" applyFont="1"/>
    <xf numFmtId="43" fontId="2" fillId="0" borderId="0" xfId="1" applyFont="1" applyFill="1" applyAlignment="1">
      <alignment horizontal="left"/>
    </xf>
    <xf numFmtId="165" fontId="2" fillId="0" borderId="6" xfId="1" applyNumberFormat="1" applyFont="1" applyFill="1" applyBorder="1"/>
    <xf numFmtId="165" fontId="2" fillId="0" borderId="0" xfId="1" applyNumberFormat="1" applyFont="1" applyFill="1" applyBorder="1"/>
    <xf numFmtId="165" fontId="2" fillId="0" borderId="7" xfId="1" applyNumberFormat="1" applyFont="1" applyFill="1" applyBorder="1"/>
    <xf numFmtId="165" fontId="2" fillId="0" borderId="6" xfId="0" applyNumberFormat="1" applyFont="1" applyBorder="1"/>
    <xf numFmtId="43" fontId="3" fillId="0" borderId="0" xfId="1" applyFont="1" applyFill="1" applyAlignment="1"/>
    <xf numFmtId="165" fontId="6" fillId="0" borderId="8" xfId="0" applyNumberFormat="1" applyFont="1" applyBorder="1"/>
    <xf numFmtId="165" fontId="6" fillId="0" borderId="1" xfId="0" applyNumberFormat="1" applyFont="1" applyBorder="1"/>
    <xf numFmtId="165" fontId="6" fillId="0" borderId="9" xfId="0" applyNumberFormat="1" applyFont="1" applyBorder="1"/>
    <xf numFmtId="0" fontId="9" fillId="0" borderId="0" xfId="0" applyFont="1" applyAlignment="1">
      <alignment horizontal="right"/>
    </xf>
    <xf numFmtId="0" fontId="5" fillId="0" borderId="0" xfId="0" applyFont="1" applyAlignment="1">
      <alignment horizontal="left"/>
    </xf>
    <xf numFmtId="167" fontId="5" fillId="0" borderId="0" xfId="1" applyNumberFormat="1" applyFont="1" applyFill="1" applyBorder="1" applyAlignment="1">
      <alignment horizontal="center"/>
    </xf>
    <xf numFmtId="167" fontId="5" fillId="0" borderId="0" xfId="1" applyNumberFormat="1" applyFont="1" applyFill="1" applyBorder="1" applyAlignment="1"/>
    <xf numFmtId="165" fontId="2" fillId="0" borderId="0" xfId="0" applyNumberFormat="1" applyFont="1"/>
    <xf numFmtId="0" fontId="3" fillId="0" borderId="0" xfId="0" applyFont="1" applyAlignment="1">
      <alignment horizontal="left"/>
    </xf>
    <xf numFmtId="165" fontId="5" fillId="0" borderId="10" xfId="0" applyNumberFormat="1" applyFont="1" applyBorder="1"/>
    <xf numFmtId="10" fontId="8" fillId="0" borderId="0" xfId="3" applyNumberFormat="1" applyFont="1" applyFill="1" applyBorder="1"/>
    <xf numFmtId="0" fontId="3" fillId="0" borderId="1" xfId="0" applyFont="1" applyBorder="1" applyAlignment="1">
      <alignment horizontal="left"/>
    </xf>
    <xf numFmtId="0" fontId="2" fillId="0" borderId="1" xfId="0" applyFont="1" applyBorder="1"/>
    <xf numFmtId="0" fontId="2" fillId="0" borderId="1" xfId="0" applyFont="1" applyBorder="1" applyAlignment="1">
      <alignment horizontal="left"/>
    </xf>
    <xf numFmtId="0" fontId="11" fillId="0" borderId="0" xfId="0" applyFont="1"/>
    <xf numFmtId="10" fontId="2" fillId="0" borderId="0" xfId="3" applyNumberFormat="1" applyFont="1" applyFill="1"/>
    <xf numFmtId="165" fontId="12" fillId="0" borderId="0" xfId="3" applyNumberFormat="1" applyFont="1" applyFill="1"/>
    <xf numFmtId="10" fontId="8" fillId="0" borderId="0" xfId="3" applyNumberFormat="1" applyFont="1" applyFill="1"/>
    <xf numFmtId="0" fontId="3" fillId="0" borderId="0" xfId="5" applyFont="1"/>
    <xf numFmtId="0" fontId="2" fillId="0" borderId="0" xfId="6"/>
    <xf numFmtId="0" fontId="2" fillId="0" borderId="0" xfId="7" quotePrefix="1"/>
    <xf numFmtId="0" fontId="6" fillId="0" borderId="0" xfId="6" applyFont="1"/>
    <xf numFmtId="0" fontId="10" fillId="0" borderId="0" xfId="4" applyFont="1" applyAlignment="1">
      <alignment horizontal="left"/>
    </xf>
    <xf numFmtId="0" fontId="9" fillId="0" borderId="0" xfId="6" applyFont="1"/>
    <xf numFmtId="0" fontId="2" fillId="0" borderId="0" xfId="5"/>
    <xf numFmtId="0" fontId="9" fillId="0" borderId="0" xfId="5" applyFont="1"/>
    <xf numFmtId="169" fontId="2" fillId="0" borderId="0" xfId="8" applyNumberFormat="1" applyFont="1" applyFill="1"/>
    <xf numFmtId="43" fontId="2" fillId="0" borderId="0" xfId="5" applyNumberFormat="1"/>
    <xf numFmtId="164" fontId="2" fillId="0" borderId="4" xfId="5" applyNumberFormat="1" applyBorder="1"/>
    <xf numFmtId="44" fontId="2" fillId="0" borderId="0" xfId="5" applyNumberFormat="1"/>
    <xf numFmtId="0" fontId="2" fillId="0" borderId="0" xfId="7"/>
    <xf numFmtId="164" fontId="2" fillId="0" borderId="4" xfId="9" applyNumberFormat="1" applyFont="1" applyFill="1" applyBorder="1"/>
    <xf numFmtId="165" fontId="2" fillId="0" borderId="0" xfId="10" applyNumberFormat="1" applyFont="1" applyFill="1" applyBorder="1"/>
    <xf numFmtId="0" fontId="13" fillId="0" borderId="0" xfId="5" applyFont="1" applyAlignment="1">
      <alignment horizontal="left"/>
    </xf>
    <xf numFmtId="0" fontId="2" fillId="0" borderId="0" xfId="5" applyAlignment="1">
      <alignment horizontal="right"/>
    </xf>
    <xf numFmtId="165" fontId="2" fillId="0" borderId="0" xfId="10" applyNumberFormat="1" applyFont="1" applyFill="1"/>
    <xf numFmtId="4" fontId="2" fillId="0" borderId="0" xfId="6" applyNumberFormat="1"/>
    <xf numFmtId="164" fontId="3" fillId="0" borderId="0" xfId="9" applyNumberFormat="1" applyFont="1" applyFill="1" applyBorder="1"/>
    <xf numFmtId="164" fontId="2" fillId="0" borderId="0" xfId="6" applyNumberFormat="1"/>
    <xf numFmtId="164" fontId="3" fillId="0" borderId="4" xfId="6" applyNumberFormat="1" applyFont="1" applyBorder="1"/>
    <xf numFmtId="0" fontId="13" fillId="0" borderId="0" xfId="6" applyFont="1" applyAlignment="1">
      <alignment horizontal="center"/>
    </xf>
    <xf numFmtId="0" fontId="2" fillId="0" borderId="0" xfId="6" applyAlignment="1">
      <alignment horizontal="center"/>
    </xf>
    <xf numFmtId="0" fontId="3" fillId="0" borderId="1" xfId="5" applyFont="1" applyBorder="1" applyAlignment="1">
      <alignment horizontal="center"/>
    </xf>
    <xf numFmtId="165" fontId="3" fillId="0" borderId="1" xfId="11" applyNumberFormat="1" applyFont="1" applyFill="1" applyBorder="1"/>
    <xf numFmtId="0" fontId="2" fillId="0" borderId="0" xfId="5" applyAlignment="1">
      <alignment horizontal="center"/>
    </xf>
    <xf numFmtId="169" fontId="2" fillId="0" borderId="0" xfId="5" applyNumberFormat="1" applyAlignment="1">
      <alignment horizontal="center"/>
    </xf>
    <xf numFmtId="169" fontId="2" fillId="0" borderId="0" xfId="6" applyNumberFormat="1"/>
    <xf numFmtId="165" fontId="2" fillId="0" borderId="11" xfId="10" applyNumberFormat="1" applyFont="1" applyFill="1" applyBorder="1" applyAlignment="1">
      <alignment horizontal="center"/>
    </xf>
    <xf numFmtId="165" fontId="2" fillId="0" borderId="12" xfId="10" applyNumberFormat="1" applyFont="1" applyFill="1" applyBorder="1" applyAlignment="1">
      <alignment horizontal="center"/>
    </xf>
    <xf numFmtId="165" fontId="2" fillId="0" borderId="13" xfId="10" applyNumberFormat="1" applyFont="1" applyFill="1" applyBorder="1" applyAlignment="1">
      <alignment horizontal="center"/>
    </xf>
    <xf numFmtId="165" fontId="2" fillId="0" borderId="2" xfId="10" applyNumberFormat="1" applyFont="1" applyFill="1" applyBorder="1" applyAlignment="1">
      <alignment horizontal="center"/>
    </xf>
    <xf numFmtId="165" fontId="2" fillId="0" borderId="14" xfId="10" applyNumberFormat="1" applyFont="1" applyFill="1" applyBorder="1" applyAlignment="1">
      <alignment horizontal="center"/>
    </xf>
    <xf numFmtId="0" fontId="14" fillId="0" borderId="15" xfId="5" applyFont="1" applyBorder="1" applyAlignment="1">
      <alignment horizontal="center"/>
    </xf>
    <xf numFmtId="165" fontId="2" fillId="0" borderId="0" xfId="10" applyNumberFormat="1" applyFont="1" applyFill="1" applyBorder="1" applyAlignment="1">
      <alignment horizontal="center"/>
    </xf>
    <xf numFmtId="165" fontId="2" fillId="0" borderId="16" xfId="10" applyNumberFormat="1" applyFont="1" applyFill="1" applyBorder="1" applyAlignment="1">
      <alignment horizontal="center"/>
    </xf>
    <xf numFmtId="165" fontId="2" fillId="0" borderId="7" xfId="10" applyNumberFormat="1" applyFont="1" applyFill="1" applyBorder="1" applyAlignment="1">
      <alignment horizontal="center"/>
    </xf>
    <xf numFmtId="165" fontId="2" fillId="0" borderId="15" xfId="10" applyNumberFormat="1" applyFont="1" applyFill="1" applyBorder="1"/>
    <xf numFmtId="165" fontId="2" fillId="0" borderId="17" xfId="10" applyNumberFormat="1" applyFont="1" applyFill="1" applyBorder="1"/>
    <xf numFmtId="165" fontId="2" fillId="0" borderId="1" xfId="10" applyNumberFormat="1" applyFont="1" applyFill="1" applyBorder="1" applyAlignment="1">
      <alignment horizontal="center"/>
    </xf>
    <xf numFmtId="165" fontId="2" fillId="0" borderId="18" xfId="10" applyNumberFormat="1" applyFont="1" applyFill="1" applyBorder="1" applyAlignment="1">
      <alignment horizontal="center"/>
    </xf>
    <xf numFmtId="165" fontId="2" fillId="0" borderId="1" xfId="10" applyNumberFormat="1" applyFont="1" applyFill="1" applyBorder="1"/>
    <xf numFmtId="165" fontId="2" fillId="0" borderId="9" xfId="10" applyNumberFormat="1" applyFont="1" applyFill="1" applyBorder="1"/>
    <xf numFmtId="0" fontId="14" fillId="0" borderId="0" xfId="5" applyFont="1" applyAlignment="1">
      <alignment horizontal="center"/>
    </xf>
    <xf numFmtId="0" fontId="14" fillId="0" borderId="16" xfId="5" applyFont="1" applyBorder="1" applyAlignment="1">
      <alignment horizontal="center"/>
    </xf>
    <xf numFmtId="165" fontId="2" fillId="0" borderId="7" xfId="10" applyNumberFormat="1" applyFont="1" applyFill="1" applyBorder="1"/>
    <xf numFmtId="165" fontId="2" fillId="0" borderId="19" xfId="10" applyNumberFormat="1" applyFont="1" applyFill="1" applyBorder="1"/>
    <xf numFmtId="165" fontId="2" fillId="0" borderId="20" xfId="10" applyNumberFormat="1" applyFont="1" applyFill="1" applyBorder="1"/>
    <xf numFmtId="165" fontId="2" fillId="0" borderId="21" xfId="10" applyNumberFormat="1" applyFont="1" applyFill="1" applyBorder="1"/>
    <xf numFmtId="165" fontId="14" fillId="0" borderId="0" xfId="10" applyNumberFormat="1" applyFont="1" applyFill="1" applyBorder="1" applyAlignment="1">
      <alignment horizontal="center"/>
    </xf>
    <xf numFmtId="165" fontId="2" fillId="0" borderId="11" xfId="11" applyNumberFormat="1" applyFont="1" applyFill="1" applyBorder="1" applyAlignment="1">
      <alignment horizontal="center"/>
    </xf>
    <xf numFmtId="165" fontId="2" fillId="0" borderId="13" xfId="11" applyNumberFormat="1" applyFont="1" applyFill="1" applyBorder="1" applyAlignment="1">
      <alignment horizontal="center"/>
    </xf>
    <xf numFmtId="165" fontId="2" fillId="0" borderId="22" xfId="11" applyNumberFormat="1" applyFont="1" applyFill="1" applyBorder="1" applyAlignment="1">
      <alignment horizontal="center"/>
    </xf>
    <xf numFmtId="165" fontId="2" fillId="0" borderId="16" xfId="11" applyNumberFormat="1" applyFont="1" applyFill="1" applyBorder="1" applyAlignment="1">
      <alignment horizontal="center"/>
    </xf>
    <xf numFmtId="165" fontId="2" fillId="0" borderId="0" xfId="11" applyNumberFormat="1" applyFont="1" applyFill="1" applyBorder="1" applyAlignment="1">
      <alignment horizontal="center"/>
    </xf>
    <xf numFmtId="165" fontId="2" fillId="0" borderId="23" xfId="11" applyNumberFormat="1" applyFont="1" applyFill="1" applyBorder="1" applyAlignment="1">
      <alignment horizontal="center"/>
    </xf>
    <xf numFmtId="165" fontId="2" fillId="0" borderId="15" xfId="11" applyNumberFormat="1" applyFont="1" applyFill="1" applyBorder="1"/>
    <xf numFmtId="165" fontId="2" fillId="0" borderId="17" xfId="11" applyNumberFormat="1" applyFont="1" applyFill="1" applyBorder="1"/>
    <xf numFmtId="165" fontId="2" fillId="0" borderId="18" xfId="11" applyNumberFormat="1" applyFont="1" applyFill="1" applyBorder="1" applyAlignment="1">
      <alignment horizontal="center"/>
    </xf>
    <xf numFmtId="165" fontId="2" fillId="0" borderId="1" xfId="11" applyNumberFormat="1" applyFont="1" applyFill="1" applyBorder="1" applyAlignment="1">
      <alignment horizontal="center"/>
    </xf>
    <xf numFmtId="165" fontId="2" fillId="0" borderId="1" xfId="11" applyNumberFormat="1" applyFont="1" applyFill="1" applyBorder="1"/>
    <xf numFmtId="165" fontId="2" fillId="0" borderId="24" xfId="11" applyNumberFormat="1" applyFont="1" applyFill="1" applyBorder="1"/>
    <xf numFmtId="165" fontId="2" fillId="0" borderId="0" xfId="11" applyNumberFormat="1" applyFont="1" applyFill="1" applyBorder="1"/>
    <xf numFmtId="165" fontId="2" fillId="0" borderId="23" xfId="11" applyNumberFormat="1" applyFont="1" applyFill="1" applyBorder="1"/>
    <xf numFmtId="165" fontId="2" fillId="0" borderId="19" xfId="11" applyNumberFormat="1" applyFont="1" applyFill="1" applyBorder="1"/>
    <xf numFmtId="165" fontId="2" fillId="0" borderId="21" xfId="11" applyNumberFormat="1" applyFont="1" applyFill="1" applyBorder="1"/>
    <xf numFmtId="165" fontId="14" fillId="0" borderId="1" xfId="11" applyNumberFormat="1" applyFont="1" applyFill="1" applyBorder="1" applyAlignment="1">
      <alignment horizontal="center"/>
    </xf>
    <xf numFmtId="0" fontId="14" fillId="0" borderId="1" xfId="5" applyFont="1" applyBorder="1" applyAlignment="1">
      <alignment horizontal="center"/>
    </xf>
    <xf numFmtId="165" fontId="2" fillId="0" borderId="25" xfId="6" applyNumberFormat="1" applyBorder="1"/>
    <xf numFmtId="165" fontId="2" fillId="0" borderId="2" xfId="6" applyNumberFormat="1" applyBorder="1"/>
    <xf numFmtId="165" fontId="2" fillId="0" borderId="14" xfId="6" applyNumberFormat="1" applyBorder="1"/>
    <xf numFmtId="165" fontId="2" fillId="0" borderId="6" xfId="6" applyNumberFormat="1" applyBorder="1"/>
    <xf numFmtId="165" fontId="2" fillId="0" borderId="0" xfId="6" applyNumberFormat="1"/>
    <xf numFmtId="165" fontId="2" fillId="0" borderId="7" xfId="6" applyNumberFormat="1" applyBorder="1"/>
    <xf numFmtId="0" fontId="2" fillId="0" borderId="6" xfId="6" applyBorder="1"/>
    <xf numFmtId="0" fontId="2" fillId="0" borderId="7" xfId="6" applyBorder="1"/>
    <xf numFmtId="0" fontId="3" fillId="0" borderId="4" xfId="5" applyFont="1" applyBorder="1"/>
    <xf numFmtId="0" fontId="2" fillId="0" borderId="4" xfId="6" applyBorder="1"/>
    <xf numFmtId="165" fontId="3" fillId="0" borderId="3" xfId="6" applyNumberFormat="1" applyFont="1" applyBorder="1"/>
    <xf numFmtId="165" fontId="2" fillId="0" borderId="4" xfId="6" applyNumberFormat="1" applyBorder="1"/>
    <xf numFmtId="165" fontId="3" fillId="0" borderId="4" xfId="6" applyNumberFormat="1" applyFont="1" applyBorder="1"/>
    <xf numFmtId="165" fontId="2" fillId="0" borderId="5" xfId="6" applyNumberFormat="1" applyBorder="1"/>
    <xf numFmtId="165" fontId="3" fillId="0" borderId="0" xfId="4" applyNumberFormat="1" applyFont="1" applyAlignment="1">
      <alignment horizontal="right"/>
    </xf>
    <xf numFmtId="165" fontId="2" fillId="0" borderId="0" xfId="4" applyNumberFormat="1"/>
    <xf numFmtId="0" fontId="13" fillId="0" borderId="0" xfId="5" applyFont="1" applyAlignment="1">
      <alignment horizontal="center"/>
    </xf>
    <xf numFmtId="0" fontId="9" fillId="0" borderId="0" xfId="6" applyFont="1" applyAlignment="1">
      <alignment horizontal="right"/>
    </xf>
    <xf numFmtId="169" fontId="9" fillId="0" borderId="0" xfId="8" applyNumberFormat="1" applyFont="1" applyFill="1"/>
    <xf numFmtId="0" fontId="3" fillId="0" borderId="0" xfId="7" applyFont="1" applyAlignment="1">
      <alignment horizontal="center"/>
    </xf>
    <xf numFmtId="165" fontId="3" fillId="0" borderId="1" xfId="4" applyNumberFormat="1" applyFont="1" applyBorder="1"/>
    <xf numFmtId="166" fontId="2" fillId="0" borderId="0" xfId="6" applyNumberFormat="1"/>
    <xf numFmtId="10" fontId="6" fillId="0" borderId="0" xfId="8" applyNumberFormat="1" applyFont="1"/>
    <xf numFmtId="165" fontId="2" fillId="0" borderId="0" xfId="4" quotePrefix="1" applyNumberFormat="1" applyAlignment="1">
      <alignment horizontal="left"/>
    </xf>
    <xf numFmtId="165" fontId="6" fillId="0" borderId="0" xfId="1" applyNumberFormat="1" applyFont="1"/>
    <xf numFmtId="165" fontId="5" fillId="0" borderId="0" xfId="1" quotePrefix="1" applyNumberFormat="1" applyFont="1" applyBorder="1" applyAlignment="1">
      <alignment horizontal="center"/>
    </xf>
    <xf numFmtId="165" fontId="5" fillId="0" borderId="1" xfId="1" quotePrefix="1" applyNumberFormat="1" applyFont="1" applyBorder="1" applyAlignment="1">
      <alignment horizontal="center"/>
    </xf>
    <xf numFmtId="10" fontId="6" fillId="0" borderId="0" xfId="3" applyNumberFormat="1" applyFont="1" applyAlignment="1">
      <alignment horizontal="center"/>
    </xf>
    <xf numFmtId="165" fontId="3" fillId="0" borderId="0" xfId="6" applyNumberFormat="1" applyFont="1"/>
    <xf numFmtId="4" fontId="15" fillId="0" borderId="0" xfId="0" applyNumberFormat="1" applyFont="1"/>
    <xf numFmtId="165" fontId="2" fillId="0" borderId="0" xfId="1" applyNumberFormat="1" applyFont="1"/>
    <xf numFmtId="170" fontId="2" fillId="0" borderId="0" xfId="0" applyNumberFormat="1" applyFont="1" applyAlignment="1">
      <alignment horizontal="left"/>
    </xf>
    <xf numFmtId="0" fontId="3" fillId="0" borderId="0" xfId="0" quotePrefix="1" applyFont="1" applyAlignment="1">
      <alignment horizontal="center"/>
    </xf>
    <xf numFmtId="0" fontId="16" fillId="0" borderId="0" xfId="0" applyFont="1" applyAlignment="1">
      <alignment horizontal="center"/>
    </xf>
    <xf numFmtId="171" fontId="2" fillId="0" borderId="0" xfId="0" applyNumberFormat="1" applyFont="1"/>
    <xf numFmtId="166" fontId="2" fillId="0" borderId="0" xfId="0" applyNumberFormat="1" applyFont="1"/>
    <xf numFmtId="172" fontId="2" fillId="0" borderId="0" xfId="0" applyNumberFormat="1" applyFont="1"/>
    <xf numFmtId="43" fontId="2" fillId="0" borderId="0" xfId="0" applyNumberFormat="1" applyFont="1"/>
    <xf numFmtId="165" fontId="2" fillId="0" borderId="26" xfId="1" applyNumberFormat="1" applyFont="1" applyBorder="1"/>
    <xf numFmtId="173" fontId="2" fillId="0" borderId="0" xfId="8" applyNumberFormat="1" applyFont="1"/>
    <xf numFmtId="43" fontId="2" fillId="0" borderId="0" xfId="1" applyFont="1"/>
    <xf numFmtId="165" fontId="2" fillId="0" borderId="0" xfId="10" applyNumberFormat="1" applyFont="1"/>
    <xf numFmtId="165" fontId="2" fillId="0" borderId="26" xfId="0" applyNumberFormat="1" applyFont="1" applyBorder="1"/>
    <xf numFmtId="173" fontId="3" fillId="0" borderId="27" xfId="8" applyNumberFormat="1" applyFont="1" applyBorder="1"/>
    <xf numFmtId="169" fontId="2" fillId="0" borderId="0" xfId="8" applyNumberFormat="1" applyFont="1"/>
    <xf numFmtId="173" fontId="3" fillId="0" borderId="28" xfId="8" applyNumberFormat="1" applyFont="1" applyBorder="1"/>
    <xf numFmtId="173" fontId="2" fillId="0" borderId="0" xfId="0" applyNumberFormat="1" applyFont="1"/>
    <xf numFmtId="167" fontId="5" fillId="0" borderId="3" xfId="1" applyNumberFormat="1" applyFont="1" applyFill="1" applyBorder="1" applyAlignment="1">
      <alignment horizontal="center"/>
    </xf>
    <xf numFmtId="167" fontId="5" fillId="0" borderId="4" xfId="1" applyNumberFormat="1" applyFont="1" applyFill="1" applyBorder="1" applyAlignment="1">
      <alignment horizontal="center"/>
    </xf>
    <xf numFmtId="167" fontId="5" fillId="0" borderId="5" xfId="1" applyNumberFormat="1" applyFont="1" applyFill="1" applyBorder="1" applyAlignment="1">
      <alignment horizontal="center"/>
    </xf>
    <xf numFmtId="0" fontId="2" fillId="0" borderId="0" xfId="0" applyFont="1" applyAlignment="1">
      <alignment horizontal="left" wrapText="1" indent="2"/>
    </xf>
  </cellXfs>
  <cellStyles count="12">
    <cellStyle name="Comma" xfId="1" builtinId="3"/>
    <cellStyle name="Comma 10" xfId="10"/>
    <cellStyle name="Comma 2 2 2" xfId="11"/>
    <cellStyle name="Currency" xfId="2" builtinId="4"/>
    <cellStyle name="Currency 2 2 2" xfId="9"/>
    <cellStyle name="Normal" xfId="0" builtinId="0"/>
    <cellStyle name="Normal 11 2" xfId="4"/>
    <cellStyle name="Normal 19" xfId="6"/>
    <cellStyle name="Normal 2 2" xfId="5"/>
    <cellStyle name="Normal 2 2 2" xfId="7"/>
    <cellStyle name="Percent" xfId="3" builtinId="5"/>
    <cellStyle name="Percent 2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95250</xdr:rowOff>
    </xdr:from>
    <xdr:to>
      <xdr:col>13</xdr:col>
      <xdr:colOff>3176</xdr:colOff>
      <xdr:row>61</xdr:row>
      <xdr:rowOff>3175</xdr:rowOff>
    </xdr:to>
    <xdr:sp macro="" textlink="">
      <xdr:nvSpPr>
        <xdr:cNvPr id="2" name="TextBox 1">
          <a:extLst>
            <a:ext uri="{FF2B5EF4-FFF2-40B4-BE49-F238E27FC236}">
              <a16:creationId xmlns:a16="http://schemas.microsoft.com/office/drawing/2014/main" xmlns="" id="{DDBF2D59-2236-418A-8767-A6721C987C85}"/>
            </a:ext>
          </a:extLst>
        </xdr:cNvPr>
        <xdr:cNvSpPr txBox="1"/>
      </xdr:nvSpPr>
      <xdr:spPr>
        <a:xfrm>
          <a:off x="0" y="9349740"/>
          <a:ext cx="13452476" cy="544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1) </a:t>
          </a:r>
          <a:r>
            <a:rPr lang="en-US" sz="1000" baseline="0">
              <a:solidFill>
                <a:schemeClr val="dk1"/>
              </a:solidFill>
              <a:latin typeface="Arial" pitchFamily="34" charset="0"/>
              <a:ea typeface="+mn-ea"/>
              <a:cs typeface="Arial" pitchFamily="34" charset="0"/>
            </a:rPr>
            <a:t>Exhibit RMP__(MGW-1) provides the actual 2020 REC revenue by resource. </a:t>
          </a:r>
          <a:endParaRPr lang="en-US" sz="1000">
            <a:solidFill>
              <a:schemeClr val="dk1"/>
            </a:solidFill>
            <a:latin typeface="Arial" pitchFamily="34" charset="0"/>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EGULATN\PA&amp;D\DSMRecov\2001\RECO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ocuments%20and%20Settings\p71328\Local%20Settings\Temporary%20Internet%20Files\Content.Outlook\6DN9NHMW\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Documents%20and%20Settings\p71328\Local%20Settings\Temporary%20Internet%20Files\Content.Outlook\6DN9NHMW\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Documents%20and%20Settings\p71328\Local%20Settings\Temporary%20Internet%20Files\Content.Outlook\6DN9NHMW\Documents%20and%20Settings\p04092.000\Local%20Settings\Temporary%20Internet%20Files\OLK1AC\RECOV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workbookViewId="0">
      <selection activeCell="B23" sqref="B23"/>
    </sheetView>
  </sheetViews>
  <sheetFormatPr defaultColWidth="9.140625" defaultRowHeight="12.75" x14ac:dyDescent="0.2"/>
  <cols>
    <col min="1" max="1" width="18" style="3" customWidth="1"/>
    <col min="2" max="2" width="75" style="3" customWidth="1"/>
    <col min="3" max="3" width="8.140625" style="3" customWidth="1"/>
    <col min="4" max="16384" width="9.140625" style="3"/>
  </cols>
  <sheetData>
    <row r="2" spans="1:2" ht="12.95" x14ac:dyDescent="0.3">
      <c r="A2" s="1" t="s">
        <v>0</v>
      </c>
      <c r="B2" s="2"/>
    </row>
    <row r="3" spans="1:2" ht="12.95" x14ac:dyDescent="0.3">
      <c r="A3" s="4" t="s">
        <v>1</v>
      </c>
      <c r="B3" s="5" t="s">
        <v>111</v>
      </c>
    </row>
    <row r="4" spans="1:2" ht="12.95" x14ac:dyDescent="0.3">
      <c r="A4" s="4" t="s">
        <v>2</v>
      </c>
      <c r="B4" s="5" t="s">
        <v>112</v>
      </c>
    </row>
    <row r="5" spans="1:2" ht="12.6" x14ac:dyDescent="0.25">
      <c r="A5" s="6"/>
      <c r="B5" s="7"/>
    </row>
    <row r="6" spans="1:2" ht="12.6" x14ac:dyDescent="0.25">
      <c r="A6" s="6"/>
      <c r="B6" s="7"/>
    </row>
    <row r="7" spans="1:2" ht="12.95" x14ac:dyDescent="0.3">
      <c r="A7" s="8" t="s">
        <v>3</v>
      </c>
      <c r="B7" s="9" t="s">
        <v>4</v>
      </c>
    </row>
    <row r="8" spans="1:2" ht="12.95" x14ac:dyDescent="0.3">
      <c r="A8" s="8" t="s">
        <v>5</v>
      </c>
      <c r="B8" s="9" t="s">
        <v>113</v>
      </c>
    </row>
    <row r="9" spans="1:2" ht="12.6" x14ac:dyDescent="0.25">
      <c r="A9" s="10" t="s">
        <v>6</v>
      </c>
      <c r="B9" s="7" t="s">
        <v>114</v>
      </c>
    </row>
    <row r="10" spans="1:2" ht="12.6" x14ac:dyDescent="0.25">
      <c r="A10" s="10" t="s">
        <v>7</v>
      </c>
      <c r="B10" s="7" t="s">
        <v>115</v>
      </c>
    </row>
    <row r="14" spans="1:2" ht="15.6" x14ac:dyDescent="0.45">
      <c r="A14" s="11"/>
      <c r="B14" s="12"/>
    </row>
    <row r="15" spans="1:2" ht="12.6" x14ac:dyDescent="0.25">
      <c r="A15" s="10"/>
    </row>
    <row r="16" spans="1:2" ht="12.6" x14ac:dyDescent="0.25">
      <c r="A16" s="10"/>
    </row>
    <row r="17" spans="1:2" ht="12.6" x14ac:dyDescent="0.25">
      <c r="A17" s="10"/>
    </row>
    <row r="18" spans="1:2" ht="12.6" x14ac:dyDescent="0.25">
      <c r="A18" s="10"/>
    </row>
    <row r="19" spans="1:2" ht="12.6" x14ac:dyDescent="0.25">
      <c r="A19" s="10"/>
    </row>
    <row r="21" spans="1:2" ht="15.6" x14ac:dyDescent="0.45">
      <c r="A21" s="11"/>
      <c r="B21" s="12"/>
    </row>
    <row r="22" spans="1:2" ht="12.6" x14ac:dyDescent="0.25">
      <c r="A22" s="10"/>
    </row>
    <row r="23" spans="1:2" ht="12.6" x14ac:dyDescent="0.25">
      <c r="A23" s="10"/>
    </row>
    <row r="24" spans="1:2" ht="12.6" x14ac:dyDescent="0.25">
      <c r="A24" s="10"/>
    </row>
    <row r="25" spans="1:2" ht="12.6" x14ac:dyDescent="0.25">
      <c r="A25" s="10"/>
    </row>
    <row r="28" spans="1:2" ht="15.6" x14ac:dyDescent="0.45">
      <c r="A28" s="11"/>
      <c r="B28" s="12"/>
    </row>
    <row r="30" spans="1:2" ht="12.6" x14ac:dyDescent="0.25">
      <c r="A30" s="10"/>
    </row>
  </sheetData>
  <pageMargins left="1" right="0.25" top="0.75" bottom="0.45" header="0.3" footer="0.1"/>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19"/>
  <sheetViews>
    <sheetView view="pageLayout" zoomScaleNormal="100" workbookViewId="0">
      <selection activeCell="E42" sqref="E42"/>
    </sheetView>
  </sheetViews>
  <sheetFormatPr defaultColWidth="9.140625" defaultRowHeight="12.75" x14ac:dyDescent="0.2"/>
  <cols>
    <col min="1" max="1" width="7.85546875" style="14" customWidth="1"/>
    <col min="2" max="4" width="9.140625" style="14"/>
    <col min="5" max="5" width="35.42578125" style="14" customWidth="1"/>
    <col min="6" max="6" width="17" style="14" bestFit="1" customWidth="1"/>
    <col min="7" max="7" width="46.140625" style="14" bestFit="1" customWidth="1"/>
    <col min="8" max="8" width="15.7109375" style="14" customWidth="1"/>
    <col min="9" max="9" width="8" style="14" customWidth="1"/>
    <col min="10" max="10" width="8.42578125" style="14" customWidth="1"/>
    <col min="11" max="16384" width="9.140625" style="14"/>
  </cols>
  <sheetData>
    <row r="1" spans="1:8" ht="12.95" x14ac:dyDescent="0.3">
      <c r="A1" s="13" t="s">
        <v>8</v>
      </c>
    </row>
    <row r="2" spans="1:8" ht="12.95" x14ac:dyDescent="0.3">
      <c r="A2" s="13" t="s">
        <v>9</v>
      </c>
    </row>
    <row r="3" spans="1:8" ht="12.6" x14ac:dyDescent="0.25">
      <c r="A3" s="15" t="s">
        <v>118</v>
      </c>
    </row>
    <row r="5" spans="1:8" ht="12.95" x14ac:dyDescent="0.3">
      <c r="A5" s="16" t="s">
        <v>10</v>
      </c>
    </row>
    <row r="6" spans="1:8" ht="12.95" x14ac:dyDescent="0.3">
      <c r="A6" s="16"/>
    </row>
    <row r="7" spans="1:8" ht="12.95" x14ac:dyDescent="0.3">
      <c r="A7" s="13" t="s">
        <v>11</v>
      </c>
      <c r="G7" s="13" t="s">
        <v>12</v>
      </c>
    </row>
    <row r="8" spans="1:8" ht="12.95" x14ac:dyDescent="0.3">
      <c r="A8" s="17"/>
      <c r="B8" s="13" t="str">
        <f>YEAR(A3)&amp;" RBA Deferral Balance Calculation:"</f>
        <v>2021 RBA Deferral Balance Calculation:</v>
      </c>
    </row>
    <row r="9" spans="1:8" ht="12.6" x14ac:dyDescent="0.25">
      <c r="A9" s="17">
        <v>1</v>
      </c>
      <c r="B9" s="18" t="s">
        <v>13</v>
      </c>
      <c r="F9" s="19">
        <v>670985.76760209701</v>
      </c>
      <c r="G9" s="14" t="s">
        <v>14</v>
      </c>
    </row>
    <row r="10" spans="1:8" ht="12.6" x14ac:dyDescent="0.25">
      <c r="A10" s="17">
        <f t="shared" ref="A10:A21" si="0">+A9+1</f>
        <v>2</v>
      </c>
      <c r="B10" s="18" t="s">
        <v>15</v>
      </c>
      <c r="F10" s="20">
        <f>F9-F11</f>
        <v>0</v>
      </c>
      <c r="G10" s="14" t="s">
        <v>16</v>
      </c>
    </row>
    <row r="11" spans="1:8" ht="12.6" x14ac:dyDescent="0.25">
      <c r="A11" s="17">
        <f t="shared" si="0"/>
        <v>3</v>
      </c>
      <c r="B11" s="18" t="s">
        <v>17</v>
      </c>
      <c r="F11" s="21">
        <f>'RMP_(GB-2)'!D37</f>
        <v>670985.76760209701</v>
      </c>
      <c r="G11" s="14" t="s">
        <v>18</v>
      </c>
    </row>
    <row r="12" spans="1:8" ht="12.6" x14ac:dyDescent="0.25">
      <c r="A12" s="17">
        <f t="shared" si="0"/>
        <v>4</v>
      </c>
      <c r="B12" s="18" t="str">
        <f>YEAR(A3)-1&amp;" Actual REC Revenue"</f>
        <v>2020 Actual REC Revenue</v>
      </c>
      <c r="F12" s="21">
        <f>'RMP_(GB-2)'!P16</f>
        <v>2857471.5724115698</v>
      </c>
      <c r="G12" s="14" t="s">
        <v>19</v>
      </c>
      <c r="H12" s="22"/>
    </row>
    <row r="13" spans="1:8" ht="12.6" x14ac:dyDescent="0.25">
      <c r="A13" s="17">
        <f t="shared" si="0"/>
        <v>5</v>
      </c>
      <c r="B13" s="18" t="s">
        <v>20</v>
      </c>
      <c r="F13" s="21">
        <f>-'RMP_(GB-2)'!P17</f>
        <v>-285747.15724115702</v>
      </c>
      <c r="G13" s="14" t="s">
        <v>21</v>
      </c>
    </row>
    <row r="14" spans="1:8" ht="12.6" x14ac:dyDescent="0.25">
      <c r="A14" s="17">
        <f t="shared" si="0"/>
        <v>6</v>
      </c>
      <c r="B14" s="18" t="str">
        <f>YEAR(A3)-1&amp;" Leaning Juniper Contract Revenue"</f>
        <v>2020 Leaning Juniper Contract Revenue</v>
      </c>
      <c r="F14" s="21">
        <f>'RMP_(GB-2)'!P20</f>
        <v>4898.3175793681621</v>
      </c>
      <c r="G14" s="14" t="s">
        <v>22</v>
      </c>
    </row>
    <row r="15" spans="1:8" ht="12.6" x14ac:dyDescent="0.25">
      <c r="A15" s="17">
        <f t="shared" si="0"/>
        <v>7</v>
      </c>
      <c r="B15" s="18" t="str">
        <f>YEAR(A3)-1&amp;" Kennecott Contract Revenue"</f>
        <v>2020 Kennecott Contract Revenue</v>
      </c>
      <c r="F15" s="21">
        <f>'RMP_(GB-2)'!P22</f>
        <v>600000</v>
      </c>
      <c r="G15" s="14" t="s">
        <v>23</v>
      </c>
    </row>
    <row r="16" spans="1:8" ht="12.6" x14ac:dyDescent="0.25">
      <c r="A16" s="17">
        <f>+A15+1</f>
        <v>8</v>
      </c>
      <c r="B16" s="18" t="str">
        <f>YEAR(A3)-1&amp;" REC Revenues in Base Rates"</f>
        <v>2020 REC Revenues in Base Rates</v>
      </c>
      <c r="F16" s="21">
        <f>-'RMP_(GB-2)'!P28</f>
        <v>-2000000</v>
      </c>
      <c r="G16" s="14" t="s">
        <v>24</v>
      </c>
    </row>
    <row r="17" spans="1:7" ht="12.6" x14ac:dyDescent="0.25">
      <c r="A17" s="17">
        <f>+A16+1</f>
        <v>9</v>
      </c>
      <c r="B17" s="18" t="str">
        <f>YEAR(A3)-1&amp;" Schedule 98 Surcharge/(Surcredit)"</f>
        <v>2020 Schedule 98 Surcharge/(Surcredit)</v>
      </c>
      <c r="F17" s="21">
        <f>-'RMP_(GB-2)'!P30</f>
        <v>-303758.33999999997</v>
      </c>
      <c r="G17" s="14" t="s">
        <v>25</v>
      </c>
    </row>
    <row r="18" spans="1:7" ht="12.6" x14ac:dyDescent="0.25">
      <c r="A18" s="17">
        <f t="shared" si="0"/>
        <v>10</v>
      </c>
      <c r="B18" s="18" t="s">
        <v>26</v>
      </c>
      <c r="F18" s="21">
        <f>-'RMP_(GB-2)'!J48</f>
        <v>-482466.99</v>
      </c>
      <c r="G18" s="14" t="s">
        <v>27</v>
      </c>
    </row>
    <row r="19" spans="1:7" ht="12.6" x14ac:dyDescent="0.25">
      <c r="A19" s="17">
        <f t="shared" si="0"/>
        <v>11</v>
      </c>
      <c r="B19" s="18" t="str">
        <f>"Carrying Charges for Deferral Period (January - December "&amp;YEAR(A3)-1&amp;")"</f>
        <v>Carrying Charges for Deferral Period (January - December 2020)</v>
      </c>
      <c r="F19" s="21">
        <f>'RMP_(GB-2)'!P39</f>
        <v>24510.365593534025</v>
      </c>
      <c r="G19" s="14" t="s">
        <v>28</v>
      </c>
    </row>
    <row r="20" spans="1:7" ht="12.6" x14ac:dyDescent="0.25">
      <c r="A20" s="17">
        <f t="shared" si="0"/>
        <v>12</v>
      </c>
      <c r="B20" s="18" t="str">
        <f>"Carrying Charges for Interim Period (January "&amp;YEAR(A3)&amp;" - June "&amp;YEAR(A3)&amp;")"</f>
        <v>Carrying Charges for Interim Period (January 2021 - June 2021)</v>
      </c>
      <c r="F20" s="21">
        <f>'RMP_(GB-2)'!J52</f>
        <v>20204.041333564885</v>
      </c>
      <c r="G20" s="14" t="s">
        <v>29</v>
      </c>
    </row>
    <row r="21" spans="1:7" ht="12.95" x14ac:dyDescent="0.3">
      <c r="A21" s="17">
        <f t="shared" si="0"/>
        <v>13</v>
      </c>
      <c r="B21" s="13" t="str">
        <f>"Total "&amp;YEAR(A3)&amp;" RBA Deferral Balance"</f>
        <v>Total 2021 RBA Deferral Balance</v>
      </c>
      <c r="F21" s="23">
        <f>SUM(F11:F20)</f>
        <v>1106097.5772789768</v>
      </c>
    </row>
    <row r="22" spans="1:7" ht="12.6" x14ac:dyDescent="0.25">
      <c r="A22" s="17"/>
      <c r="F22" s="24"/>
    </row>
    <row r="23" spans="1:7" customFormat="1" ht="14.45" x14ac:dyDescent="0.35"/>
    <row r="24" spans="1:7" customFormat="1" ht="14.45" x14ac:dyDescent="0.35"/>
    <row r="25" spans="1:7" customFormat="1" ht="14.45" x14ac:dyDescent="0.35"/>
    <row r="26" spans="1:7" customFormat="1" ht="14.45" x14ac:dyDescent="0.35">
      <c r="F26" s="25"/>
    </row>
    <row r="27" spans="1:7" customFormat="1" ht="14.45" x14ac:dyDescent="0.35">
      <c r="F27" s="25"/>
    </row>
    <row r="28" spans="1:7" customFormat="1" ht="14.45" x14ac:dyDescent="0.35">
      <c r="F28" s="25"/>
    </row>
    <row r="29" spans="1:7" customFormat="1" ht="14.45" x14ac:dyDescent="0.35">
      <c r="F29" s="25"/>
    </row>
    <row r="30" spans="1:7" customFormat="1" ht="14.45" x14ac:dyDescent="0.35">
      <c r="F30" s="25"/>
    </row>
    <row r="31" spans="1:7" customFormat="1" ht="14.45" x14ac:dyDescent="0.35">
      <c r="F31" s="25"/>
    </row>
    <row r="32" spans="1:7" customFormat="1" ht="14.45" x14ac:dyDescent="0.35">
      <c r="F32" s="25"/>
    </row>
    <row r="33" spans="1:8" customFormat="1" ht="13.5" customHeight="1" x14ac:dyDescent="0.35">
      <c r="F33" s="25"/>
    </row>
    <row r="34" spans="1:8" customFormat="1" ht="14.45" x14ac:dyDescent="0.35">
      <c r="F34" s="25"/>
    </row>
    <row r="35" spans="1:8" customFormat="1" ht="14.45" x14ac:dyDescent="0.35">
      <c r="F35" s="25"/>
    </row>
    <row r="36" spans="1:8" customFormat="1" ht="14.45" x14ac:dyDescent="0.35">
      <c r="F36" s="25"/>
    </row>
    <row r="37" spans="1:8" ht="12.6" x14ac:dyDescent="0.25">
      <c r="F37" s="26"/>
    </row>
    <row r="38" spans="1:8" ht="12.6" x14ac:dyDescent="0.25">
      <c r="F38" s="26"/>
    </row>
    <row r="39" spans="1:8" ht="12.6" x14ac:dyDescent="0.25">
      <c r="A39" s="17"/>
      <c r="F39" s="26"/>
    </row>
    <row r="40" spans="1:8" ht="12.6" x14ac:dyDescent="0.25">
      <c r="A40" s="17"/>
      <c r="G40" s="17"/>
    </row>
    <row r="41" spans="1:8" ht="12.95" x14ac:dyDescent="0.3">
      <c r="A41" s="27"/>
      <c r="B41" s="13"/>
      <c r="C41" s="13"/>
      <c r="D41" s="13"/>
      <c r="E41" s="13"/>
      <c r="F41" s="28"/>
      <c r="G41" s="28"/>
    </row>
    <row r="42" spans="1:8" ht="12.95" x14ac:dyDescent="0.3">
      <c r="A42" s="17"/>
      <c r="F42" s="29"/>
      <c r="G42" s="29"/>
      <c r="H42" s="13"/>
    </row>
    <row r="43" spans="1:8" ht="12.6" x14ac:dyDescent="0.25">
      <c r="A43" s="17"/>
      <c r="F43" s="29"/>
      <c r="G43" s="29"/>
    </row>
    <row r="44" spans="1:8" x14ac:dyDescent="0.2">
      <c r="A44" s="17"/>
      <c r="F44" s="30"/>
      <c r="G44" s="30"/>
    </row>
    <row r="45" spans="1:8" x14ac:dyDescent="0.2">
      <c r="A45" s="17"/>
      <c r="G45" s="31"/>
    </row>
    <row r="46" spans="1:8" x14ac:dyDescent="0.2">
      <c r="A46" s="17"/>
      <c r="G46" s="31"/>
    </row>
    <row r="47" spans="1:8" x14ac:dyDescent="0.2">
      <c r="A47" s="17"/>
      <c r="G47" s="31"/>
    </row>
    <row r="48" spans="1:8" x14ac:dyDescent="0.2">
      <c r="A48" s="17"/>
      <c r="G48" s="31"/>
    </row>
    <row r="49" spans="1:9" x14ac:dyDescent="0.2">
      <c r="A49" s="17"/>
      <c r="F49" s="31"/>
      <c r="G49" s="31"/>
    </row>
    <row r="50" spans="1:9" x14ac:dyDescent="0.2">
      <c r="A50" s="17"/>
      <c r="F50" s="31"/>
      <c r="G50" s="31"/>
    </row>
    <row r="51" spans="1:9" x14ac:dyDescent="0.2">
      <c r="A51" s="17"/>
      <c r="F51" s="31"/>
      <c r="G51" s="31"/>
    </row>
    <row r="52" spans="1:9" x14ac:dyDescent="0.2">
      <c r="A52" s="17"/>
      <c r="F52" s="31"/>
      <c r="G52" s="31"/>
    </row>
    <row r="53" spans="1:9" x14ac:dyDescent="0.2">
      <c r="A53" s="17"/>
      <c r="F53" s="31"/>
      <c r="G53" s="31"/>
    </row>
    <row r="54" spans="1:9" x14ac:dyDescent="0.2">
      <c r="A54" s="17"/>
      <c r="F54" s="31"/>
      <c r="G54" s="31"/>
    </row>
    <row r="55" spans="1:9" x14ac:dyDescent="0.2">
      <c r="F55" s="31"/>
      <c r="G55" s="31"/>
      <c r="H55" s="31"/>
      <c r="I55" s="31"/>
    </row>
    <row r="108" spans="2:2" x14ac:dyDescent="0.2">
      <c r="B108" s="14">
        <f>EDATE(B105,1)</f>
        <v>31</v>
      </c>
    </row>
    <row r="109" spans="2:2" x14ac:dyDescent="0.2">
      <c r="B109" s="14">
        <f>EDATE(B108,1)</f>
        <v>59</v>
      </c>
    </row>
    <row r="110" spans="2:2" x14ac:dyDescent="0.2">
      <c r="B110" s="14">
        <f t="shared" ref="B110:B119" si="1">EDATE(B109,1)</f>
        <v>88</v>
      </c>
    </row>
    <row r="111" spans="2:2" x14ac:dyDescent="0.2">
      <c r="B111" s="14">
        <f t="shared" si="1"/>
        <v>119</v>
      </c>
    </row>
    <row r="112" spans="2:2" x14ac:dyDescent="0.2">
      <c r="B112" s="14">
        <f t="shared" si="1"/>
        <v>149</v>
      </c>
    </row>
    <row r="113" spans="2:2" x14ac:dyDescent="0.2">
      <c r="B113" s="14">
        <f t="shared" si="1"/>
        <v>180</v>
      </c>
    </row>
    <row r="114" spans="2:2" x14ac:dyDescent="0.2">
      <c r="B114" s="14">
        <f t="shared" si="1"/>
        <v>210</v>
      </c>
    </row>
    <row r="115" spans="2:2" x14ac:dyDescent="0.2">
      <c r="B115" s="14">
        <f t="shared" si="1"/>
        <v>241</v>
      </c>
    </row>
    <row r="116" spans="2:2" x14ac:dyDescent="0.2">
      <c r="B116" s="14">
        <f t="shared" si="1"/>
        <v>272</v>
      </c>
    </row>
    <row r="117" spans="2:2" x14ac:dyDescent="0.2">
      <c r="B117" s="14">
        <f t="shared" si="1"/>
        <v>302</v>
      </c>
    </row>
    <row r="118" spans="2:2" x14ac:dyDescent="0.2">
      <c r="B118" s="14">
        <f t="shared" si="1"/>
        <v>333</v>
      </c>
    </row>
    <row r="119" spans="2:2" x14ac:dyDescent="0.2">
      <c r="B119" s="14">
        <f t="shared" si="1"/>
        <v>363</v>
      </c>
    </row>
  </sheetData>
  <pageMargins left="0.7" right="0.7" top="0.75" bottom="0.75" header="0.3" footer="0.3"/>
  <pageSetup scale="91" orientation="landscape" r:id="rId1"/>
  <headerFooter>
    <oddFooter>&amp;C&amp;"Arial,Regular"&amp;10RMP__(GB-1)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77"/>
  <sheetViews>
    <sheetView tabSelected="1" view="pageLayout" zoomScaleNormal="85" workbookViewId="0">
      <selection activeCell="B6" sqref="B6"/>
    </sheetView>
  </sheetViews>
  <sheetFormatPr defaultColWidth="9.140625" defaultRowHeight="12.75" x14ac:dyDescent="0.2"/>
  <cols>
    <col min="1" max="1" width="9.140625" style="33"/>
    <col min="2" max="2" width="43.7109375" style="33" bestFit="1" customWidth="1"/>
    <col min="3" max="3" width="32.28515625" style="33" customWidth="1"/>
    <col min="4" max="8" width="11.28515625" style="14" customWidth="1"/>
    <col min="9" max="9" width="12.42578125" style="14" bestFit="1" customWidth="1"/>
    <col min="10" max="16" width="11.28515625" style="14" customWidth="1"/>
    <col min="17" max="17" width="12.42578125" style="34" bestFit="1" customWidth="1"/>
    <col min="18" max="18" width="14.28515625" style="14" bestFit="1" customWidth="1"/>
    <col min="19" max="16384" width="9.140625" style="14"/>
  </cols>
  <sheetData>
    <row r="1" spans="1:17" ht="12.95" x14ac:dyDescent="0.3">
      <c r="A1" s="32" t="s">
        <v>8</v>
      </c>
    </row>
    <row r="2" spans="1:17" ht="12.95" x14ac:dyDescent="0.3">
      <c r="A2" s="32" t="s">
        <v>9</v>
      </c>
    </row>
    <row r="3" spans="1:17" ht="12.6" x14ac:dyDescent="0.25">
      <c r="A3" s="35" t="s">
        <v>118</v>
      </c>
    </row>
    <row r="4" spans="1:17" ht="12.6" x14ac:dyDescent="0.25">
      <c r="D4" s="31"/>
    </row>
    <row r="5" spans="1:17" ht="12.95" x14ac:dyDescent="0.3">
      <c r="A5" s="36" t="str">
        <f>"Calendar Year "&amp;YEAR(A3)-1</f>
        <v>Calendar Year 2020</v>
      </c>
    </row>
    <row r="6" spans="1:17" ht="12.6" x14ac:dyDescent="0.25">
      <c r="D6" s="31"/>
      <c r="E6" s="31"/>
      <c r="F6" s="31"/>
      <c r="G6" s="31"/>
      <c r="H6" s="31"/>
      <c r="I6" s="31"/>
      <c r="J6" s="31"/>
      <c r="K6" s="31"/>
      <c r="L6" s="31"/>
    </row>
    <row r="7" spans="1:17" ht="12.95" x14ac:dyDescent="0.3">
      <c r="A7" s="32" t="str">
        <f>YEAR(A3)&amp;" RBA (Deferral of CY "&amp;YEAR(A3)-1&amp;" REC Revenue)"</f>
        <v>2021 RBA (Deferral of CY 2020 REC Revenue)</v>
      </c>
      <c r="D7" s="198" t="s">
        <v>117</v>
      </c>
      <c r="E7" s="199"/>
      <c r="F7" s="199"/>
      <c r="G7" s="199"/>
      <c r="H7" s="199"/>
      <c r="I7" s="199"/>
      <c r="J7" s="199"/>
      <c r="K7" s="199"/>
      <c r="L7" s="199"/>
      <c r="M7" s="199"/>
      <c r="N7" s="199"/>
      <c r="O7" s="200"/>
    </row>
    <row r="8" spans="1:17" ht="12.95" x14ac:dyDescent="0.3">
      <c r="B8" s="32"/>
      <c r="C8" s="32"/>
      <c r="D8" s="37"/>
      <c r="E8" s="30"/>
      <c r="F8" s="30"/>
      <c r="G8" s="30"/>
      <c r="H8" s="30"/>
      <c r="I8" s="30"/>
      <c r="J8" s="30"/>
      <c r="K8" s="30"/>
      <c r="L8" s="30"/>
      <c r="O8" s="38"/>
    </row>
    <row r="9" spans="1:17" ht="12.95" x14ac:dyDescent="0.3">
      <c r="A9" s="39" t="s">
        <v>11</v>
      </c>
      <c r="B9" s="39"/>
      <c r="C9" s="40" t="s">
        <v>12</v>
      </c>
      <c r="D9" s="41">
        <v>43831</v>
      </c>
      <c r="E9" s="42">
        <f>EDATE(D9,1)</f>
        <v>43862</v>
      </c>
      <c r="F9" s="42">
        <f t="shared" ref="F9:O9" si="0">EDATE(E9,1)</f>
        <v>43891</v>
      </c>
      <c r="G9" s="42">
        <f t="shared" si="0"/>
        <v>43922</v>
      </c>
      <c r="H9" s="42">
        <f t="shared" si="0"/>
        <v>43952</v>
      </c>
      <c r="I9" s="42">
        <f t="shared" si="0"/>
        <v>43983</v>
      </c>
      <c r="J9" s="42">
        <f t="shared" si="0"/>
        <v>44013</v>
      </c>
      <c r="K9" s="42">
        <f t="shared" si="0"/>
        <v>44044</v>
      </c>
      <c r="L9" s="42">
        <f t="shared" si="0"/>
        <v>44075</v>
      </c>
      <c r="M9" s="42">
        <f t="shared" si="0"/>
        <v>44105</v>
      </c>
      <c r="N9" s="42">
        <f t="shared" si="0"/>
        <v>44136</v>
      </c>
      <c r="O9" s="43">
        <f t="shared" si="0"/>
        <v>44166</v>
      </c>
      <c r="P9" s="44" t="s">
        <v>30</v>
      </c>
    </row>
    <row r="10" spans="1:17" ht="12.6" x14ac:dyDescent="0.25">
      <c r="D10" s="45"/>
      <c r="O10" s="38"/>
    </row>
    <row r="11" spans="1:17" ht="12.95" x14ac:dyDescent="0.3">
      <c r="A11" s="46"/>
      <c r="B11" s="32" t="s">
        <v>31</v>
      </c>
      <c r="C11" s="32"/>
      <c r="D11" s="37"/>
      <c r="E11" s="30"/>
      <c r="F11" s="30"/>
      <c r="G11" s="30"/>
      <c r="H11" s="30"/>
      <c r="I11" s="30"/>
      <c r="J11" s="30"/>
      <c r="K11" s="30"/>
      <c r="L11" s="30"/>
      <c r="M11" s="30"/>
      <c r="N11" s="30"/>
      <c r="O11" s="47"/>
      <c r="P11" s="31"/>
    </row>
    <row r="12" spans="1:17" ht="12.6" x14ac:dyDescent="0.25">
      <c r="A12" s="46">
        <f>MAX($A$10:A11)+1</f>
        <v>1</v>
      </c>
      <c r="B12" s="48" t="s">
        <v>32</v>
      </c>
      <c r="C12" s="49" t="s">
        <v>33</v>
      </c>
      <c r="D12" s="50">
        <v>-744218.63</v>
      </c>
      <c r="E12" s="31">
        <v>10256.25</v>
      </c>
      <c r="F12" s="31">
        <v>1050750</v>
      </c>
      <c r="G12" s="31">
        <v>649880.35</v>
      </c>
      <c r="H12" s="31">
        <v>-252250</v>
      </c>
      <c r="I12" s="31">
        <v>33750</v>
      </c>
      <c r="J12" s="31">
        <v>12780</v>
      </c>
      <c r="K12" s="31">
        <v>-6390</v>
      </c>
      <c r="L12" s="31">
        <v>0</v>
      </c>
      <c r="M12" s="31">
        <v>627096</v>
      </c>
      <c r="N12" s="31">
        <v>2701600</v>
      </c>
      <c r="O12" s="51">
        <v>243750</v>
      </c>
      <c r="P12" s="31">
        <f>SUM(D12:O12)</f>
        <v>4327003.97</v>
      </c>
      <c r="Q12" s="52"/>
    </row>
    <row r="13" spans="1:17" ht="7.5" customHeight="1" x14ac:dyDescent="0.25">
      <c r="A13" s="46"/>
      <c r="B13" s="48"/>
      <c r="C13" s="53"/>
      <c r="D13" s="37"/>
      <c r="E13" s="30"/>
      <c r="F13" s="30"/>
      <c r="G13" s="30"/>
      <c r="H13" s="30"/>
      <c r="I13" s="30"/>
      <c r="J13" s="30"/>
      <c r="K13" s="30"/>
      <c r="L13" s="30"/>
      <c r="M13" s="30"/>
      <c r="N13" s="30"/>
      <c r="O13" s="47"/>
    </row>
    <row r="14" spans="1:17" ht="12.6" x14ac:dyDescent="0.25">
      <c r="A14" s="46">
        <f>MAX($A$10:A13)+1</f>
        <v>2</v>
      </c>
      <c r="B14" s="48" t="s">
        <v>34</v>
      </c>
      <c r="C14" s="49" t="s">
        <v>6</v>
      </c>
      <c r="D14" s="54">
        <f>'Page 2.1'!$E$48</f>
        <v>0.66038108405330864</v>
      </c>
      <c r="E14" s="55">
        <f>'Page 2.1'!$E$48</f>
        <v>0.66038108405330864</v>
      </c>
      <c r="F14" s="55">
        <f>'Page 2.1'!$E$48</f>
        <v>0.66038108405330864</v>
      </c>
      <c r="G14" s="55">
        <f>'Page 2.1'!$E$48</f>
        <v>0.66038108405330864</v>
      </c>
      <c r="H14" s="55">
        <f>'Page 2.1'!$E$48</f>
        <v>0.66038108405330864</v>
      </c>
      <c r="I14" s="55">
        <f>'Page 2.1'!$E$48</f>
        <v>0.66038108405330864</v>
      </c>
      <c r="J14" s="55">
        <f>'Page 2.1'!$E$48</f>
        <v>0.66038108405330864</v>
      </c>
      <c r="K14" s="55">
        <f>'Page 2.1'!$E$48</f>
        <v>0.66038108405330864</v>
      </c>
      <c r="L14" s="55">
        <f>'Page 2.1'!$E$48</f>
        <v>0.66038108405330864</v>
      </c>
      <c r="M14" s="55">
        <f>'Page 2.1'!$E$48</f>
        <v>0.66038108405330864</v>
      </c>
      <c r="N14" s="55">
        <f>'Page 2.1'!$E$48</f>
        <v>0.66038108405330864</v>
      </c>
      <c r="O14" s="56">
        <f>'Page 2.1'!$E$48</f>
        <v>0.66038108405330864</v>
      </c>
    </row>
    <row r="15" spans="1:17" ht="7.5" customHeight="1" x14ac:dyDescent="0.25">
      <c r="A15" s="46"/>
      <c r="B15" s="48"/>
      <c r="C15" s="49"/>
      <c r="D15" s="45"/>
      <c r="O15" s="38"/>
    </row>
    <row r="16" spans="1:17" ht="12.6" x14ac:dyDescent="0.25">
      <c r="A16" s="46">
        <f>MAX($A$10:A15)+1</f>
        <v>3</v>
      </c>
      <c r="B16" s="48" t="s">
        <v>35</v>
      </c>
      <c r="C16" s="49" t="s">
        <v>36</v>
      </c>
      <c r="D16" s="50">
        <f t="shared" ref="D16:O16" si="1">D12*D14</f>
        <v>-491467.90565206821</v>
      </c>
      <c r="E16" s="31">
        <f t="shared" si="1"/>
        <v>6773.0334933217464</v>
      </c>
      <c r="F16" s="31">
        <f t="shared" si="1"/>
        <v>693895.42406901403</v>
      </c>
      <c r="G16" s="31">
        <f t="shared" si="1"/>
        <v>429168.6900379436</v>
      </c>
      <c r="H16" s="31">
        <f t="shared" si="1"/>
        <v>-166581.1284524471</v>
      </c>
      <c r="I16" s="31">
        <f t="shared" si="1"/>
        <v>22287.861586799168</v>
      </c>
      <c r="J16" s="31">
        <f t="shared" si="1"/>
        <v>8439.6702542012845</v>
      </c>
      <c r="K16" s="31">
        <f t="shared" si="1"/>
        <v>-4219.8351271006422</v>
      </c>
      <c r="L16" s="31">
        <f t="shared" si="1"/>
        <v>0</v>
      </c>
      <c r="M16" s="31">
        <f t="shared" si="1"/>
        <v>414122.33628549363</v>
      </c>
      <c r="N16" s="31">
        <f t="shared" si="1"/>
        <v>1784085.5366784185</v>
      </c>
      <c r="O16" s="51">
        <f t="shared" si="1"/>
        <v>160967.88923799398</v>
      </c>
      <c r="P16" s="31">
        <f>SUM(D16:O16)</f>
        <v>2857471.5724115698</v>
      </c>
      <c r="Q16" s="52"/>
    </row>
    <row r="17" spans="1:17" ht="12.6" x14ac:dyDescent="0.25">
      <c r="A17" s="46">
        <f>MAX($A$10:A16)+1</f>
        <v>4</v>
      </c>
      <c r="B17" s="48" t="s">
        <v>37</v>
      </c>
      <c r="C17" s="49" t="s">
        <v>38</v>
      </c>
      <c r="D17" s="50">
        <f t="shared" ref="D17:O17" si="2">D16*0.1</f>
        <v>-49146.790565206822</v>
      </c>
      <c r="E17" s="31">
        <f t="shared" si="2"/>
        <v>677.30334933217466</v>
      </c>
      <c r="F17" s="31">
        <f t="shared" si="2"/>
        <v>69389.542406901412</v>
      </c>
      <c r="G17" s="31">
        <f t="shared" si="2"/>
        <v>42916.86900379436</v>
      </c>
      <c r="H17" s="31">
        <f t="shared" si="2"/>
        <v>-16658.112845244712</v>
      </c>
      <c r="I17" s="31">
        <f t="shared" si="2"/>
        <v>2228.7861586799168</v>
      </c>
      <c r="J17" s="31">
        <f t="shared" si="2"/>
        <v>843.96702542012849</v>
      </c>
      <c r="K17" s="31">
        <f t="shared" si="2"/>
        <v>-421.98351271006425</v>
      </c>
      <c r="L17" s="31">
        <f t="shared" si="2"/>
        <v>0</v>
      </c>
      <c r="M17" s="31">
        <f t="shared" si="2"/>
        <v>41412.233628549366</v>
      </c>
      <c r="N17" s="31">
        <f t="shared" si="2"/>
        <v>178408.55366784186</v>
      </c>
      <c r="O17" s="51">
        <f t="shared" si="2"/>
        <v>16096.788923799399</v>
      </c>
      <c r="P17" s="31">
        <f>SUM(D17:O17)</f>
        <v>285747.15724115702</v>
      </c>
      <c r="Q17" s="52"/>
    </row>
    <row r="18" spans="1:17" ht="12.6" x14ac:dyDescent="0.25">
      <c r="A18" s="46">
        <f>MAX($A$10:A17)+1</f>
        <v>5</v>
      </c>
      <c r="B18" s="48" t="s">
        <v>39</v>
      </c>
      <c r="C18" s="49" t="s">
        <v>40</v>
      </c>
      <c r="D18" s="50">
        <f t="shared" ref="D18:O18" si="3">D16-D17</f>
        <v>-442321.11508686136</v>
      </c>
      <c r="E18" s="31">
        <f t="shared" si="3"/>
        <v>6095.7301439895718</v>
      </c>
      <c r="F18" s="31">
        <f t="shared" si="3"/>
        <v>624505.88166211266</v>
      </c>
      <c r="G18" s="31">
        <f t="shared" si="3"/>
        <v>386251.82103414927</v>
      </c>
      <c r="H18" s="31">
        <f t="shared" si="3"/>
        <v>-149923.0156072024</v>
      </c>
      <c r="I18" s="31">
        <f t="shared" si="3"/>
        <v>20059.075428119253</v>
      </c>
      <c r="J18" s="31">
        <f t="shared" si="3"/>
        <v>7595.7032287811562</v>
      </c>
      <c r="K18" s="31">
        <f t="shared" si="3"/>
        <v>-3797.8516143905781</v>
      </c>
      <c r="L18" s="31">
        <f t="shared" si="3"/>
        <v>0</v>
      </c>
      <c r="M18" s="31">
        <f t="shared" si="3"/>
        <v>372710.10265694425</v>
      </c>
      <c r="N18" s="31">
        <f t="shared" si="3"/>
        <v>1605676.9830105766</v>
      </c>
      <c r="O18" s="51">
        <f t="shared" si="3"/>
        <v>144871.10031419457</v>
      </c>
      <c r="P18" s="31">
        <f>SUM(D18:O18)</f>
        <v>2571724.4151704125</v>
      </c>
      <c r="Q18" s="52"/>
    </row>
    <row r="19" spans="1:17" ht="12.6" x14ac:dyDescent="0.25">
      <c r="A19" s="46"/>
      <c r="B19" s="48"/>
      <c r="C19" s="49"/>
      <c r="D19" s="50"/>
      <c r="E19" s="31"/>
      <c r="F19" s="31"/>
      <c r="G19" s="31"/>
      <c r="H19" s="31"/>
      <c r="I19" s="31"/>
      <c r="J19" s="31"/>
      <c r="K19" s="31"/>
      <c r="L19" s="31"/>
      <c r="M19" s="31"/>
      <c r="N19" s="31"/>
      <c r="O19" s="51"/>
      <c r="P19" s="31"/>
      <c r="Q19" s="52"/>
    </row>
    <row r="20" spans="1:17" ht="12.6" x14ac:dyDescent="0.25">
      <c r="A20" s="46">
        <f>MAX($A$10:A19)+1</f>
        <v>6</v>
      </c>
      <c r="B20" s="48" t="str">
        <f>"Leaning Juniper Revenue CY "&amp;YEAR(A3)-1</f>
        <v>Leaning Juniper Revenue CY 2020</v>
      </c>
      <c r="C20" s="49" t="s">
        <v>6</v>
      </c>
      <c r="D20" s="50">
        <v>95.617315150839957</v>
      </c>
      <c r="E20" s="31">
        <v>372.01543352982679</v>
      </c>
      <c r="F20" s="31">
        <v>505.25939651055273</v>
      </c>
      <c r="G20" s="31">
        <v>399.14369406847504</v>
      </c>
      <c r="H20" s="31">
        <v>321.55989902274501</v>
      </c>
      <c r="I20" s="31">
        <v>479.32089378462115</v>
      </c>
      <c r="J20" s="31">
        <v>578.49411430829969</v>
      </c>
      <c r="K20" s="31">
        <v>564.39971744828904</v>
      </c>
      <c r="L20" s="31">
        <v>498.43277115818586</v>
      </c>
      <c r="M20" s="31">
        <v>286.04540551206395</v>
      </c>
      <c r="N20" s="31">
        <v>460.48974578259629</v>
      </c>
      <c r="O20" s="51">
        <v>337.53919309166628</v>
      </c>
      <c r="P20" s="31">
        <f>SUM(D20:O20)</f>
        <v>4898.3175793681621</v>
      </c>
      <c r="Q20" s="52"/>
    </row>
    <row r="21" spans="1:17" ht="12.6" x14ac:dyDescent="0.25">
      <c r="A21" s="46"/>
      <c r="B21" s="48"/>
      <c r="C21" s="49"/>
      <c r="D21" s="50"/>
      <c r="E21" s="31"/>
      <c r="F21" s="31"/>
      <c r="G21" s="31"/>
      <c r="H21" s="31"/>
      <c r="I21" s="31"/>
      <c r="J21" s="31"/>
      <c r="K21" s="31"/>
      <c r="L21" s="31"/>
      <c r="M21" s="31"/>
      <c r="N21" s="31"/>
      <c r="O21" s="51"/>
      <c r="P21" s="31"/>
      <c r="Q21" s="52"/>
    </row>
    <row r="22" spans="1:17" ht="12.6" x14ac:dyDescent="0.25">
      <c r="A22" s="46">
        <f>MAX($A$10:A21)+1</f>
        <v>7</v>
      </c>
      <c r="B22" s="48" t="str">
        <f>"Kennecott Revenue CY "&amp;YEAR(A3)-1</f>
        <v>Kennecott Revenue CY 2020</v>
      </c>
      <c r="C22" s="49" t="s">
        <v>33</v>
      </c>
      <c r="D22" s="50">
        <v>50000</v>
      </c>
      <c r="E22" s="31">
        <v>50000</v>
      </c>
      <c r="F22" s="31">
        <v>50000</v>
      </c>
      <c r="G22" s="31">
        <v>50000</v>
      </c>
      <c r="H22" s="31">
        <v>50000</v>
      </c>
      <c r="I22" s="31">
        <v>50000</v>
      </c>
      <c r="J22" s="31">
        <v>50000</v>
      </c>
      <c r="K22" s="31">
        <v>50000</v>
      </c>
      <c r="L22" s="31">
        <v>50000</v>
      </c>
      <c r="M22" s="31">
        <v>50000</v>
      </c>
      <c r="N22" s="31">
        <v>50000</v>
      </c>
      <c r="O22" s="51">
        <v>50000</v>
      </c>
      <c r="P22" s="31">
        <f>SUM(D22:O22)</f>
        <v>600000</v>
      </c>
      <c r="Q22" s="52"/>
    </row>
    <row r="23" spans="1:17" ht="12.6" x14ac:dyDescent="0.25">
      <c r="A23" s="46"/>
      <c r="B23" s="48"/>
      <c r="C23" s="49"/>
      <c r="D23" s="50"/>
      <c r="E23" s="31"/>
      <c r="F23" s="31"/>
      <c r="G23" s="31"/>
      <c r="H23" s="31"/>
      <c r="I23" s="31"/>
      <c r="J23" s="31"/>
      <c r="K23" s="31"/>
      <c r="L23" s="31"/>
      <c r="M23" s="31"/>
      <c r="N23" s="31"/>
      <c r="O23" s="51"/>
      <c r="P23" s="31"/>
      <c r="Q23" s="52"/>
    </row>
    <row r="24" spans="1:17" ht="12.6" x14ac:dyDescent="0.25">
      <c r="A24" s="46">
        <f>MAX($A$10:A23)+1</f>
        <v>8</v>
      </c>
      <c r="B24" s="48" t="s">
        <v>41</v>
      </c>
      <c r="C24" s="49" t="s">
        <v>42</v>
      </c>
      <c r="D24" s="50">
        <f>D18+D20+D22</f>
        <v>-392225.49777171051</v>
      </c>
      <c r="E24" s="31">
        <f t="shared" ref="E24:O24" si="4">E18+E20+E22</f>
        <v>56467.745577519396</v>
      </c>
      <c r="F24" s="31">
        <f t="shared" si="4"/>
        <v>675011.14105862321</v>
      </c>
      <c r="G24" s="31">
        <f t="shared" si="4"/>
        <v>436650.96472821775</v>
      </c>
      <c r="H24" s="31">
        <f t="shared" si="4"/>
        <v>-99601.455708179652</v>
      </c>
      <c r="I24" s="31">
        <f t="shared" si="4"/>
        <v>70538.396321903871</v>
      </c>
      <c r="J24" s="31">
        <f t="shared" si="4"/>
        <v>58174.197343089458</v>
      </c>
      <c r="K24" s="31">
        <f t="shared" si="4"/>
        <v>46766.548103057714</v>
      </c>
      <c r="L24" s="31">
        <f t="shared" si="4"/>
        <v>50498.432771158186</v>
      </c>
      <c r="M24" s="31">
        <f t="shared" si="4"/>
        <v>422996.14806245628</v>
      </c>
      <c r="N24" s="31">
        <f t="shared" si="4"/>
        <v>1656137.4727563593</v>
      </c>
      <c r="O24" s="51">
        <f t="shared" si="4"/>
        <v>195208.63950728622</v>
      </c>
      <c r="P24" s="31">
        <f>SUM(D24:O24)</f>
        <v>3176622.7327497811</v>
      </c>
      <c r="Q24" s="52"/>
    </row>
    <row r="25" spans="1:17" ht="12.6" x14ac:dyDescent="0.25">
      <c r="A25" s="46"/>
      <c r="C25" s="49"/>
      <c r="D25" s="45"/>
      <c r="O25" s="38"/>
    </row>
    <row r="26" spans="1:17" ht="12.95" x14ac:dyDescent="0.3">
      <c r="A26" s="46"/>
      <c r="B26" s="32" t="s">
        <v>43</v>
      </c>
      <c r="C26" s="49"/>
      <c r="D26" s="45"/>
      <c r="K26" s="57"/>
      <c r="M26" s="57"/>
      <c r="O26" s="38"/>
    </row>
    <row r="27" spans="1:17" ht="12.6" x14ac:dyDescent="0.25">
      <c r="A27" s="46"/>
      <c r="B27" s="48"/>
      <c r="C27" s="49"/>
      <c r="D27" s="37"/>
      <c r="E27" s="30"/>
      <c r="F27" s="30"/>
      <c r="G27" s="30"/>
      <c r="H27" s="30"/>
      <c r="I27" s="30"/>
      <c r="J27" s="30"/>
      <c r="K27" s="30"/>
      <c r="L27" s="30"/>
      <c r="M27" s="30"/>
      <c r="N27" s="30"/>
      <c r="O27" s="47"/>
      <c r="P27" s="31"/>
      <c r="Q27" s="52"/>
    </row>
    <row r="28" spans="1:17" ht="15" customHeight="1" x14ac:dyDescent="0.25">
      <c r="A28" s="46">
        <f>MAX($A$10:A27)+1</f>
        <v>9</v>
      </c>
      <c r="B28" s="58" t="s">
        <v>44</v>
      </c>
      <c r="C28" s="49" t="s">
        <v>45</v>
      </c>
      <c r="D28" s="37">
        <f>$P$28/12</f>
        <v>166666.66666666666</v>
      </c>
      <c r="E28" s="30">
        <f t="shared" ref="E28:O28" si="5">$P$28/12</f>
        <v>166666.66666666666</v>
      </c>
      <c r="F28" s="30">
        <f t="shared" si="5"/>
        <v>166666.66666666666</v>
      </c>
      <c r="G28" s="30">
        <f t="shared" si="5"/>
        <v>166666.66666666666</v>
      </c>
      <c r="H28" s="30">
        <f t="shared" si="5"/>
        <v>166666.66666666666</v>
      </c>
      <c r="I28" s="30">
        <f t="shared" si="5"/>
        <v>166666.66666666666</v>
      </c>
      <c r="J28" s="30">
        <f t="shared" si="5"/>
        <v>166666.66666666666</v>
      </c>
      <c r="K28" s="30">
        <f t="shared" si="5"/>
        <v>166666.66666666666</v>
      </c>
      <c r="L28" s="30">
        <f t="shared" si="5"/>
        <v>166666.66666666666</v>
      </c>
      <c r="M28" s="30">
        <f t="shared" si="5"/>
        <v>166666.66666666666</v>
      </c>
      <c r="N28" s="30">
        <f t="shared" si="5"/>
        <v>166666.66666666666</v>
      </c>
      <c r="O28" s="47">
        <f t="shared" si="5"/>
        <v>166666.66666666666</v>
      </c>
      <c r="P28" s="31">
        <v>2000000</v>
      </c>
    </row>
    <row r="29" spans="1:17" ht="6.75" customHeight="1" x14ac:dyDescent="0.25">
      <c r="A29" s="46"/>
      <c r="B29" s="48"/>
      <c r="C29" s="49"/>
      <c r="D29" s="37"/>
      <c r="E29" s="30"/>
      <c r="F29" s="30"/>
      <c r="G29" s="30"/>
      <c r="H29" s="30"/>
      <c r="I29" s="30"/>
      <c r="J29" s="30"/>
      <c r="K29" s="30"/>
      <c r="L29" s="30"/>
      <c r="M29" s="30"/>
      <c r="N29" s="30"/>
      <c r="O29" s="47"/>
      <c r="P29" s="31"/>
    </row>
    <row r="30" spans="1:17" ht="12.6" x14ac:dyDescent="0.25">
      <c r="A30" s="46">
        <f>MAX($A$12:A29)+1</f>
        <v>10</v>
      </c>
      <c r="B30" s="49" t="s">
        <v>46</v>
      </c>
      <c r="C30" s="49" t="s">
        <v>47</v>
      </c>
      <c r="D30" s="59">
        <v>-69991.75</v>
      </c>
      <c r="E30" s="60">
        <v>-65857.25</v>
      </c>
      <c r="F30" s="60">
        <v>-59837.61</v>
      </c>
      <c r="G30" s="60">
        <v>-54656.45</v>
      </c>
      <c r="H30" s="60">
        <v>-59939.82</v>
      </c>
      <c r="I30" s="60">
        <v>-12243.09</v>
      </c>
      <c r="J30" s="60">
        <v>112834.61</v>
      </c>
      <c r="K30" s="60">
        <v>134451.57999999999</v>
      </c>
      <c r="L30" s="60">
        <v>121420.18</v>
      </c>
      <c r="M30" s="60">
        <v>89604.53</v>
      </c>
      <c r="N30" s="60">
        <v>80366.89</v>
      </c>
      <c r="O30" s="61">
        <v>87606.52</v>
      </c>
      <c r="P30" s="31">
        <f>SUM(D30:O30)</f>
        <v>303758.33999999997</v>
      </c>
      <c r="Q30" s="52"/>
    </row>
    <row r="31" spans="1:17" ht="12.6" x14ac:dyDescent="0.25">
      <c r="A31" s="46"/>
      <c r="B31" s="49"/>
      <c r="C31" s="49"/>
      <c r="D31" s="59"/>
      <c r="E31" s="60"/>
      <c r="F31" s="60"/>
      <c r="G31" s="60"/>
      <c r="H31" s="60"/>
      <c r="I31" s="60"/>
      <c r="J31" s="60"/>
      <c r="K31" s="60"/>
      <c r="L31" s="60"/>
      <c r="M31" s="60"/>
      <c r="N31" s="60"/>
      <c r="O31" s="61"/>
      <c r="P31" s="31"/>
    </row>
    <row r="32" spans="1:17" ht="12.6" x14ac:dyDescent="0.25">
      <c r="A32" s="46">
        <f>MAX($A$10:A31)+1</f>
        <v>11</v>
      </c>
      <c r="B32" s="48" t="s">
        <v>48</v>
      </c>
      <c r="C32" s="49" t="s">
        <v>49</v>
      </c>
      <c r="D32" s="37">
        <f>D30+D28</f>
        <v>96674.916666666657</v>
      </c>
      <c r="E32" s="30">
        <f t="shared" ref="E32:O32" si="6">E30+E28</f>
        <v>100809.41666666666</v>
      </c>
      <c r="F32" s="30">
        <f t="shared" si="6"/>
        <v>106829.05666666666</v>
      </c>
      <c r="G32" s="30">
        <f t="shared" si="6"/>
        <v>112010.21666666666</v>
      </c>
      <c r="H32" s="30">
        <f t="shared" si="6"/>
        <v>106726.84666666665</v>
      </c>
      <c r="I32" s="30">
        <f t="shared" si="6"/>
        <v>154423.57666666666</v>
      </c>
      <c r="J32" s="30">
        <f t="shared" si="6"/>
        <v>279501.27666666667</v>
      </c>
      <c r="K32" s="30">
        <f t="shared" si="6"/>
        <v>301118.24666666664</v>
      </c>
      <c r="L32" s="30">
        <f t="shared" si="6"/>
        <v>288086.84666666668</v>
      </c>
      <c r="M32" s="30">
        <f t="shared" si="6"/>
        <v>256271.19666666666</v>
      </c>
      <c r="N32" s="30">
        <f t="shared" si="6"/>
        <v>247033.55666666664</v>
      </c>
      <c r="O32" s="47">
        <f t="shared" si="6"/>
        <v>254273.18666666665</v>
      </c>
      <c r="P32" s="31">
        <f>SUM(D32:O32)</f>
        <v>2303758.34</v>
      </c>
      <c r="Q32" s="52"/>
    </row>
    <row r="33" spans="1:18" ht="12.6" x14ac:dyDescent="0.25">
      <c r="A33" s="46"/>
      <c r="B33" s="48"/>
      <c r="C33" s="58"/>
      <c r="D33" s="45"/>
      <c r="O33" s="38"/>
      <c r="P33" s="31"/>
    </row>
    <row r="34" spans="1:18" ht="12.6" x14ac:dyDescent="0.25">
      <c r="A34" s="46">
        <f>MAX($A$10:A33)+1</f>
        <v>12</v>
      </c>
      <c r="B34" s="48" t="s">
        <v>50</v>
      </c>
      <c r="C34" s="49" t="s">
        <v>51</v>
      </c>
      <c r="D34" s="50">
        <f>D24-D32</f>
        <v>-488900.41443837713</v>
      </c>
      <c r="E34" s="31">
        <f t="shared" ref="E34:O34" si="7">E24-E32</f>
        <v>-44341.671089147261</v>
      </c>
      <c r="F34" s="31">
        <f t="shared" si="7"/>
        <v>568182.08439195657</v>
      </c>
      <c r="G34" s="31">
        <f t="shared" si="7"/>
        <v>324640.74806155107</v>
      </c>
      <c r="H34" s="31">
        <f t="shared" si="7"/>
        <v>-206328.3023748463</v>
      </c>
      <c r="I34" s="31">
        <f t="shared" si="7"/>
        <v>-83885.18034476279</v>
      </c>
      <c r="J34" s="31">
        <f t="shared" si="7"/>
        <v>-221327.07932357723</v>
      </c>
      <c r="K34" s="31">
        <f t="shared" si="7"/>
        <v>-254351.69856360892</v>
      </c>
      <c r="L34" s="31">
        <f t="shared" si="7"/>
        <v>-237588.41389550851</v>
      </c>
      <c r="M34" s="31">
        <f t="shared" si="7"/>
        <v>166724.95139578963</v>
      </c>
      <c r="N34" s="31">
        <f t="shared" si="7"/>
        <v>1409103.9160896926</v>
      </c>
      <c r="O34" s="51">
        <f t="shared" si="7"/>
        <v>-59064.547159380425</v>
      </c>
      <c r="P34" s="31">
        <f>SUM(D34:O34)</f>
        <v>872864.39274978137</v>
      </c>
      <c r="Q34" s="52"/>
    </row>
    <row r="35" spans="1:18" ht="12.6" x14ac:dyDescent="0.25">
      <c r="A35" s="46"/>
      <c r="B35" s="48"/>
      <c r="C35" s="49"/>
      <c r="D35" s="45"/>
      <c r="O35" s="38"/>
    </row>
    <row r="36" spans="1:18" ht="12.6" x14ac:dyDescent="0.25">
      <c r="A36" s="46"/>
      <c r="B36" s="48"/>
      <c r="C36" s="49"/>
      <c r="D36" s="45"/>
      <c r="O36" s="38"/>
    </row>
    <row r="37" spans="1:18" ht="12.6" x14ac:dyDescent="0.25">
      <c r="A37" s="46">
        <f>MAX($A$10:A36)+1</f>
        <v>13</v>
      </c>
      <c r="B37" s="48" t="str">
        <f>"CY "&amp;YEAR(A3)-1&amp;" Deferral Balance"</f>
        <v>CY 2020 Deferral Balance</v>
      </c>
      <c r="C37" s="49" t="s">
        <v>52</v>
      </c>
      <c r="D37" s="62">
        <f>670985.767602097</f>
        <v>670985.76760209701</v>
      </c>
      <c r="E37" s="31">
        <f t="shared" ref="E37:O37" si="8">D40</f>
        <v>183638.6534961143</v>
      </c>
      <c r="F37" s="31">
        <f t="shared" si="8"/>
        <v>139884.99437734057</v>
      </c>
      <c r="G37" s="31">
        <f t="shared" si="8"/>
        <v>709611.05816915166</v>
      </c>
      <c r="H37" s="31">
        <f t="shared" si="8"/>
        <v>1037071.0511948158</v>
      </c>
      <c r="I37" s="31">
        <f t="shared" si="8"/>
        <v>833762.38112999336</v>
      </c>
      <c r="J37" s="31">
        <f t="shared" si="8"/>
        <v>752437.41810932686</v>
      </c>
      <c r="K37" s="31">
        <f t="shared" si="8"/>
        <v>533185.40765939665</v>
      </c>
      <c r="L37" s="31">
        <f t="shared" si="8"/>
        <v>280146.47333454195</v>
      </c>
      <c r="M37" s="31">
        <f t="shared" si="8"/>
        <v>43079.765100350727</v>
      </c>
      <c r="N37" s="31">
        <f t="shared" si="8"/>
        <v>210213.54640805468</v>
      </c>
      <c r="O37" s="51">
        <f t="shared" si="8"/>
        <v>1622275.2042954783</v>
      </c>
    </row>
    <row r="38" spans="1:18" ht="12.6" x14ac:dyDescent="0.25">
      <c r="A38" s="46">
        <f>MAX($A$10:A37)+1</f>
        <v>14</v>
      </c>
      <c r="B38" s="48" t="s">
        <v>53</v>
      </c>
      <c r="C38" s="49" t="s">
        <v>54</v>
      </c>
      <c r="D38" s="50">
        <f>D34</f>
        <v>-488900.41443837713</v>
      </c>
      <c r="E38" s="31">
        <f t="shared" ref="E38:O38" si="9">E34</f>
        <v>-44341.671089147261</v>
      </c>
      <c r="F38" s="31">
        <f t="shared" si="9"/>
        <v>568182.08439195657</v>
      </c>
      <c r="G38" s="31">
        <f t="shared" si="9"/>
        <v>324640.74806155107</v>
      </c>
      <c r="H38" s="31">
        <f t="shared" si="9"/>
        <v>-206328.3023748463</v>
      </c>
      <c r="I38" s="31">
        <f t="shared" si="9"/>
        <v>-83885.18034476279</v>
      </c>
      <c r="J38" s="31">
        <f t="shared" si="9"/>
        <v>-221327.07932357723</v>
      </c>
      <c r="K38" s="31">
        <f t="shared" si="9"/>
        <v>-254351.69856360892</v>
      </c>
      <c r="L38" s="31">
        <f t="shared" si="9"/>
        <v>-237588.41389550851</v>
      </c>
      <c r="M38" s="31">
        <f t="shared" si="9"/>
        <v>166724.95139578963</v>
      </c>
      <c r="N38" s="31">
        <f t="shared" si="9"/>
        <v>1409103.9160896926</v>
      </c>
      <c r="O38" s="51">
        <f t="shared" si="9"/>
        <v>-59064.547159380425</v>
      </c>
      <c r="P38" s="31">
        <f>SUM(D38:O38)</f>
        <v>872864.39274978137</v>
      </c>
      <c r="Q38" s="52"/>
    </row>
    <row r="39" spans="1:18" ht="12.6" x14ac:dyDescent="0.25">
      <c r="A39" s="46">
        <f>MAX($A$10:A38)+1</f>
        <v>15</v>
      </c>
      <c r="B39" s="48" t="s">
        <v>55</v>
      </c>
      <c r="C39" s="49" t="s">
        <v>56</v>
      </c>
      <c r="D39" s="37">
        <f>(D37+0.5*D38)*$D$57/12</f>
        <v>1553.3003323944249</v>
      </c>
      <c r="E39" s="30">
        <f>(E37+0.5*E38)*$D$57/12</f>
        <v>588.01197037352733</v>
      </c>
      <c r="F39" s="30">
        <f>(F37+0.5*F38)*$D$57/12</f>
        <v>1543.9793998545031</v>
      </c>
      <c r="G39" s="30">
        <f t="shared" ref="G39:O39" si="10">(G37+0.5*G38)*$D$58/12</f>
        <v>2819.2449641130975</v>
      </c>
      <c r="H39" s="30">
        <f t="shared" si="10"/>
        <v>3019.6323100239028</v>
      </c>
      <c r="I39" s="30">
        <f t="shared" si="10"/>
        <v>2560.2173240962788</v>
      </c>
      <c r="J39" s="30">
        <f t="shared" si="10"/>
        <v>2075.0688736470406</v>
      </c>
      <c r="K39" s="30">
        <f>(K37+0.5*K38)*$D$58/12</f>
        <v>1312.7642387542148</v>
      </c>
      <c r="L39" s="30">
        <f t="shared" si="10"/>
        <v>521.70566131728026</v>
      </c>
      <c r="M39" s="30">
        <f t="shared" si="10"/>
        <v>408.82991191432728</v>
      </c>
      <c r="N39" s="30">
        <f t="shared" si="10"/>
        <v>2957.7417977310465</v>
      </c>
      <c r="O39" s="47">
        <f t="shared" si="10"/>
        <v>5149.8688093143819</v>
      </c>
      <c r="P39" s="31">
        <f>SUM(D39:O39)</f>
        <v>24510.365593534025</v>
      </c>
      <c r="Q39" s="52"/>
    </row>
    <row r="40" spans="1:18" ht="12.95" x14ac:dyDescent="0.3">
      <c r="A40" s="46">
        <f>MAX($A$10:A39)+1</f>
        <v>16</v>
      </c>
      <c r="B40" s="63" t="str">
        <f>"Ending Deferral Balance - "&amp;YEAR(A3)&amp;" RBA"</f>
        <v>Ending Deferral Balance - 2021 RBA</v>
      </c>
      <c r="C40" s="49" t="s">
        <v>57</v>
      </c>
      <c r="D40" s="64">
        <f>D37+D38+D39</f>
        <v>183638.6534961143</v>
      </c>
      <c r="E40" s="65">
        <f>E37+E38+E39</f>
        <v>139884.99437734057</v>
      </c>
      <c r="F40" s="65">
        <f t="shared" ref="F40:O40" si="11">F37+F38+F39</f>
        <v>709611.05816915166</v>
      </c>
      <c r="G40" s="65">
        <f t="shared" si="11"/>
        <v>1037071.0511948158</v>
      </c>
      <c r="H40" s="65">
        <f t="shared" si="11"/>
        <v>833762.38112999336</v>
      </c>
      <c r="I40" s="65">
        <f t="shared" si="11"/>
        <v>752437.41810932686</v>
      </c>
      <c r="J40" s="65">
        <f t="shared" si="11"/>
        <v>533185.40765939665</v>
      </c>
      <c r="K40" s="65">
        <f t="shared" si="11"/>
        <v>280146.47333454195</v>
      </c>
      <c r="L40" s="65">
        <f t="shared" si="11"/>
        <v>43079.765100350727</v>
      </c>
      <c r="M40" s="65">
        <f t="shared" si="11"/>
        <v>210213.54640805468</v>
      </c>
      <c r="N40" s="65">
        <f t="shared" si="11"/>
        <v>1622275.2042954783</v>
      </c>
      <c r="O40" s="66">
        <f t="shared" si="11"/>
        <v>1568360.5259454122</v>
      </c>
      <c r="P40" s="31"/>
      <c r="Q40" s="52"/>
      <c r="R40" s="31"/>
    </row>
    <row r="41" spans="1:18" ht="12.6" x14ac:dyDescent="0.25">
      <c r="A41" s="46"/>
      <c r="C41" s="49"/>
      <c r="K41" s="31"/>
      <c r="L41" s="31"/>
      <c r="M41" s="31"/>
      <c r="N41" s="31"/>
      <c r="O41" s="31"/>
      <c r="P41" s="31"/>
      <c r="R41" s="31"/>
    </row>
    <row r="42" spans="1:18" ht="12.6" x14ac:dyDescent="0.25">
      <c r="A42" s="46"/>
      <c r="C42" s="49"/>
      <c r="D42" s="34"/>
      <c r="E42" s="34"/>
      <c r="F42" s="34"/>
      <c r="G42" s="34"/>
      <c r="H42" s="34"/>
      <c r="I42" s="34"/>
      <c r="J42" s="34"/>
      <c r="L42" s="31"/>
      <c r="M42" s="31"/>
      <c r="N42" s="31"/>
      <c r="O42" s="31"/>
      <c r="R42" s="31"/>
    </row>
    <row r="43" spans="1:18" ht="12.6" x14ac:dyDescent="0.25">
      <c r="A43" s="46"/>
      <c r="C43" s="49"/>
      <c r="E43" s="31"/>
      <c r="F43" s="31"/>
      <c r="G43" s="31"/>
      <c r="H43" s="31"/>
      <c r="I43" s="31"/>
      <c r="J43" s="31"/>
      <c r="K43" s="31"/>
      <c r="L43" s="31"/>
      <c r="M43" s="31"/>
      <c r="P43" s="31"/>
      <c r="Q43" s="67"/>
      <c r="R43" s="52"/>
    </row>
    <row r="44" spans="1:18" ht="14.45" x14ac:dyDescent="0.35">
      <c r="A44" s="68" t="s">
        <v>58</v>
      </c>
      <c r="D44"/>
      <c r="E44"/>
      <c r="F44"/>
      <c r="G44"/>
      <c r="H44"/>
      <c r="I44"/>
      <c r="J44" s="69"/>
      <c r="K44" s="70"/>
      <c r="L44" s="70"/>
      <c r="M44" s="70"/>
      <c r="N44" s="70"/>
      <c r="O44" s="70"/>
      <c r="P44" s="31"/>
    </row>
    <row r="45" spans="1:18" ht="12.95" x14ac:dyDescent="0.3">
      <c r="B45" s="32"/>
      <c r="C45" s="32"/>
      <c r="D45" s="30"/>
      <c r="E45" s="30"/>
      <c r="F45" s="30"/>
      <c r="G45" s="30"/>
      <c r="H45" s="30"/>
      <c r="I45" s="30"/>
      <c r="J45" s="30"/>
      <c r="K45" s="30"/>
      <c r="L45" s="30"/>
    </row>
    <row r="46" spans="1:18" ht="12.95" x14ac:dyDescent="0.3">
      <c r="A46" s="39" t="s">
        <v>11</v>
      </c>
      <c r="B46" s="39"/>
      <c r="C46" s="40" t="s">
        <v>12</v>
      </c>
      <c r="D46" s="42">
        <f>EDATE(O9,1)</f>
        <v>44197</v>
      </c>
      <c r="E46" s="42">
        <f>EDATE(D46,1)</f>
        <v>44228</v>
      </c>
      <c r="F46" s="42">
        <f t="shared" ref="F46:I46" si="12">EDATE(E46,1)</f>
        <v>44256</v>
      </c>
      <c r="G46" s="42">
        <f t="shared" si="12"/>
        <v>44287</v>
      </c>
      <c r="H46" s="42">
        <f t="shared" si="12"/>
        <v>44317</v>
      </c>
      <c r="I46" s="42">
        <f t="shared" si="12"/>
        <v>44348</v>
      </c>
      <c r="J46" s="44" t="s">
        <v>30</v>
      </c>
      <c r="K46" s="34"/>
      <c r="Q46" s="14"/>
    </row>
    <row r="47" spans="1:18" x14ac:dyDescent="0.2">
      <c r="K47" s="34"/>
      <c r="Q47" s="14"/>
    </row>
    <row r="48" spans="1:18" x14ac:dyDescent="0.2">
      <c r="A48" s="46">
        <f>MAX($A$12:A47)+1</f>
        <v>17</v>
      </c>
      <c r="B48" s="49" t="s">
        <v>46</v>
      </c>
      <c r="C48" s="49" t="s">
        <v>47</v>
      </c>
      <c r="D48" s="60">
        <v>90966.99</v>
      </c>
      <c r="E48" s="60">
        <v>87000</v>
      </c>
      <c r="F48" s="60">
        <f>E48</f>
        <v>87000</v>
      </c>
      <c r="G48" s="60">
        <f t="shared" ref="G48:H48" si="13">F48</f>
        <v>87000</v>
      </c>
      <c r="H48" s="60">
        <f t="shared" si="13"/>
        <v>87000</v>
      </c>
      <c r="I48" s="60">
        <f>H48/2</f>
        <v>43500</v>
      </c>
      <c r="J48" s="31">
        <f>SUM(D48:I48)</f>
        <v>482466.99</v>
      </c>
      <c r="K48" s="34"/>
      <c r="Q48" s="14"/>
    </row>
    <row r="49" spans="1:17" x14ac:dyDescent="0.2">
      <c r="A49" s="46"/>
      <c r="B49" s="49"/>
      <c r="C49" s="49"/>
      <c r="D49" s="60"/>
      <c r="E49" s="60"/>
      <c r="F49" s="60"/>
      <c r="G49" s="60"/>
      <c r="H49" s="60"/>
      <c r="I49" s="60"/>
      <c r="J49" s="31"/>
      <c r="K49" s="34"/>
      <c r="Q49" s="14"/>
    </row>
    <row r="50" spans="1:17" x14ac:dyDescent="0.2">
      <c r="A50" s="46">
        <f>MAX($A$13:A48)+1</f>
        <v>18</v>
      </c>
      <c r="B50" s="49" t="s">
        <v>59</v>
      </c>
      <c r="C50" s="49" t="s">
        <v>60</v>
      </c>
      <c r="D50" s="71">
        <f>O40</f>
        <v>1568360.5259454122</v>
      </c>
      <c r="E50" s="71">
        <f>D53</f>
        <v>1482317.5050121357</v>
      </c>
      <c r="F50" s="71">
        <f t="shared" ref="F50:I50" si="14">E53</f>
        <v>1399969.6816116751</v>
      </c>
      <c r="G50" s="71">
        <f t="shared" si="14"/>
        <v>1317355.600248886</v>
      </c>
      <c r="H50" s="71">
        <f t="shared" si="14"/>
        <v>1233582.7011028498</v>
      </c>
      <c r="I50" s="71">
        <f t="shared" si="14"/>
        <v>1149597.577278977</v>
      </c>
      <c r="K50" s="34"/>
      <c r="Q50" s="14"/>
    </row>
    <row r="51" spans="1:17" x14ac:dyDescent="0.2">
      <c r="A51" s="46">
        <f>MAX($A$12:A50)+1</f>
        <v>19</v>
      </c>
      <c r="B51" s="53" t="s">
        <v>61</v>
      </c>
      <c r="C51" s="49" t="s">
        <v>62</v>
      </c>
      <c r="D51" s="71">
        <f>-D48</f>
        <v>-90966.99</v>
      </c>
      <c r="E51" s="71">
        <f>-E48</f>
        <v>-87000</v>
      </c>
      <c r="F51" s="71">
        <f t="shared" ref="F51:I51" si="15">-F48</f>
        <v>-87000</v>
      </c>
      <c r="G51" s="71">
        <f t="shared" si="15"/>
        <v>-87000</v>
      </c>
      <c r="H51" s="71">
        <f t="shared" si="15"/>
        <v>-87000</v>
      </c>
      <c r="I51" s="71">
        <f t="shared" si="15"/>
        <v>-43500</v>
      </c>
      <c r="J51" s="31">
        <f>SUM(D51:I51)</f>
        <v>-482466.99</v>
      </c>
      <c r="K51" s="34"/>
      <c r="Q51" s="14"/>
    </row>
    <row r="52" spans="1:17" ht="13.5" thickBot="1" x14ac:dyDescent="0.25">
      <c r="A52" s="46">
        <f>MAX($A$12:A51)+1</f>
        <v>20</v>
      </c>
      <c r="B52" s="53" t="s">
        <v>55</v>
      </c>
      <c r="C52" s="49" t="s">
        <v>63</v>
      </c>
      <c r="D52" s="31">
        <f>(D50+0.5*D51)*$D$58/12</f>
        <v>4923.9690667234991</v>
      </c>
      <c r="E52" s="31">
        <f>(E50+0.5*E51)*$D$58/12</f>
        <v>4652.1765995392389</v>
      </c>
      <c r="F52" s="31">
        <f>(F50+0.5*F51)*$D$58/12</f>
        <v>4385.9186372110826</v>
      </c>
      <c r="G52" s="31">
        <f>(G50+0.5*G51)*$D$59/12</f>
        <v>3227.1008539638447</v>
      </c>
      <c r="H52" s="31">
        <f>(H50+0.5*H51)*$D$59/12</f>
        <v>3014.8761761272194</v>
      </c>
      <c r="I52" s="31">
        <v>0</v>
      </c>
      <c r="J52" s="31">
        <f>SUM(D52:I52)</f>
        <v>20204.041333564885</v>
      </c>
      <c r="K52" s="52"/>
      <c r="Q52" s="14"/>
    </row>
    <row r="53" spans="1:17" ht="13.5" thickBot="1" x14ac:dyDescent="0.25">
      <c r="A53" s="46">
        <f>MAX($A$12:A52)+1</f>
        <v>21</v>
      </c>
      <c r="B53" s="72" t="s">
        <v>64</v>
      </c>
      <c r="C53" s="49" t="s">
        <v>65</v>
      </c>
      <c r="D53" s="31">
        <f>D50+D51+D52</f>
        <v>1482317.5050121357</v>
      </c>
      <c r="E53" s="31">
        <f t="shared" ref="E53:H53" si="16">E50+E51+E52</f>
        <v>1399969.6816116751</v>
      </c>
      <c r="F53" s="31">
        <f t="shared" si="16"/>
        <v>1317355.600248886</v>
      </c>
      <c r="G53" s="31">
        <f t="shared" si="16"/>
        <v>1233582.7011028498</v>
      </c>
      <c r="H53" s="31">
        <f t="shared" si="16"/>
        <v>1149597.577278977</v>
      </c>
      <c r="I53" s="73">
        <f>I50+I51</f>
        <v>1106097.577278977</v>
      </c>
      <c r="J53" s="31"/>
      <c r="K53" s="34"/>
      <c r="Q53" s="14"/>
    </row>
    <row r="54" spans="1:17" x14ac:dyDescent="0.2">
      <c r="A54" s="46"/>
      <c r="K54" s="34"/>
      <c r="Q54" s="14"/>
    </row>
    <row r="55" spans="1:17" x14ac:dyDescent="0.2">
      <c r="A55" s="46"/>
      <c r="D55" s="74"/>
      <c r="K55" s="34"/>
      <c r="Q55" s="14"/>
    </row>
    <row r="56" spans="1:17" s="13" customFormat="1" x14ac:dyDescent="0.2">
      <c r="A56" s="75" t="s">
        <v>66</v>
      </c>
      <c r="B56" s="76"/>
      <c r="C56" s="77"/>
      <c r="D56" s="76"/>
      <c r="E56" s="76"/>
      <c r="F56" s="76"/>
      <c r="G56" s="76"/>
      <c r="H56" s="76"/>
      <c r="I56" s="76"/>
      <c r="K56" s="78"/>
    </row>
    <row r="57" spans="1:17" s="13" customFormat="1" x14ac:dyDescent="0.2">
      <c r="A57" s="46">
        <f>MAX($A$12:A55)+1</f>
        <v>22</v>
      </c>
      <c r="B57" s="33" t="s">
        <v>67</v>
      </c>
      <c r="C57" s="49" t="s">
        <v>68</v>
      </c>
      <c r="D57" s="79">
        <v>4.3700000000000003E-2</v>
      </c>
      <c r="E57" s="33"/>
      <c r="F57" s="33"/>
      <c r="G57" s="33"/>
      <c r="H57" s="33"/>
      <c r="I57" s="33"/>
      <c r="K57" s="78"/>
    </row>
    <row r="58" spans="1:17" s="13" customFormat="1" x14ac:dyDescent="0.2">
      <c r="A58" s="46">
        <f>MAX($A$12:A57)+1</f>
        <v>23</v>
      </c>
      <c r="B58" s="33" t="s">
        <v>69</v>
      </c>
      <c r="C58" s="33" t="s">
        <v>70</v>
      </c>
      <c r="D58" s="79">
        <v>3.8800000000000001E-2</v>
      </c>
      <c r="E58" s="33"/>
      <c r="F58" s="33"/>
      <c r="G58" s="33"/>
      <c r="H58" s="33"/>
      <c r="I58" s="33"/>
      <c r="J58" s="33"/>
      <c r="K58" s="80"/>
      <c r="L58" s="80"/>
      <c r="M58" s="80"/>
      <c r="N58" s="80"/>
      <c r="O58" s="80"/>
      <c r="Q58" s="78"/>
    </row>
    <row r="59" spans="1:17" s="13" customFormat="1" x14ac:dyDescent="0.2">
      <c r="A59" s="46">
        <f>MAX($A$12:A58)+1</f>
        <v>24</v>
      </c>
      <c r="B59" s="33" t="s">
        <v>71</v>
      </c>
      <c r="C59" s="33" t="s">
        <v>72</v>
      </c>
      <c r="D59" s="79">
        <v>3.04E-2</v>
      </c>
      <c r="E59" s="33"/>
      <c r="F59" s="33"/>
      <c r="G59" s="33"/>
      <c r="H59" s="33"/>
      <c r="I59" s="33"/>
      <c r="J59" s="33"/>
      <c r="K59" s="80"/>
      <c r="L59" s="80"/>
      <c r="M59" s="80"/>
      <c r="N59" s="80"/>
      <c r="O59" s="80"/>
      <c r="Q59" s="78"/>
    </row>
    <row r="60" spans="1:17" s="13" customFormat="1" x14ac:dyDescent="0.2">
      <c r="A60" s="46"/>
      <c r="B60" s="33"/>
      <c r="C60" s="32"/>
      <c r="D60" s="79"/>
      <c r="E60" s="80"/>
      <c r="F60" s="80"/>
      <c r="G60" s="80"/>
      <c r="H60" s="80"/>
      <c r="I60" s="80"/>
      <c r="J60" s="80"/>
      <c r="K60" s="80"/>
      <c r="L60" s="80"/>
      <c r="M60" s="80"/>
      <c r="N60" s="80"/>
      <c r="O60" s="80"/>
      <c r="Q60" s="78"/>
    </row>
    <row r="61" spans="1:17" x14ac:dyDescent="0.2">
      <c r="A61" s="46"/>
      <c r="D61" s="81"/>
      <c r="O61" s="31"/>
    </row>
    <row r="62" spans="1:17" ht="12.75" customHeight="1" x14ac:dyDescent="0.2">
      <c r="A62" s="201" t="s">
        <v>73</v>
      </c>
      <c r="B62" s="201"/>
      <c r="C62" s="201"/>
      <c r="D62" s="201"/>
      <c r="E62" s="201"/>
      <c r="F62" s="201"/>
      <c r="G62" s="201"/>
      <c r="H62" s="201"/>
      <c r="I62" s="201"/>
      <c r="J62" s="201"/>
      <c r="K62" s="201"/>
      <c r="L62" s="201"/>
      <c r="M62" s="201"/>
      <c r="N62" s="201"/>
      <c r="O62" s="201"/>
      <c r="P62" s="201"/>
    </row>
    <row r="63" spans="1:17" x14ac:dyDescent="0.2">
      <c r="A63" s="201"/>
      <c r="B63" s="201"/>
      <c r="C63" s="201"/>
      <c r="D63" s="201"/>
      <c r="E63" s="201"/>
      <c r="F63" s="201"/>
      <c r="G63" s="201"/>
      <c r="H63" s="201"/>
      <c r="I63" s="201"/>
      <c r="J63" s="201"/>
      <c r="K63" s="201"/>
      <c r="L63" s="201"/>
      <c r="M63" s="201"/>
      <c r="N63" s="201"/>
      <c r="O63" s="201"/>
      <c r="P63" s="201"/>
    </row>
    <row r="64" spans="1:17" x14ac:dyDescent="0.2">
      <c r="A64" s="201"/>
      <c r="B64" s="201"/>
      <c r="C64" s="201"/>
      <c r="D64" s="201"/>
      <c r="E64" s="201"/>
      <c r="F64" s="201"/>
      <c r="G64" s="201"/>
      <c r="H64" s="201"/>
      <c r="I64" s="201"/>
      <c r="J64" s="201"/>
      <c r="K64" s="201"/>
      <c r="L64" s="201"/>
      <c r="M64" s="201"/>
      <c r="N64" s="201"/>
      <c r="O64" s="201"/>
      <c r="P64" s="201"/>
    </row>
    <row r="65" spans="1:16" x14ac:dyDescent="0.2">
      <c r="A65" s="201"/>
      <c r="B65" s="201"/>
      <c r="C65" s="201"/>
      <c r="D65" s="201"/>
      <c r="E65" s="201"/>
      <c r="F65" s="201"/>
      <c r="G65" s="201"/>
      <c r="H65" s="201"/>
      <c r="I65" s="201"/>
      <c r="J65" s="201"/>
      <c r="K65" s="201"/>
      <c r="L65" s="201"/>
      <c r="M65" s="201"/>
      <c r="N65" s="201"/>
      <c r="O65" s="201"/>
      <c r="P65" s="201"/>
    </row>
    <row r="66" spans="1:16" x14ac:dyDescent="0.2">
      <c r="A66" s="201"/>
      <c r="B66" s="201"/>
      <c r="C66" s="201"/>
      <c r="D66" s="201"/>
      <c r="E66" s="201"/>
      <c r="F66" s="201"/>
      <c r="G66" s="201"/>
      <c r="H66" s="201"/>
      <c r="I66" s="201"/>
      <c r="J66" s="201"/>
      <c r="K66" s="201"/>
      <c r="L66" s="201"/>
      <c r="M66" s="201"/>
      <c r="N66" s="201"/>
      <c r="O66" s="201"/>
      <c r="P66" s="201"/>
    </row>
    <row r="67" spans="1:16" x14ac:dyDescent="0.2">
      <c r="A67" s="201"/>
      <c r="B67" s="201"/>
      <c r="C67" s="201"/>
      <c r="D67" s="201"/>
      <c r="E67" s="201"/>
      <c r="F67" s="201"/>
      <c r="G67" s="201"/>
      <c r="H67" s="201"/>
      <c r="I67" s="201"/>
      <c r="J67" s="201"/>
      <c r="K67" s="201"/>
      <c r="L67" s="201"/>
      <c r="M67" s="201"/>
      <c r="N67" s="201"/>
      <c r="O67" s="201"/>
      <c r="P67" s="201"/>
    </row>
    <row r="68" spans="1:16" x14ac:dyDescent="0.2">
      <c r="A68" s="201"/>
      <c r="B68" s="201"/>
      <c r="C68" s="201"/>
      <c r="D68" s="201"/>
      <c r="E68" s="201"/>
      <c r="F68" s="201"/>
      <c r="G68" s="201"/>
      <c r="H68" s="201"/>
      <c r="I68" s="201"/>
      <c r="J68" s="201"/>
      <c r="K68" s="201"/>
      <c r="L68" s="201"/>
      <c r="M68" s="201"/>
      <c r="N68" s="201"/>
      <c r="O68" s="201"/>
      <c r="P68" s="201"/>
    </row>
    <row r="69" spans="1:16" x14ac:dyDescent="0.2">
      <c r="A69" s="201"/>
      <c r="B69" s="201"/>
      <c r="C69" s="201"/>
      <c r="D69" s="201"/>
      <c r="E69" s="201"/>
      <c r="F69" s="201"/>
      <c r="G69" s="201"/>
      <c r="H69" s="201"/>
      <c r="I69" s="201"/>
      <c r="J69" s="201"/>
      <c r="K69" s="201"/>
      <c r="L69" s="201"/>
      <c r="M69" s="201"/>
      <c r="N69" s="201"/>
      <c r="O69" s="201"/>
      <c r="P69" s="201"/>
    </row>
    <row r="70" spans="1:16" x14ac:dyDescent="0.2">
      <c r="A70" s="201"/>
      <c r="B70" s="201"/>
      <c r="C70" s="201"/>
      <c r="D70" s="201"/>
      <c r="E70" s="201"/>
      <c r="F70" s="201"/>
      <c r="G70" s="201"/>
      <c r="H70" s="201"/>
      <c r="I70" s="201"/>
      <c r="J70" s="201"/>
      <c r="K70" s="201"/>
      <c r="L70" s="201"/>
      <c r="M70" s="201"/>
      <c r="N70" s="201"/>
      <c r="O70" s="201"/>
      <c r="P70" s="201"/>
    </row>
    <row r="71" spans="1:16" x14ac:dyDescent="0.2">
      <c r="A71" s="201"/>
      <c r="B71" s="201"/>
      <c r="C71" s="201"/>
      <c r="D71" s="201"/>
      <c r="E71" s="201"/>
      <c r="F71" s="201"/>
      <c r="G71" s="201"/>
      <c r="H71" s="201"/>
      <c r="I71" s="201"/>
      <c r="J71" s="201"/>
      <c r="K71" s="201"/>
      <c r="L71" s="201"/>
      <c r="M71" s="201"/>
      <c r="N71" s="201"/>
      <c r="O71" s="201"/>
      <c r="P71" s="201"/>
    </row>
    <row r="72" spans="1:16" x14ac:dyDescent="0.2">
      <c r="A72" s="201"/>
      <c r="B72" s="201"/>
      <c r="C72" s="201"/>
      <c r="D72" s="201"/>
      <c r="E72" s="201"/>
      <c r="F72" s="201"/>
      <c r="G72" s="201"/>
      <c r="H72" s="201"/>
      <c r="I72" s="201"/>
      <c r="J72" s="201"/>
      <c r="K72" s="201"/>
      <c r="L72" s="201"/>
      <c r="M72" s="201"/>
      <c r="N72" s="201"/>
      <c r="O72" s="201"/>
      <c r="P72" s="201"/>
    </row>
    <row r="73" spans="1:16" x14ac:dyDescent="0.2">
      <c r="A73" s="201"/>
      <c r="B73" s="201"/>
      <c r="C73" s="201"/>
      <c r="D73" s="201"/>
      <c r="E73" s="201"/>
      <c r="F73" s="201"/>
      <c r="G73" s="201"/>
      <c r="H73" s="201"/>
      <c r="I73" s="201"/>
      <c r="J73" s="201"/>
      <c r="K73" s="201"/>
      <c r="L73" s="201"/>
      <c r="M73" s="201"/>
      <c r="N73" s="201"/>
      <c r="O73" s="201"/>
      <c r="P73" s="201"/>
    </row>
    <row r="74" spans="1:16" x14ac:dyDescent="0.2">
      <c r="A74" s="201"/>
      <c r="B74" s="201"/>
      <c r="C74" s="201"/>
      <c r="D74" s="201"/>
      <c r="E74" s="201"/>
      <c r="F74" s="201"/>
      <c r="G74" s="201"/>
      <c r="H74" s="201"/>
      <c r="I74" s="201"/>
      <c r="J74" s="201"/>
      <c r="K74" s="201"/>
      <c r="L74" s="201"/>
      <c r="M74" s="201"/>
      <c r="N74" s="201"/>
      <c r="O74" s="201"/>
      <c r="P74" s="201"/>
    </row>
    <row r="75" spans="1:16" x14ac:dyDescent="0.2">
      <c r="A75" s="201"/>
      <c r="B75" s="201"/>
      <c r="C75" s="201"/>
      <c r="D75" s="201"/>
      <c r="E75" s="201"/>
      <c r="F75" s="201"/>
      <c r="G75" s="201"/>
      <c r="H75" s="201"/>
      <c r="I75" s="201"/>
      <c r="J75" s="201"/>
      <c r="K75" s="201"/>
      <c r="L75" s="201"/>
      <c r="M75" s="201"/>
      <c r="N75" s="201"/>
      <c r="O75" s="201"/>
      <c r="P75" s="201"/>
    </row>
    <row r="76" spans="1:16" x14ac:dyDescent="0.2">
      <c r="A76" s="201"/>
      <c r="B76" s="201"/>
      <c r="C76" s="201"/>
      <c r="D76" s="201"/>
      <c r="E76" s="201"/>
      <c r="F76" s="201"/>
      <c r="G76" s="201"/>
      <c r="H76" s="201"/>
      <c r="I76" s="201"/>
      <c r="J76" s="201"/>
      <c r="K76" s="201"/>
      <c r="L76" s="201"/>
      <c r="M76" s="201"/>
      <c r="N76" s="201"/>
      <c r="O76" s="201"/>
      <c r="P76" s="201"/>
    </row>
    <row r="77" spans="1:16" x14ac:dyDescent="0.2">
      <c r="A77" s="201"/>
      <c r="B77" s="201"/>
      <c r="C77" s="201"/>
      <c r="D77" s="201"/>
      <c r="E77" s="201"/>
      <c r="F77" s="201"/>
      <c r="G77" s="201"/>
      <c r="H77" s="201"/>
      <c r="I77" s="201"/>
      <c r="J77" s="201"/>
      <c r="K77" s="201"/>
      <c r="L77" s="201"/>
      <c r="M77" s="201"/>
      <c r="N77" s="201"/>
      <c r="O77" s="201"/>
      <c r="P77" s="201"/>
    </row>
  </sheetData>
  <mergeCells count="2">
    <mergeCell ref="D7:O7"/>
    <mergeCell ref="A62:P77"/>
  </mergeCells>
  <pageMargins left="0.7" right="0.7" top="0.75" bottom="0.75" header="0.3" footer="0.3"/>
  <pageSetup scale="52" orientation="landscape" r:id="rId1"/>
  <headerFooter>
    <oddFooter>&amp;C&amp;"Arial,Regular"&amp;10RMP__(GB-2)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15"/>
  <sheetViews>
    <sheetView zoomScale="85" zoomScaleNormal="85" workbookViewId="0">
      <selection activeCell="B23" sqref="B23"/>
    </sheetView>
  </sheetViews>
  <sheetFormatPr defaultColWidth="12.5703125" defaultRowHeight="12.75" x14ac:dyDescent="0.2"/>
  <cols>
    <col min="1" max="1" width="5.5703125" style="83" customWidth="1"/>
    <col min="2" max="2" width="52.42578125" style="83" customWidth="1"/>
    <col min="3" max="3" width="8.140625" style="83" customWidth="1"/>
    <col min="4" max="4" width="17.28515625" style="83" bestFit="1" customWidth="1"/>
    <col min="5" max="13" width="13.140625" style="83" customWidth="1"/>
    <col min="14" max="16384" width="12.5703125" style="83"/>
  </cols>
  <sheetData>
    <row r="1" spans="1:13" ht="12.95" x14ac:dyDescent="0.3">
      <c r="A1" s="82" t="s">
        <v>8</v>
      </c>
    </row>
    <row r="2" spans="1:13" ht="12.95" x14ac:dyDescent="0.3">
      <c r="A2" s="82" t="s">
        <v>9</v>
      </c>
    </row>
    <row r="3" spans="1:13" ht="12.6" x14ac:dyDescent="0.25">
      <c r="A3" s="84" t="s">
        <v>116</v>
      </c>
    </row>
    <row r="4" spans="1:13" ht="12.6" x14ac:dyDescent="0.25">
      <c r="A4" s="85"/>
    </row>
    <row r="5" spans="1:13" ht="12.95" x14ac:dyDescent="0.3">
      <c r="A5" s="86" t="str">
        <f>"Calculation of Utah Allocated REC Actuals for CY "&amp;YEAR(A3)-1</f>
        <v>Calculation of Utah Allocated REC Actuals for CY 2020</v>
      </c>
      <c r="E5" s="87"/>
    </row>
    <row r="6" spans="1:13" ht="12.6" x14ac:dyDescent="0.25">
      <c r="B6" s="88"/>
      <c r="C6" s="88"/>
      <c r="D6" s="88"/>
      <c r="E6" s="89"/>
      <c r="F6" s="88"/>
      <c r="G6" s="88"/>
      <c r="H6" s="88"/>
      <c r="I6" s="88"/>
      <c r="J6" s="90"/>
      <c r="K6" s="90"/>
      <c r="L6" s="90"/>
    </row>
    <row r="7" spans="1:13" ht="12.6" x14ac:dyDescent="0.25">
      <c r="A7" s="88"/>
      <c r="B7" s="88"/>
      <c r="C7" s="88"/>
      <c r="D7" s="88"/>
      <c r="E7" s="88"/>
      <c r="F7" s="88"/>
      <c r="G7" s="91"/>
      <c r="H7" s="88"/>
      <c r="I7" s="88"/>
      <c r="J7" s="88"/>
      <c r="K7" s="88"/>
      <c r="L7" s="88"/>
    </row>
    <row r="8" spans="1:13" ht="12.6" x14ac:dyDescent="0.25">
      <c r="A8" s="83" t="str">
        <f>"Jan - Dec "&amp;YEAR(A3)-1&amp;" - Actual REC Revenues - CA/OR/WA Eligible Resources(1)"</f>
        <v>Jan - Dec 2020 - Actual REC Revenues - CA/OR/WA Eligible Resources(1)</v>
      </c>
      <c r="B8" s="88"/>
      <c r="C8" s="88"/>
      <c r="D8" s="92">
        <v>2485732.17</v>
      </c>
      <c r="E8" s="93"/>
      <c r="H8" s="88"/>
      <c r="I8" s="88"/>
      <c r="J8" s="88"/>
      <c r="K8" s="88"/>
      <c r="L8" s="88"/>
    </row>
    <row r="9" spans="1:13" ht="12.6" x14ac:dyDescent="0.25">
      <c r="A9" s="94"/>
      <c r="B9" s="88"/>
      <c r="C9" s="88"/>
      <c r="D9" s="95"/>
      <c r="E9" s="88"/>
      <c r="G9" s="88"/>
      <c r="H9" s="88"/>
      <c r="I9" s="88"/>
      <c r="J9" s="88"/>
      <c r="K9" s="96"/>
      <c r="L9" s="97"/>
    </row>
    <row r="10" spans="1:13" ht="12.6" x14ac:dyDescent="0.25">
      <c r="A10" s="83" t="str">
        <f>"Jan - Dec "&amp;YEAR(A3)-1&amp;" - Actual REC Revenues - CA/OR Eligible Resources(1)"</f>
        <v>Jan - Dec 2020 - Actual REC Revenues - CA/OR Eligible Resources(1)</v>
      </c>
      <c r="B10" s="88"/>
      <c r="C10" s="88"/>
      <c r="D10" s="95">
        <v>1814271.8</v>
      </c>
      <c r="E10" s="88"/>
      <c r="G10" s="88"/>
      <c r="H10" s="88"/>
      <c r="I10" s="98"/>
      <c r="J10" s="88"/>
      <c r="K10" s="96"/>
      <c r="L10" s="97"/>
    </row>
    <row r="11" spans="1:13" ht="12.6" x14ac:dyDescent="0.25">
      <c r="A11" s="94"/>
      <c r="B11" s="88"/>
      <c r="C11" s="88"/>
      <c r="D11" s="99"/>
      <c r="E11" s="88"/>
      <c r="G11" s="88"/>
      <c r="H11" s="88"/>
      <c r="I11" s="88"/>
      <c r="J11" s="88"/>
      <c r="K11" s="96"/>
      <c r="L11" s="97"/>
    </row>
    <row r="12" spans="1:13" ht="12.95" x14ac:dyDescent="0.3">
      <c r="A12" s="83" t="str">
        <f>"Jan - Dec "&amp;YEAR(A3)-1&amp;" -  Actual REC Revenues  - CA Eligible Resources(1)"</f>
        <v>Jan - Dec 2020 -  Actual REC Revenues  - CA Eligible Resources(1)</v>
      </c>
      <c r="B12" s="82"/>
      <c r="C12" s="88"/>
      <c r="D12" s="95">
        <v>27000</v>
      </c>
      <c r="E12" s="100"/>
      <c r="F12" s="100"/>
      <c r="G12" s="88"/>
      <c r="H12" s="82"/>
      <c r="I12" s="88"/>
      <c r="J12" s="88"/>
      <c r="K12" s="101"/>
      <c r="L12" s="97"/>
    </row>
    <row r="13" spans="1:13" ht="12.6" x14ac:dyDescent="0.25">
      <c r="A13" s="85"/>
      <c r="E13" s="102"/>
    </row>
    <row r="14" spans="1:13" ht="12.95" x14ac:dyDescent="0.3">
      <c r="A14" s="83" t="str">
        <f>"Total Jan - Dec "&amp;YEAR(A3)-1&amp;" REC Revenues"</f>
        <v>Total Jan - Dec 2020 REC Revenues</v>
      </c>
      <c r="D14" s="103">
        <f>SUM(D8:D12)</f>
        <v>4327003.97</v>
      </c>
      <c r="E14" s="102"/>
    </row>
    <row r="15" spans="1:13" ht="12.95" x14ac:dyDescent="0.3">
      <c r="A15" s="88"/>
      <c r="B15" s="82"/>
      <c r="C15" s="88"/>
      <c r="D15" s="88"/>
      <c r="F15" s="104"/>
      <c r="G15" s="88"/>
      <c r="H15" s="88"/>
      <c r="I15" s="88"/>
      <c r="J15" s="88"/>
      <c r="K15" s="101"/>
      <c r="L15" s="97"/>
    </row>
    <row r="16" spans="1:13" ht="12.95" x14ac:dyDescent="0.3">
      <c r="A16" s="82" t="str">
        <f>"Reallocate Jan - Dec "&amp;YEAR(A3)-1&amp;" REC Revenues for Renewable Portfolio Standards"</f>
        <v>Reallocate Jan - Dec 2020 REC Revenues for Renewable Portfolio Standards</v>
      </c>
      <c r="B16" s="88"/>
      <c r="C16" s="88"/>
      <c r="D16" s="88"/>
      <c r="E16" s="88"/>
      <c r="F16" s="88"/>
      <c r="G16" s="88"/>
      <c r="H16" s="88"/>
      <c r="I16" s="88"/>
      <c r="J16" s="90" t="s">
        <v>74</v>
      </c>
      <c r="K16" s="88"/>
      <c r="L16" s="88"/>
      <c r="M16" s="105"/>
    </row>
    <row r="17" spans="1:13" ht="15.75" customHeight="1" x14ac:dyDescent="0.3">
      <c r="A17" s="88"/>
      <c r="B17" s="88"/>
      <c r="C17" s="106"/>
      <c r="D17" s="106" t="s">
        <v>75</v>
      </c>
      <c r="E17" s="106" t="s">
        <v>30</v>
      </c>
      <c r="F17" s="106" t="s">
        <v>76</v>
      </c>
      <c r="G17" s="106" t="s">
        <v>77</v>
      </c>
      <c r="H17" s="107" t="s">
        <v>78</v>
      </c>
      <c r="I17" s="106" t="s">
        <v>79</v>
      </c>
      <c r="J17" s="106" t="s">
        <v>80</v>
      </c>
      <c r="K17" s="106" t="s">
        <v>81</v>
      </c>
      <c r="L17" s="106" t="s">
        <v>82</v>
      </c>
      <c r="M17" s="106" t="s">
        <v>83</v>
      </c>
    </row>
    <row r="18" spans="1:13" ht="12.6" x14ac:dyDescent="0.25">
      <c r="A18" s="88"/>
      <c r="B18" s="94" t="str">
        <f>"CY "&amp;YEAR(A3)-1&amp;" Actual SG Factor - See Page 2.2"</f>
        <v>CY 2020 Actual SG Factor - See Page 2.2</v>
      </c>
      <c r="C18" s="88"/>
      <c r="D18" s="108" t="s">
        <v>84</v>
      </c>
      <c r="E18" s="109">
        <f>SUM(F18:L18)</f>
        <v>1</v>
      </c>
      <c r="F18" s="90">
        <f>'Page 2.2'!E43</f>
        <v>1.4935138821388184E-2</v>
      </c>
      <c r="G18" s="90">
        <f>'Page 2.2'!F43</f>
        <v>0.26244189774881144</v>
      </c>
      <c r="H18" s="90">
        <f>'Page 2.2'!G43</f>
        <v>8.1064545271467434E-2</v>
      </c>
      <c r="I18" s="90">
        <f>'Page 2.2'!J43</f>
        <v>0.13514550393823238</v>
      </c>
      <c r="J18" s="90">
        <f>'Page 2.2'!H43</f>
        <v>0.44560217704744126</v>
      </c>
      <c r="K18" s="90">
        <f>'Page 2.2'!I43</f>
        <v>6.0444595888922203E-2</v>
      </c>
      <c r="L18" s="90">
        <f>'Page 2.2'!K43</f>
        <v>3.6614128373699961E-4</v>
      </c>
      <c r="M18" s="110"/>
    </row>
    <row r="19" spans="1:13" ht="12.95" thickBot="1" x14ac:dyDescent="0.3">
      <c r="A19" s="88"/>
      <c r="B19" s="88"/>
      <c r="C19" s="88"/>
      <c r="D19" s="108"/>
      <c r="E19" s="109"/>
      <c r="F19" s="90"/>
      <c r="G19" s="90"/>
      <c r="H19" s="90"/>
      <c r="I19" s="90"/>
      <c r="J19" s="90"/>
      <c r="K19" s="90"/>
      <c r="L19" s="90"/>
    </row>
    <row r="20" spans="1:13" ht="12.95" x14ac:dyDescent="0.3">
      <c r="A20" s="82" t="str">
        <f>"Actual Jan - Dec "&amp;YEAR(A3)-1&amp;" REC Rev - Eligible for CA/OR/WA RPS"</f>
        <v>Actual Jan - Dec 2020 REC Rev - Eligible for CA/OR/WA RPS</v>
      </c>
      <c r="B20" s="88"/>
      <c r="C20" s="108"/>
      <c r="D20" s="108" t="s">
        <v>84</v>
      </c>
      <c r="E20" s="111">
        <f>D8</f>
        <v>2485732.17</v>
      </c>
      <c r="F20" s="112">
        <f>$E$20*F18</f>
        <v>37124.755031740489</v>
      </c>
      <c r="G20" s="112">
        <f t="shared" ref="G20:L20" si="0">$E$20*G18</f>
        <v>652360.26799007109</v>
      </c>
      <c r="H20" s="113">
        <f t="shared" si="0"/>
        <v>201504.74802770797</v>
      </c>
      <c r="I20" s="114">
        <f t="shared" si="0"/>
        <v>335935.5267701259</v>
      </c>
      <c r="J20" s="114">
        <f t="shared" si="0"/>
        <v>1107647.6665088604</v>
      </c>
      <c r="K20" s="114">
        <f t="shared" si="0"/>
        <v>150249.07650374365</v>
      </c>
      <c r="L20" s="115">
        <f t="shared" si="0"/>
        <v>910.12916775015776</v>
      </c>
    </row>
    <row r="21" spans="1:13" ht="12.6" x14ac:dyDescent="0.25">
      <c r="A21" s="88"/>
      <c r="B21" s="88"/>
      <c r="C21" s="108"/>
      <c r="D21" s="108"/>
      <c r="E21" s="116"/>
      <c r="F21" s="117"/>
      <c r="G21" s="117"/>
      <c r="H21" s="118"/>
      <c r="I21" s="117"/>
      <c r="J21" s="117"/>
      <c r="K21" s="117"/>
      <c r="L21" s="119"/>
    </row>
    <row r="22" spans="1:13" ht="12.6" x14ac:dyDescent="0.25">
      <c r="A22" s="88"/>
      <c r="B22" s="88" t="s">
        <v>85</v>
      </c>
      <c r="C22" s="108"/>
      <c r="D22" s="108" t="s">
        <v>84</v>
      </c>
      <c r="E22" s="120">
        <f>(E20/(1-SUM($F$18:$H$18)))-E20</f>
        <v>1388789.7747600414</v>
      </c>
      <c r="F22" s="117">
        <f t="shared" ref="F22:L22" si="1">$E$22*F18</f>
        <v>20741.768079765647</v>
      </c>
      <c r="G22" s="117">
        <f t="shared" si="1"/>
        <v>364476.62406216963</v>
      </c>
      <c r="H22" s="118">
        <f t="shared" si="1"/>
        <v>112581.61156858644</v>
      </c>
      <c r="I22" s="117">
        <f t="shared" si="1"/>
        <v>187688.69397421004</v>
      </c>
      <c r="J22" s="117">
        <f t="shared" si="1"/>
        <v>618847.74709429999</v>
      </c>
      <c r="K22" s="117">
        <f t="shared" si="1"/>
        <v>83944.836710037984</v>
      </c>
      <c r="L22" s="119">
        <f t="shared" si="1"/>
        <v>508.49327097146011</v>
      </c>
    </row>
    <row r="23" spans="1:13" ht="12.6" x14ac:dyDescent="0.25">
      <c r="A23" s="88"/>
      <c r="B23" s="88" t="s">
        <v>85</v>
      </c>
      <c r="C23" s="108"/>
      <c r="D23" s="108" t="s">
        <v>86</v>
      </c>
      <c r="E23" s="121">
        <f>-E22</f>
        <v>-1388789.7747600414</v>
      </c>
      <c r="F23" s="122">
        <f>-SUM(F20:F22)</f>
        <v>-57866.523111506132</v>
      </c>
      <c r="G23" s="122">
        <f>-SUM(G20:G22)</f>
        <v>-1016836.8920522407</v>
      </c>
      <c r="H23" s="123">
        <f>-SUM(H20:H22)</f>
        <v>-314086.35959629441</v>
      </c>
      <c r="I23" s="124"/>
      <c r="J23" s="124"/>
      <c r="K23" s="124"/>
      <c r="L23" s="125"/>
    </row>
    <row r="24" spans="1:13" ht="12.6" x14ac:dyDescent="0.25">
      <c r="A24" s="88"/>
      <c r="B24" s="88"/>
      <c r="C24" s="108"/>
      <c r="D24" s="108"/>
      <c r="E24" s="116"/>
      <c r="F24" s="126"/>
      <c r="G24" s="126"/>
      <c r="H24" s="127"/>
      <c r="I24" s="96"/>
      <c r="J24" s="96"/>
      <c r="K24" s="96"/>
      <c r="L24" s="128"/>
    </row>
    <row r="25" spans="1:13" ht="13.5" thickBot="1" x14ac:dyDescent="0.35">
      <c r="A25" s="82" t="str">
        <f>"Actual Jan - Dec "&amp;YEAR(A3)-1&amp;" REC Revenues - Reallocated totals"</f>
        <v>Actual Jan - Dec 2020 REC Revenues - Reallocated totals</v>
      </c>
      <c r="B25" s="88"/>
      <c r="C25" s="88"/>
      <c r="D25" s="88"/>
      <c r="E25" s="129">
        <f t="shared" ref="E25:L25" si="2">SUM(E20:E23)</f>
        <v>2485732.17</v>
      </c>
      <c r="F25" s="130">
        <f t="shared" si="2"/>
        <v>0</v>
      </c>
      <c r="G25" s="130">
        <f t="shared" si="2"/>
        <v>0</v>
      </c>
      <c r="H25" s="131">
        <f t="shared" si="2"/>
        <v>0</v>
      </c>
      <c r="I25" s="124">
        <f t="shared" si="2"/>
        <v>523624.22074433591</v>
      </c>
      <c r="J25" s="124">
        <f t="shared" si="2"/>
        <v>1726495.4136031605</v>
      </c>
      <c r="K25" s="124">
        <f t="shared" si="2"/>
        <v>234193.91321378163</v>
      </c>
      <c r="L25" s="125">
        <f t="shared" si="2"/>
        <v>1418.622438721618</v>
      </c>
    </row>
    <row r="26" spans="1:13" ht="12.95" thickBot="1" x14ac:dyDescent="0.3">
      <c r="A26" s="88"/>
      <c r="B26" s="88"/>
      <c r="C26" s="88"/>
      <c r="D26" s="88"/>
      <c r="E26" s="132"/>
      <c r="F26" s="132"/>
      <c r="G26" s="132"/>
      <c r="H26" s="96"/>
      <c r="I26" s="96"/>
      <c r="J26" s="96"/>
      <c r="K26" s="96"/>
      <c r="L26" s="96"/>
    </row>
    <row r="27" spans="1:13" ht="12.95" x14ac:dyDescent="0.3">
      <c r="A27" s="82" t="str">
        <f>"Actual Jan - Dec "&amp;YEAR(A3)-1&amp;" REC Rev - Eligible for CA/OR RPS"</f>
        <v>Actual Jan - Dec 2020 REC Rev - Eligible for CA/OR RPS</v>
      </c>
      <c r="B27" s="88"/>
      <c r="C27" s="108"/>
      <c r="D27" s="108" t="s">
        <v>84</v>
      </c>
      <c r="E27" s="111">
        <f>D10</f>
        <v>1814271.8</v>
      </c>
      <c r="F27" s="112">
        <f t="shared" ref="F27:L27" si="3">$E$27*F18</f>
        <v>27096.40119272982</v>
      </c>
      <c r="G27" s="113">
        <f t="shared" si="3"/>
        <v>476140.93422415206</v>
      </c>
      <c r="H27" s="114">
        <f t="shared" si="3"/>
        <v>147073.11846584672</v>
      </c>
      <c r="I27" s="114">
        <f t="shared" si="3"/>
        <v>245190.67669192396</v>
      </c>
      <c r="J27" s="114">
        <f t="shared" si="3"/>
        <v>808443.46383577993</v>
      </c>
      <c r="K27" s="114">
        <f t="shared" si="3"/>
        <v>109662.9257836675</v>
      </c>
      <c r="L27" s="115">
        <f t="shared" si="3"/>
        <v>664.27980589983702</v>
      </c>
    </row>
    <row r="28" spans="1:13" ht="12.95" x14ac:dyDescent="0.3">
      <c r="A28" s="82"/>
      <c r="B28" s="88"/>
      <c r="C28" s="108"/>
      <c r="D28" s="108"/>
      <c r="E28" s="116"/>
      <c r="F28" s="117"/>
      <c r="G28" s="118"/>
      <c r="H28" s="117"/>
      <c r="I28" s="117"/>
      <c r="J28" s="117"/>
      <c r="K28" s="117"/>
      <c r="L28" s="119"/>
    </row>
    <row r="29" spans="1:13" ht="12.95" x14ac:dyDescent="0.3">
      <c r="A29" s="82"/>
      <c r="B29" s="88" t="s">
        <v>85</v>
      </c>
      <c r="C29" s="108"/>
      <c r="D29" s="108" t="s">
        <v>84</v>
      </c>
      <c r="E29" s="120">
        <f>(E27/(1-SUM(F18:G18)))-E27</f>
        <v>696403.74148692447</v>
      </c>
      <c r="F29" s="117">
        <f t="shared" ref="F29:L29" si="4">$E$29*F18</f>
        <v>10400.886554841347</v>
      </c>
      <c r="G29" s="118">
        <f t="shared" si="4"/>
        <v>182765.51951520116</v>
      </c>
      <c r="H29" s="117">
        <f t="shared" si="4"/>
        <v>56453.652628986092</v>
      </c>
      <c r="I29" s="117">
        <f t="shared" si="4"/>
        <v>94115.834587720921</v>
      </c>
      <c r="J29" s="117">
        <f t="shared" si="4"/>
        <v>310319.02331055701</v>
      </c>
      <c r="K29" s="117">
        <f t="shared" si="4"/>
        <v>42093.842729710595</v>
      </c>
      <c r="L29" s="119">
        <f t="shared" si="4"/>
        <v>254.98215990727215</v>
      </c>
    </row>
    <row r="30" spans="1:13" ht="12.95" x14ac:dyDescent="0.3">
      <c r="A30" s="82"/>
      <c r="B30" s="88" t="s">
        <v>85</v>
      </c>
      <c r="C30" s="108"/>
      <c r="D30" s="108" t="s">
        <v>86</v>
      </c>
      <c r="E30" s="121">
        <f>-E29</f>
        <v>-696403.74148692447</v>
      </c>
      <c r="F30" s="122">
        <f>-SUM(F27:F29)</f>
        <v>-37497.287747571165</v>
      </c>
      <c r="G30" s="123">
        <f>-SUM(G27:G29)</f>
        <v>-658906.45373935322</v>
      </c>
      <c r="H30" s="124"/>
      <c r="I30" s="124"/>
      <c r="J30" s="124"/>
      <c r="K30" s="124"/>
      <c r="L30" s="125"/>
    </row>
    <row r="31" spans="1:13" ht="12.95" x14ac:dyDescent="0.3">
      <c r="A31" s="82"/>
      <c r="B31" s="88"/>
      <c r="C31" s="108"/>
      <c r="D31" s="108"/>
      <c r="E31" s="116"/>
      <c r="F31" s="126"/>
      <c r="G31" s="127"/>
      <c r="H31" s="117"/>
      <c r="I31" s="96"/>
      <c r="J31" s="96"/>
      <c r="K31" s="96"/>
      <c r="L31" s="128"/>
    </row>
    <row r="32" spans="1:13" ht="13.5" thickBot="1" x14ac:dyDescent="0.35">
      <c r="A32" s="82" t="str">
        <f>"Actual Jan - Dec "&amp;YEAR(A3)-1&amp;" REC Revenues - Reallocated totals"</f>
        <v>Actual Jan - Dec 2020 REC Revenues - Reallocated totals</v>
      </c>
      <c r="B32" s="88"/>
      <c r="C32" s="88"/>
      <c r="D32" s="88"/>
      <c r="E32" s="129">
        <f t="shared" ref="E32:L32" si="5">SUM(E27:E30)</f>
        <v>1814271.8</v>
      </c>
      <c r="F32" s="130">
        <f>SUM(F27:F30)</f>
        <v>0</v>
      </c>
      <c r="G32" s="131">
        <f t="shared" si="5"/>
        <v>0</v>
      </c>
      <c r="H32" s="124">
        <f t="shared" si="5"/>
        <v>203526.7710948328</v>
      </c>
      <c r="I32" s="124">
        <f t="shared" si="5"/>
        <v>339306.51127964491</v>
      </c>
      <c r="J32" s="124">
        <f t="shared" si="5"/>
        <v>1118762.4871463371</v>
      </c>
      <c r="K32" s="124">
        <f t="shared" si="5"/>
        <v>151756.76851337811</v>
      </c>
      <c r="L32" s="125">
        <f t="shared" si="5"/>
        <v>919.26196580710916</v>
      </c>
    </row>
    <row r="33" spans="1:13" ht="12.95" thickBot="1" x14ac:dyDescent="0.3">
      <c r="A33" s="88"/>
      <c r="B33" s="88"/>
      <c r="C33" s="88"/>
      <c r="D33" s="88"/>
      <c r="E33" s="132"/>
      <c r="F33" s="132"/>
      <c r="G33" s="132"/>
      <c r="H33" s="96"/>
      <c r="I33" s="96"/>
      <c r="J33" s="96"/>
      <c r="K33" s="96"/>
      <c r="L33" s="96"/>
      <c r="M33" s="126"/>
    </row>
    <row r="34" spans="1:13" ht="12.95" x14ac:dyDescent="0.3">
      <c r="A34" s="82" t="str">
        <f>"Actual Jan - Dec "&amp;YEAR(A3)-1&amp;" REC Rev - Eligible for CA RPS Only"</f>
        <v>Actual Jan - Dec 2020 REC Rev - Eligible for CA RPS Only</v>
      </c>
      <c r="B34" s="88"/>
      <c r="C34" s="108"/>
      <c r="D34" s="108" t="s">
        <v>84</v>
      </c>
      <c r="E34" s="133">
        <f>D12</f>
        <v>27000</v>
      </c>
      <c r="F34" s="134">
        <f t="shared" ref="F34:L34" si="6">$E$34*F18</f>
        <v>403.24874817748093</v>
      </c>
      <c r="G34" s="114">
        <f t="shared" si="6"/>
        <v>7085.931239217909</v>
      </c>
      <c r="H34" s="114">
        <f t="shared" si="6"/>
        <v>2188.7427223296208</v>
      </c>
      <c r="I34" s="114">
        <f t="shared" si="6"/>
        <v>3648.9286063322743</v>
      </c>
      <c r="J34" s="114">
        <f t="shared" si="6"/>
        <v>12031.258780280914</v>
      </c>
      <c r="K34" s="114">
        <f t="shared" si="6"/>
        <v>1632.0040890008995</v>
      </c>
      <c r="L34" s="114">
        <f t="shared" si="6"/>
        <v>9.8858146608989887</v>
      </c>
      <c r="M34" s="135">
        <f>$E$32*M18</f>
        <v>0</v>
      </c>
    </row>
    <row r="35" spans="1:13" ht="12.6" x14ac:dyDescent="0.25">
      <c r="A35" s="88"/>
      <c r="B35" s="88"/>
      <c r="C35" s="108"/>
      <c r="D35" s="108"/>
      <c r="E35" s="116"/>
      <c r="F35" s="136"/>
      <c r="G35" s="137"/>
      <c r="H35" s="137"/>
      <c r="I35" s="137"/>
      <c r="J35" s="137"/>
      <c r="K35" s="137"/>
      <c r="L35" s="137"/>
      <c r="M35" s="138"/>
    </row>
    <row r="36" spans="1:13" ht="12.6" x14ac:dyDescent="0.25">
      <c r="A36" s="88"/>
      <c r="B36" s="88" t="s">
        <v>85</v>
      </c>
      <c r="C36" s="108"/>
      <c r="D36" s="108" t="s">
        <v>84</v>
      </c>
      <c r="E36" s="139">
        <f>(E34/(1-$F$18))-E34</f>
        <v>409.36263597404468</v>
      </c>
      <c r="F36" s="136">
        <f t="shared" ref="F36:L36" si="7">$E$36*F18</f>
        <v>6.1138877965617535</v>
      </c>
      <c r="G36" s="137">
        <f t="shared" si="7"/>
        <v>107.43390705248416</v>
      </c>
      <c r="H36" s="137">
        <f t="shared" si="7"/>
        <v>33.184795936365191</v>
      </c>
      <c r="I36" s="137">
        <f t="shared" si="7"/>
        <v>55.323519732195443</v>
      </c>
      <c r="J36" s="137">
        <f t="shared" si="7"/>
        <v>182.41288179191349</v>
      </c>
      <c r="K36" s="137">
        <f t="shared" si="7"/>
        <v>24.743759103475096</v>
      </c>
      <c r="L36" s="137">
        <f t="shared" si="7"/>
        <v>0.14988456104949877</v>
      </c>
      <c r="M36" s="138"/>
    </row>
    <row r="37" spans="1:13" ht="12.6" x14ac:dyDescent="0.25">
      <c r="A37" s="88"/>
      <c r="B37" s="88" t="s">
        <v>85</v>
      </c>
      <c r="C37" s="108"/>
      <c r="D37" s="108" t="s">
        <v>86</v>
      </c>
      <c r="E37" s="140">
        <f>-E36</f>
        <v>-409.36263597404468</v>
      </c>
      <c r="F37" s="141">
        <f>-SUM(F34:F36)</f>
        <v>-409.36263597404269</v>
      </c>
      <c r="G37" s="142">
        <v>0</v>
      </c>
      <c r="H37" s="143"/>
      <c r="I37" s="143"/>
      <c r="J37" s="143"/>
      <c r="K37" s="143"/>
      <c r="L37" s="143"/>
      <c r="M37" s="144">
        <f>-G37</f>
        <v>0</v>
      </c>
    </row>
    <row r="38" spans="1:13" ht="12.6" x14ac:dyDescent="0.25">
      <c r="A38" s="88"/>
      <c r="B38" s="88"/>
      <c r="C38" s="108"/>
      <c r="D38" s="108"/>
      <c r="E38" s="116"/>
      <c r="F38" s="127"/>
      <c r="G38" s="126"/>
      <c r="H38" s="145"/>
      <c r="I38" s="145"/>
      <c r="J38" s="145"/>
      <c r="K38" s="145"/>
      <c r="L38" s="145"/>
      <c r="M38" s="146"/>
    </row>
    <row r="39" spans="1:13" ht="13.5" thickBot="1" x14ac:dyDescent="0.35">
      <c r="A39" s="82" t="str">
        <f>"Actual Jan - Dec "&amp;YEAR(A3)-1&amp;" REC Revenues - Reallocated totals"</f>
        <v>Actual Jan - Dec 2020 REC Revenues - Reallocated totals</v>
      </c>
      <c r="B39" s="88"/>
      <c r="C39" s="88"/>
      <c r="D39" s="88"/>
      <c r="E39" s="147">
        <f t="shared" ref="E39:M39" si="8">SUM(E34:E37)</f>
        <v>27000</v>
      </c>
      <c r="F39" s="148">
        <f t="shared" si="8"/>
        <v>0</v>
      </c>
      <c r="G39" s="143">
        <f>SUM(G34:G37)</f>
        <v>7193.3651462703929</v>
      </c>
      <c r="H39" s="143">
        <f t="shared" si="8"/>
        <v>2221.9275182659862</v>
      </c>
      <c r="I39" s="143">
        <f t="shared" si="8"/>
        <v>3704.2521260644698</v>
      </c>
      <c r="J39" s="143">
        <f t="shared" si="8"/>
        <v>12213.671662072828</v>
      </c>
      <c r="K39" s="143">
        <f t="shared" si="8"/>
        <v>1656.7478481043745</v>
      </c>
      <c r="L39" s="143">
        <f t="shared" si="8"/>
        <v>10.035699221948487</v>
      </c>
      <c r="M39" s="144">
        <f t="shared" si="8"/>
        <v>0</v>
      </c>
    </row>
    <row r="40" spans="1:13" ht="12.6" x14ac:dyDescent="0.25">
      <c r="A40" s="88"/>
      <c r="B40" s="88" t="s">
        <v>74</v>
      </c>
      <c r="C40" s="88"/>
      <c r="D40" s="88"/>
      <c r="E40" s="149"/>
      <c r="F40" s="149"/>
      <c r="G40" s="149"/>
      <c r="H40" s="143"/>
      <c r="I40" s="143"/>
      <c r="J40" s="143"/>
      <c r="K40" s="143"/>
      <c r="L40" s="143"/>
      <c r="M40" s="150"/>
    </row>
    <row r="41" spans="1:13" ht="12.95" x14ac:dyDescent="0.3">
      <c r="A41" s="82" t="str">
        <f>"Reallocated REC Revenues for Jan - Dec "&amp;YEAR(A3)-1</f>
        <v>Reallocated REC Revenues for Jan - Dec 2020</v>
      </c>
      <c r="D41" s="108" t="s">
        <v>84</v>
      </c>
      <c r="E41" s="151">
        <f>E29+E22+E36</f>
        <v>2085602.8788829399</v>
      </c>
      <c r="F41" s="152">
        <f>F29+F22+F36</f>
        <v>31148.768522403556</v>
      </c>
      <c r="G41" s="152">
        <f t="shared" ref="F41:M42" si="9">G29+G22+G36</f>
        <v>547349.57748442329</v>
      </c>
      <c r="H41" s="152">
        <f t="shared" si="9"/>
        <v>169068.44899350891</v>
      </c>
      <c r="I41" s="152">
        <f>I29+I22+I36</f>
        <v>281859.85208166321</v>
      </c>
      <c r="J41" s="152">
        <f t="shared" si="9"/>
        <v>929349.18328664894</v>
      </c>
      <c r="K41" s="152">
        <f t="shared" si="9"/>
        <v>126063.42319885205</v>
      </c>
      <c r="L41" s="152">
        <f t="shared" si="9"/>
        <v>763.62531543978173</v>
      </c>
      <c r="M41" s="153">
        <f>M29+M22+M36</f>
        <v>0</v>
      </c>
    </row>
    <row r="42" spans="1:13" ht="12.6" x14ac:dyDescent="0.25">
      <c r="D42" s="108" t="s">
        <v>86</v>
      </c>
      <c r="E42" s="154">
        <f>E30+E23+E37</f>
        <v>-2085602.8788829399</v>
      </c>
      <c r="F42" s="155">
        <f t="shared" si="9"/>
        <v>-95773.173495051335</v>
      </c>
      <c r="G42" s="155">
        <f t="shared" si="9"/>
        <v>-1675743.3457915939</v>
      </c>
      <c r="H42" s="155">
        <f t="shared" si="9"/>
        <v>-314086.35959629441</v>
      </c>
      <c r="I42" s="155">
        <f t="shared" si="9"/>
        <v>0</v>
      </c>
      <c r="J42" s="155">
        <f t="shared" si="9"/>
        <v>0</v>
      </c>
      <c r="K42" s="155">
        <f t="shared" si="9"/>
        <v>0</v>
      </c>
      <c r="L42" s="155">
        <f t="shared" si="9"/>
        <v>0</v>
      </c>
      <c r="M42" s="156">
        <f t="shared" si="9"/>
        <v>0</v>
      </c>
    </row>
    <row r="43" spans="1:13" ht="12.6" x14ac:dyDescent="0.25">
      <c r="E43" s="157"/>
      <c r="M43" s="158"/>
    </row>
    <row r="44" spans="1:13" ht="12.95" x14ac:dyDescent="0.3">
      <c r="A44" s="159" t="str">
        <f>"Actual Jan - Dec "&amp;YEAR(A3)-1&amp;" REC Revenues - Total Reallocated"</f>
        <v>Actual Jan - Dec 2020 REC Revenues - Total Reallocated</v>
      </c>
      <c r="B44" s="160"/>
      <c r="C44" s="160"/>
      <c r="D44" s="160"/>
      <c r="E44" s="161">
        <f>E32+E25+E39</f>
        <v>4327003.97</v>
      </c>
      <c r="F44" s="162">
        <f t="shared" ref="F44:M44" si="10">F32+F25+F39</f>
        <v>0</v>
      </c>
      <c r="G44" s="162">
        <f t="shared" si="10"/>
        <v>7193.3651462703929</v>
      </c>
      <c r="H44" s="162">
        <f t="shared" si="10"/>
        <v>205748.69861309879</v>
      </c>
      <c r="I44" s="162">
        <f t="shared" si="10"/>
        <v>866634.98415004532</v>
      </c>
      <c r="J44" s="163">
        <f>J32+J25+J39</f>
        <v>2857471.5724115702</v>
      </c>
      <c r="K44" s="162">
        <f t="shared" si="10"/>
        <v>387607.42957526416</v>
      </c>
      <c r="L44" s="162">
        <f t="shared" si="10"/>
        <v>2347.9201037506755</v>
      </c>
      <c r="M44" s="164">
        <f t="shared" si="10"/>
        <v>0</v>
      </c>
    </row>
    <row r="45" spans="1:13" ht="12.95" x14ac:dyDescent="0.3">
      <c r="E45" s="165" t="s">
        <v>87</v>
      </c>
      <c r="F45" s="166"/>
      <c r="G45" s="166"/>
      <c r="H45" s="166"/>
      <c r="I45" s="14"/>
      <c r="J45" s="165" t="s">
        <v>88</v>
      </c>
      <c r="K45" s="167"/>
    </row>
    <row r="46" spans="1:13" ht="12.6" x14ac:dyDescent="0.25">
      <c r="H46" s="168"/>
      <c r="I46" s="169"/>
    </row>
    <row r="47" spans="1:13" ht="12.95" x14ac:dyDescent="0.3">
      <c r="A47" s="14"/>
      <c r="B47" s="14"/>
      <c r="C47" s="14"/>
      <c r="D47" s="14"/>
      <c r="E47" s="170"/>
      <c r="F47" s="171" t="s">
        <v>12</v>
      </c>
      <c r="J47" s="172"/>
    </row>
    <row r="48" spans="1:13" ht="12.6" x14ac:dyDescent="0.25">
      <c r="A48" s="94" t="str">
        <f>"Utah % of Actual CY "&amp;YEAR(A3)-1&amp;" REC sales(2)"</f>
        <v>Utah % of Actual CY 2020 REC sales(2)</v>
      </c>
      <c r="B48" s="14"/>
      <c r="C48" s="14"/>
      <c r="D48" s="14"/>
      <c r="E48" s="173">
        <f>J44/E44</f>
        <v>0.66038108405330864</v>
      </c>
      <c r="F48" s="174" t="s">
        <v>89</v>
      </c>
      <c r="J48" s="172"/>
      <c r="K48" s="155"/>
      <c r="L48" s="155"/>
      <c r="M48" s="155"/>
    </row>
    <row r="49" spans="1:6" ht="12.6" x14ac:dyDescent="0.25">
      <c r="A49" s="3" t="str">
        <f>"Utah allocated CY "&amp;YEAR(A3)-1&amp;" REC revenue(2)"</f>
        <v>Utah allocated CY 2020 REC revenue(2)</v>
      </c>
      <c r="B49" s="14"/>
      <c r="C49" s="14"/>
      <c r="D49" s="14"/>
      <c r="E49" s="175">
        <f>E48*E44</f>
        <v>2857471.5724115702</v>
      </c>
      <c r="F49" s="174" t="s">
        <v>90</v>
      </c>
    </row>
    <row r="50" spans="1:6" ht="12.6" x14ac:dyDescent="0.25">
      <c r="A50" s="3"/>
      <c r="B50" s="14"/>
      <c r="C50" s="14"/>
      <c r="D50" s="14"/>
      <c r="E50" s="175"/>
      <c r="F50" s="174"/>
    </row>
    <row r="51" spans="1:6" ht="12.6" x14ac:dyDescent="0.25">
      <c r="A51" s="3"/>
      <c r="B51" s="14"/>
      <c r="C51" s="14"/>
      <c r="D51" s="14"/>
    </row>
    <row r="52" spans="1:6" ht="12.95" x14ac:dyDescent="0.3">
      <c r="A52" s="176"/>
      <c r="B52" s="14"/>
      <c r="C52" s="14"/>
      <c r="D52" s="177" t="s">
        <v>91</v>
      </c>
      <c r="E52" s="177" t="s">
        <v>30</v>
      </c>
    </row>
    <row r="53" spans="1:6" x14ac:dyDescent="0.2">
      <c r="A53" s="3" t="s">
        <v>92</v>
      </c>
      <c r="B53" s="14"/>
      <c r="C53" s="14"/>
      <c r="D53" s="14"/>
      <c r="E53" s="155">
        <v>10992.58</v>
      </c>
    </row>
    <row r="54" spans="1:6" x14ac:dyDescent="0.2">
      <c r="A54" s="3" t="s">
        <v>93</v>
      </c>
      <c r="B54" s="14"/>
      <c r="C54" s="14"/>
      <c r="D54" s="178">
        <f>'Page 2.2'!H43</f>
        <v>0.44560217704744126</v>
      </c>
      <c r="E54" s="179">
        <f>E53*D54</f>
        <v>4898.3175793681621</v>
      </c>
    </row>
    <row r="55" spans="1:6" x14ac:dyDescent="0.2">
      <c r="A55" s="3"/>
      <c r="B55" s="14"/>
      <c r="C55" s="14"/>
      <c r="D55" s="14"/>
    </row>
    <row r="104" spans="2:2" x14ac:dyDescent="0.2">
      <c r="B104" s="83">
        <f>EDATE(B101,1)</f>
        <v>31</v>
      </c>
    </row>
    <row r="105" spans="2:2" x14ac:dyDescent="0.2">
      <c r="B105" s="83">
        <f>EDATE(B104,1)</f>
        <v>59</v>
      </c>
    </row>
    <row r="106" spans="2:2" x14ac:dyDescent="0.2">
      <c r="B106" s="83">
        <f t="shared" ref="B106:B115" si="11">EDATE(B105,1)</f>
        <v>88</v>
      </c>
    </row>
    <row r="107" spans="2:2" x14ac:dyDescent="0.2">
      <c r="B107" s="83">
        <f t="shared" si="11"/>
        <v>119</v>
      </c>
    </row>
    <row r="108" spans="2:2" x14ac:dyDescent="0.2">
      <c r="B108" s="83">
        <f t="shared" si="11"/>
        <v>149</v>
      </c>
    </row>
    <row r="109" spans="2:2" x14ac:dyDescent="0.2">
      <c r="B109" s="83">
        <f t="shared" si="11"/>
        <v>180</v>
      </c>
    </row>
    <row r="110" spans="2:2" x14ac:dyDescent="0.2">
      <c r="B110" s="83">
        <f t="shared" si="11"/>
        <v>210</v>
      </c>
    </row>
    <row r="111" spans="2:2" x14ac:dyDescent="0.2">
      <c r="B111" s="83">
        <f t="shared" si="11"/>
        <v>241</v>
      </c>
    </row>
    <row r="112" spans="2:2" x14ac:dyDescent="0.2">
      <c r="B112" s="83">
        <f t="shared" si="11"/>
        <v>272</v>
      </c>
    </row>
    <row r="113" spans="2:2" x14ac:dyDescent="0.2">
      <c r="B113" s="83">
        <f t="shared" si="11"/>
        <v>302</v>
      </c>
    </row>
    <row r="114" spans="2:2" x14ac:dyDescent="0.2">
      <c r="B114" s="83">
        <f t="shared" si="11"/>
        <v>333</v>
      </c>
    </row>
    <row r="115" spans="2:2" x14ac:dyDescent="0.2">
      <c r="B115" s="83">
        <f t="shared" si="11"/>
        <v>363</v>
      </c>
    </row>
  </sheetData>
  <pageMargins left="0.5" right="0.5" top="1" bottom="0.75" header="0.3" footer="0.3"/>
  <pageSetup scale="63" orientation="landscape" r:id="rId1"/>
  <headerFooter>
    <oddFooter>&amp;C&amp;"Arial,Regular"&amp;10Page 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220"/>
  <sheetViews>
    <sheetView topLeftCell="A4" zoomScale="85" zoomScaleNormal="85" workbookViewId="0">
      <selection activeCell="A45" sqref="A45"/>
    </sheetView>
  </sheetViews>
  <sheetFormatPr defaultColWidth="9.140625" defaultRowHeight="15" x14ac:dyDescent="0.25"/>
  <cols>
    <col min="1" max="1" width="28.42578125" style="33" customWidth="1"/>
    <col min="2" max="2" width="11.42578125" style="33" customWidth="1"/>
    <col min="3" max="3" width="9.42578125" style="33" bestFit="1" customWidth="1"/>
    <col min="4" max="4" width="10.42578125" style="33" bestFit="1" customWidth="1"/>
    <col min="5" max="5" width="10.5703125" style="33" bestFit="1" customWidth="1"/>
    <col min="6" max="6" width="12.7109375" style="33" bestFit="1" customWidth="1"/>
    <col min="7" max="7" width="12.42578125" style="33" bestFit="1" customWidth="1"/>
    <col min="8" max="8" width="13.28515625" style="33" bestFit="1" customWidth="1"/>
    <col min="9" max="9" width="11.85546875" style="33" bestFit="1" customWidth="1"/>
    <col min="10" max="10" width="12.42578125" style="33" bestFit="1" customWidth="1"/>
    <col min="11" max="11" width="9.7109375" style="33" bestFit="1" customWidth="1"/>
    <col min="12" max="12" width="12.42578125" style="33" bestFit="1" customWidth="1"/>
    <col min="13" max="13" width="9.140625" style="33"/>
    <col min="14" max="14" width="12.140625" bestFit="1" customWidth="1"/>
    <col min="15" max="15" width="12.7109375" bestFit="1" customWidth="1"/>
    <col min="16" max="17" width="11.5703125" bestFit="1" customWidth="1"/>
    <col min="18" max="18" width="13.42578125" bestFit="1" customWidth="1"/>
    <col min="19" max="19" width="11.85546875" bestFit="1" customWidth="1"/>
    <col min="20" max="20" width="11.5703125" bestFit="1" customWidth="1"/>
    <col min="21" max="21" width="9.42578125" bestFit="1" customWidth="1"/>
    <col min="22" max="22" width="14.85546875" bestFit="1" customWidth="1"/>
    <col min="23" max="23" width="9.28515625" bestFit="1" customWidth="1"/>
    <col min="24" max="16384" width="9.140625" style="33"/>
  </cols>
  <sheetData>
    <row r="1" spans="1:35" ht="15.75" x14ac:dyDescent="0.25">
      <c r="A1" s="32" t="str">
        <f>'RMP_(GB-2)'!A1</f>
        <v>Rocky Mountain Power</v>
      </c>
      <c r="H1" s="180"/>
      <c r="I1" s="181"/>
    </row>
    <row r="2" spans="1:35" x14ac:dyDescent="0.25">
      <c r="A2" s="32" t="str">
        <f>'RMP_(GB-2)'!A2</f>
        <v>Utah REC Balancing Account</v>
      </c>
    </row>
    <row r="3" spans="1:35" ht="15.75" x14ac:dyDescent="0.25">
      <c r="A3" s="182" t="s">
        <v>116</v>
      </c>
      <c r="H3" s="180"/>
      <c r="I3" s="181"/>
    </row>
    <row r="4" spans="1:35" x14ac:dyDescent="0.25">
      <c r="C4" s="32"/>
    </row>
    <row r="5" spans="1:35" x14ac:dyDescent="0.25">
      <c r="A5" s="86" t="str">
        <f>"Calculation of Utah CY "&amp;YEAR(A3)-1&amp;" Actual Allocation Factors"</f>
        <v>Calculation of Utah CY 2020 Actual Allocation Factors</v>
      </c>
      <c r="C5" s="32"/>
    </row>
    <row r="7" spans="1:35" x14ac:dyDescent="0.25">
      <c r="A7" s="33" t="s">
        <v>94</v>
      </c>
      <c r="H7" s="183"/>
      <c r="Z7" s="46"/>
      <c r="AA7" s="46"/>
      <c r="AB7" s="46"/>
      <c r="AC7" s="46"/>
      <c r="AD7" s="46"/>
      <c r="AE7" s="46"/>
      <c r="AF7" s="46"/>
      <c r="AG7" s="46"/>
      <c r="AH7" s="46"/>
    </row>
    <row r="8" spans="1:35" x14ac:dyDescent="0.25">
      <c r="A8" s="184" t="s">
        <v>95</v>
      </c>
      <c r="B8" s="184" t="s">
        <v>96</v>
      </c>
      <c r="C8" s="184" t="s">
        <v>97</v>
      </c>
      <c r="D8" s="184" t="s">
        <v>98</v>
      </c>
      <c r="E8" s="184" t="s">
        <v>99</v>
      </c>
      <c r="F8" s="184" t="s">
        <v>100</v>
      </c>
      <c r="G8" s="184" t="s">
        <v>101</v>
      </c>
      <c r="H8" s="184" t="s">
        <v>102</v>
      </c>
      <c r="I8" s="184" t="s">
        <v>103</v>
      </c>
      <c r="J8" s="184" t="s">
        <v>104</v>
      </c>
      <c r="K8" s="184" t="s">
        <v>82</v>
      </c>
      <c r="L8" s="184" t="s">
        <v>30</v>
      </c>
      <c r="X8" s="46"/>
      <c r="Z8" s="46"/>
      <c r="AA8" s="46"/>
      <c r="AB8" s="46"/>
      <c r="AC8" s="46"/>
      <c r="AD8" s="46"/>
      <c r="AE8" s="46"/>
      <c r="AF8" s="46"/>
      <c r="AG8" s="46"/>
      <c r="AH8" s="46"/>
      <c r="AI8" s="46"/>
    </row>
    <row r="9" spans="1:35" x14ac:dyDescent="0.25">
      <c r="A9" s="33">
        <f>YEAR($A$3)-1</f>
        <v>2020</v>
      </c>
      <c r="B9" s="33">
        <v>1</v>
      </c>
      <c r="C9" s="33">
        <v>15</v>
      </c>
      <c r="D9" s="33">
        <v>8</v>
      </c>
      <c r="E9" s="181">
        <v>135.42657600000001</v>
      </c>
      <c r="F9" s="181">
        <v>2469.8979810000001</v>
      </c>
      <c r="G9" s="181">
        <v>792.41207899999995</v>
      </c>
      <c r="H9" s="181">
        <v>3269.504426</v>
      </c>
      <c r="I9" s="181">
        <v>459.24269500000003</v>
      </c>
      <c r="J9" s="181">
        <v>1197.1295420000001</v>
      </c>
      <c r="K9" s="185">
        <v>2.9516400000000029</v>
      </c>
      <c r="L9" s="181">
        <v>8326.564938999998</v>
      </c>
      <c r="X9" s="185"/>
      <c r="Z9" s="186"/>
      <c r="AA9" s="187"/>
      <c r="AB9" s="187"/>
      <c r="AD9" s="187"/>
      <c r="AE9" s="188"/>
      <c r="AF9" s="187"/>
      <c r="AG9" s="187"/>
      <c r="AH9" s="187"/>
      <c r="AI9" s="188"/>
    </row>
    <row r="10" spans="1:35" x14ac:dyDescent="0.25">
      <c r="A10" s="33">
        <f t="shared" ref="A10:A20" si="0">YEAR($A$3)-1</f>
        <v>2020</v>
      </c>
      <c r="B10" s="33">
        <v>2</v>
      </c>
      <c r="C10" s="33">
        <v>4</v>
      </c>
      <c r="D10" s="33">
        <v>8</v>
      </c>
      <c r="E10" s="181">
        <v>147.34490700000001</v>
      </c>
      <c r="F10" s="181">
        <v>2492.8455220000001</v>
      </c>
      <c r="G10" s="181">
        <v>706.36994800000002</v>
      </c>
      <c r="H10" s="181">
        <v>3239.8193429999997</v>
      </c>
      <c r="I10" s="181">
        <v>446.80724600000002</v>
      </c>
      <c r="J10" s="181">
        <v>1185.009599</v>
      </c>
      <c r="K10" s="185">
        <v>3.1225999999999985</v>
      </c>
      <c r="L10" s="181">
        <v>8221.3191650000008</v>
      </c>
      <c r="X10" s="185"/>
      <c r="Z10" s="186"/>
      <c r="AA10" s="187"/>
      <c r="AB10" s="187"/>
      <c r="AD10" s="187"/>
      <c r="AE10" s="188"/>
      <c r="AF10" s="187"/>
      <c r="AG10" s="187"/>
      <c r="AH10" s="187"/>
      <c r="AI10" s="188"/>
    </row>
    <row r="11" spans="1:35" x14ac:dyDescent="0.25">
      <c r="A11" s="33">
        <f t="shared" si="0"/>
        <v>2020</v>
      </c>
      <c r="B11" s="33">
        <v>3</v>
      </c>
      <c r="C11" s="33">
        <v>2</v>
      </c>
      <c r="D11" s="33">
        <v>8</v>
      </c>
      <c r="E11" s="181">
        <v>129.49189200000001</v>
      </c>
      <c r="F11" s="181">
        <v>2187.0404669999998</v>
      </c>
      <c r="G11" s="181">
        <v>592.42736200000002</v>
      </c>
      <c r="H11" s="181">
        <v>3086.5496329999996</v>
      </c>
      <c r="I11" s="181">
        <v>405.98825599999998</v>
      </c>
      <c r="J11" s="181">
        <v>1254.3714209999998</v>
      </c>
      <c r="K11" s="185">
        <v>2.5575599999999978</v>
      </c>
      <c r="L11" s="181">
        <v>7658.4265909999995</v>
      </c>
      <c r="X11" s="185"/>
      <c r="Z11" s="186"/>
      <c r="AA11" s="187"/>
      <c r="AB11" s="187"/>
      <c r="AD11" s="187"/>
      <c r="AE11" s="188"/>
      <c r="AF11" s="187"/>
      <c r="AG11" s="187"/>
      <c r="AH11" s="187"/>
      <c r="AI11" s="188"/>
    </row>
    <row r="12" spans="1:35" x14ac:dyDescent="0.25">
      <c r="A12" s="33">
        <f t="shared" si="0"/>
        <v>2020</v>
      </c>
      <c r="B12" s="33">
        <v>4</v>
      </c>
      <c r="C12" s="33">
        <v>2</v>
      </c>
      <c r="D12" s="33">
        <v>9</v>
      </c>
      <c r="E12" s="181">
        <v>123.44570400000001</v>
      </c>
      <c r="F12" s="181">
        <v>2014.1871699999999</v>
      </c>
      <c r="G12" s="181">
        <v>563.86268700000005</v>
      </c>
      <c r="H12" s="181">
        <v>2831.6040659999999</v>
      </c>
      <c r="I12" s="181">
        <v>339.98107499999998</v>
      </c>
      <c r="J12" s="181">
        <v>1048.2184809999999</v>
      </c>
      <c r="K12" s="185">
        <v>2.3535999999999984</v>
      </c>
      <c r="L12" s="181">
        <v>6923.6527829999995</v>
      </c>
      <c r="X12" s="185"/>
      <c r="Z12" s="186"/>
      <c r="AA12" s="187"/>
      <c r="AB12" s="187"/>
      <c r="AD12" s="187"/>
      <c r="AE12" s="188"/>
      <c r="AF12" s="187"/>
      <c r="AG12" s="187"/>
      <c r="AH12" s="187"/>
      <c r="AI12" s="188"/>
    </row>
    <row r="13" spans="1:35" x14ac:dyDescent="0.25">
      <c r="A13" s="33">
        <f t="shared" si="0"/>
        <v>2020</v>
      </c>
      <c r="B13" s="33">
        <v>5</v>
      </c>
      <c r="C13" s="33">
        <v>29</v>
      </c>
      <c r="D13" s="33">
        <v>17</v>
      </c>
      <c r="E13" s="181">
        <v>113.20957900000001</v>
      </c>
      <c r="F13" s="181">
        <v>1985.381954</v>
      </c>
      <c r="G13" s="181">
        <v>664.65541099999996</v>
      </c>
      <c r="H13" s="181">
        <v>4349.0311780000002</v>
      </c>
      <c r="I13" s="181">
        <v>656.70605499999999</v>
      </c>
      <c r="J13" s="181">
        <v>978.09979500000009</v>
      </c>
      <c r="K13" s="185">
        <v>2.7892799999999989</v>
      </c>
      <c r="L13" s="181">
        <v>8749.8732520000012</v>
      </c>
      <c r="X13" s="185"/>
      <c r="Z13" s="186"/>
      <c r="AA13" s="187"/>
      <c r="AB13" s="187"/>
      <c r="AD13" s="187"/>
      <c r="AE13" s="188"/>
      <c r="AF13" s="187"/>
      <c r="AG13" s="187"/>
      <c r="AH13" s="187"/>
      <c r="AI13" s="188"/>
    </row>
    <row r="14" spans="1:35" x14ac:dyDescent="0.25">
      <c r="A14" s="33">
        <f t="shared" si="0"/>
        <v>2020</v>
      </c>
      <c r="B14" s="33">
        <v>6</v>
      </c>
      <c r="C14" s="33">
        <v>23</v>
      </c>
      <c r="D14" s="33">
        <v>18</v>
      </c>
      <c r="E14" s="181">
        <v>151.62098800000001</v>
      </c>
      <c r="F14" s="181">
        <v>2345.0912950000002</v>
      </c>
      <c r="G14" s="181">
        <v>745.88937099999998</v>
      </c>
      <c r="H14" s="181">
        <v>4380.4802239999999</v>
      </c>
      <c r="I14" s="181">
        <v>715.36573199999998</v>
      </c>
      <c r="J14" s="181">
        <v>1029.6471079999999</v>
      </c>
      <c r="K14" s="185">
        <v>3.5532400000000015</v>
      </c>
      <c r="L14" s="181">
        <v>9371.6479579999977</v>
      </c>
      <c r="X14" s="185"/>
      <c r="Z14" s="186"/>
      <c r="AA14" s="187"/>
      <c r="AB14" s="187"/>
      <c r="AD14" s="187"/>
      <c r="AE14" s="188"/>
      <c r="AF14" s="187"/>
      <c r="AG14" s="187"/>
      <c r="AH14" s="187"/>
      <c r="AI14" s="188"/>
    </row>
    <row r="15" spans="1:35" x14ac:dyDescent="0.25">
      <c r="A15" s="33">
        <f t="shared" si="0"/>
        <v>2020</v>
      </c>
      <c r="B15" s="33">
        <v>7</v>
      </c>
      <c r="C15" s="33">
        <v>30</v>
      </c>
      <c r="D15" s="33">
        <v>17</v>
      </c>
      <c r="E15" s="181">
        <v>130.12484699999999</v>
      </c>
      <c r="F15" s="181">
        <v>2551.766627</v>
      </c>
      <c r="G15" s="181">
        <v>848.14885300000003</v>
      </c>
      <c r="H15" s="181">
        <v>5153.147817</v>
      </c>
      <c r="I15" s="181">
        <v>552.94080800000006</v>
      </c>
      <c r="J15" s="181">
        <v>1069.0043439999999</v>
      </c>
      <c r="K15" s="185">
        <v>4.0752000000000006</v>
      </c>
      <c r="L15" s="181">
        <v>10309.208495999999</v>
      </c>
      <c r="X15" s="185"/>
      <c r="Z15" s="186"/>
      <c r="AA15" s="187"/>
      <c r="AB15" s="187"/>
      <c r="AD15" s="187"/>
      <c r="AE15" s="188"/>
      <c r="AF15" s="187"/>
      <c r="AG15" s="187"/>
      <c r="AH15" s="187"/>
      <c r="AI15" s="188"/>
    </row>
    <row r="16" spans="1:35" x14ac:dyDescent="0.25">
      <c r="A16" s="33">
        <f t="shared" si="0"/>
        <v>2020</v>
      </c>
      <c r="B16" s="33">
        <v>8</v>
      </c>
      <c r="C16" s="33">
        <v>17</v>
      </c>
      <c r="D16" s="33">
        <v>16</v>
      </c>
      <c r="E16" s="181">
        <v>126.693539</v>
      </c>
      <c r="F16" s="181">
        <v>2428.3390960000002</v>
      </c>
      <c r="G16" s="181">
        <v>839.35809099999994</v>
      </c>
      <c r="H16" s="181">
        <v>5363.9426519999997</v>
      </c>
      <c r="I16" s="181">
        <v>603.35777599999994</v>
      </c>
      <c r="J16" s="181">
        <v>1180.4806100000001</v>
      </c>
      <c r="K16" s="185">
        <v>4.3101599999999998</v>
      </c>
      <c r="L16" s="181">
        <v>10546.481924000002</v>
      </c>
      <c r="X16" s="185"/>
      <c r="Z16" s="186"/>
      <c r="AA16" s="187"/>
      <c r="AB16" s="187"/>
      <c r="AD16" s="187"/>
      <c r="AE16" s="188"/>
      <c r="AF16" s="187"/>
      <c r="AG16" s="187"/>
      <c r="AH16" s="187"/>
      <c r="AI16" s="188"/>
    </row>
    <row r="17" spans="1:35" x14ac:dyDescent="0.25">
      <c r="A17" s="33">
        <f t="shared" si="0"/>
        <v>2020</v>
      </c>
      <c r="B17" s="33">
        <v>9</v>
      </c>
      <c r="C17" s="33">
        <v>3</v>
      </c>
      <c r="D17" s="33">
        <v>17</v>
      </c>
      <c r="E17" s="181">
        <v>133.409502</v>
      </c>
      <c r="F17" s="181">
        <v>2483.0671120000002</v>
      </c>
      <c r="G17" s="181">
        <v>776.08465899999999</v>
      </c>
      <c r="H17" s="181">
        <v>4489.1103830000002</v>
      </c>
      <c r="I17" s="181">
        <v>556.22568200000001</v>
      </c>
      <c r="J17" s="181">
        <v>1091.2419629999999</v>
      </c>
      <c r="K17" s="185">
        <v>3.8295600000000012</v>
      </c>
      <c r="L17" s="181">
        <v>9532.9688610000012</v>
      </c>
      <c r="X17" s="185"/>
      <c r="Z17" s="186"/>
      <c r="AA17" s="187"/>
      <c r="AB17" s="187"/>
      <c r="AD17" s="187"/>
      <c r="AE17" s="188"/>
      <c r="AF17" s="187"/>
      <c r="AG17" s="187"/>
      <c r="AH17" s="187"/>
      <c r="AI17" s="188"/>
    </row>
    <row r="18" spans="1:35" x14ac:dyDescent="0.25">
      <c r="A18" s="33">
        <f t="shared" si="0"/>
        <v>2020</v>
      </c>
      <c r="B18" s="33">
        <v>10</v>
      </c>
      <c r="C18" s="33">
        <v>26</v>
      </c>
      <c r="D18" s="33">
        <v>9</v>
      </c>
      <c r="E18" s="181">
        <v>114.237821</v>
      </c>
      <c r="F18" s="181">
        <v>2245.0908180000001</v>
      </c>
      <c r="G18" s="181">
        <v>659.75789699999996</v>
      </c>
      <c r="H18" s="181">
        <v>3178.5806459999999</v>
      </c>
      <c r="I18" s="181">
        <v>457.99762500000003</v>
      </c>
      <c r="J18" s="181">
        <v>1117.74638</v>
      </c>
      <c r="K18" s="185">
        <v>2.7201199999999988</v>
      </c>
      <c r="L18" s="181">
        <v>7776.1313069999997</v>
      </c>
      <c r="X18" s="185"/>
      <c r="Z18" s="186"/>
      <c r="AA18" s="187"/>
      <c r="AB18" s="187"/>
      <c r="AD18" s="187"/>
      <c r="AE18" s="188"/>
      <c r="AF18" s="187"/>
      <c r="AG18" s="187"/>
      <c r="AH18" s="187"/>
      <c r="AI18" s="188"/>
    </row>
    <row r="19" spans="1:35" x14ac:dyDescent="0.25">
      <c r="A19" s="33">
        <f t="shared" si="0"/>
        <v>2020</v>
      </c>
      <c r="B19" s="33">
        <v>11</v>
      </c>
      <c r="C19" s="33">
        <v>9</v>
      </c>
      <c r="D19" s="33">
        <v>9</v>
      </c>
      <c r="E19" s="181">
        <v>125.081283</v>
      </c>
      <c r="F19" s="181">
        <v>2343.5745919999999</v>
      </c>
      <c r="G19" s="181">
        <v>671.66726200000005</v>
      </c>
      <c r="H19" s="181">
        <v>3235.9870260000002</v>
      </c>
      <c r="I19" s="181">
        <v>376.71975500000002</v>
      </c>
      <c r="J19" s="181">
        <v>1129.0954340000001</v>
      </c>
      <c r="K19" s="185">
        <v>2.7268400000000002</v>
      </c>
      <c r="L19" s="181">
        <v>7884.8521920000003</v>
      </c>
      <c r="X19" s="185"/>
      <c r="Z19" s="186"/>
      <c r="AA19" s="187"/>
      <c r="AB19" s="187"/>
      <c r="AD19" s="187"/>
      <c r="AE19" s="188"/>
      <c r="AF19" s="187"/>
      <c r="AG19" s="187"/>
      <c r="AH19" s="187"/>
      <c r="AI19" s="188"/>
    </row>
    <row r="20" spans="1:35" x14ac:dyDescent="0.25">
      <c r="A20" s="33">
        <f t="shared" si="0"/>
        <v>2020</v>
      </c>
      <c r="B20" s="33">
        <v>12</v>
      </c>
      <c r="C20" s="33">
        <v>29</v>
      </c>
      <c r="D20" s="33">
        <v>18</v>
      </c>
      <c r="E20" s="181">
        <v>131.87824900000001</v>
      </c>
      <c r="F20" s="181">
        <v>2303.3596729999999</v>
      </c>
      <c r="G20" s="181">
        <v>694.11197400000003</v>
      </c>
      <c r="H20" s="181">
        <v>3466.028037</v>
      </c>
      <c r="I20" s="181">
        <v>485.97205500000001</v>
      </c>
      <c r="J20" s="181">
        <v>1108.524838</v>
      </c>
      <c r="K20" s="185">
        <v>3.261880000000001</v>
      </c>
      <c r="L20" s="181">
        <v>8193.1367059999993</v>
      </c>
      <c r="X20" s="185"/>
      <c r="Z20" s="186"/>
      <c r="AA20" s="187"/>
      <c r="AB20" s="187"/>
      <c r="AD20" s="187"/>
      <c r="AE20" s="188"/>
      <c r="AF20" s="187"/>
      <c r="AG20" s="187"/>
      <c r="AH20" s="187"/>
      <c r="AI20" s="188"/>
    </row>
    <row r="21" spans="1:35" ht="15.75" thickBot="1" x14ac:dyDescent="0.3">
      <c r="B21" s="33" t="s">
        <v>105</v>
      </c>
      <c r="E21" s="189">
        <f>SUM(E9:E20)</f>
        <v>1561.9648870000001</v>
      </c>
      <c r="F21" s="189">
        <f>SUM(F9:F20)</f>
        <v>27849.642307000002</v>
      </c>
      <c r="G21" s="189">
        <f>SUM(G9:G20)</f>
        <v>8554.745594</v>
      </c>
      <c r="H21" s="189">
        <f t="shared" ref="H21:K21" si="1">SUM(H9:H20)</f>
        <v>46043.785430999997</v>
      </c>
      <c r="I21" s="189">
        <f>SUM(I9:I20)</f>
        <v>6057.30476</v>
      </c>
      <c r="J21" s="189">
        <f t="shared" si="1"/>
        <v>13388.569515000001</v>
      </c>
      <c r="K21" s="189">
        <f t="shared" si="1"/>
        <v>38.25168</v>
      </c>
      <c r="L21" s="189">
        <f>SUM(L9:L20)</f>
        <v>103494.26417400001</v>
      </c>
      <c r="Z21" s="186"/>
      <c r="AA21" s="187"/>
      <c r="AB21" s="187"/>
      <c r="AD21" s="187"/>
      <c r="AE21" s="188"/>
      <c r="AF21" s="187"/>
      <c r="AG21" s="187"/>
      <c r="AH21" s="187"/>
      <c r="AI21" s="188"/>
    </row>
    <row r="22" spans="1:35" ht="15.75" thickTop="1" x14ac:dyDescent="0.25">
      <c r="L22" s="186"/>
    </row>
    <row r="23" spans="1:35" x14ac:dyDescent="0.25">
      <c r="A23" s="33" t="s">
        <v>106</v>
      </c>
      <c r="E23" s="190">
        <f>E21/$L$21</f>
        <v>1.5092284576988173E-2</v>
      </c>
      <c r="F23" s="190">
        <f>F21/$L$21</f>
        <v>0.26909358242479714</v>
      </c>
      <c r="G23" s="190">
        <f>G21/$L$21</f>
        <v>8.2659127655783038E-2</v>
      </c>
      <c r="H23" s="190">
        <f t="shared" ref="H23:K23" si="2">H21/$L$21</f>
        <v>0.44489214739078448</v>
      </c>
      <c r="I23" s="190">
        <f>I21/$L$21</f>
        <v>5.8527927207793276E-2</v>
      </c>
      <c r="J23" s="190">
        <f t="shared" si="2"/>
        <v>0.12936532881175358</v>
      </c>
      <c r="K23" s="190">
        <f t="shared" si="2"/>
        <v>3.6960193210021049E-4</v>
      </c>
      <c r="L23" s="190">
        <f>SUM(E23:K23)</f>
        <v>0.99999999999999989</v>
      </c>
      <c r="Z23" s="186"/>
      <c r="AA23" s="187"/>
      <c r="AB23" s="187"/>
      <c r="AE23" s="188"/>
    </row>
    <row r="24" spans="1:35" x14ac:dyDescent="0.25">
      <c r="E24" s="191"/>
      <c r="F24" s="191"/>
      <c r="G24" s="191"/>
      <c r="H24" s="191"/>
      <c r="I24" s="191"/>
      <c r="J24" s="191"/>
      <c r="K24" s="191"/>
    </row>
    <row r="26" spans="1:35" x14ac:dyDescent="0.25">
      <c r="A26" s="33" t="s">
        <v>107</v>
      </c>
      <c r="F26" s="183"/>
      <c r="K26" s="192"/>
      <c r="L26" s="192"/>
    </row>
    <row r="27" spans="1:35" x14ac:dyDescent="0.25">
      <c r="A27" s="184" t="s">
        <v>95</v>
      </c>
      <c r="B27" s="184" t="s">
        <v>96</v>
      </c>
      <c r="E27" s="184" t="s">
        <v>99</v>
      </c>
      <c r="F27" s="184" t="s">
        <v>100</v>
      </c>
      <c r="G27" s="184" t="s">
        <v>101</v>
      </c>
      <c r="H27" s="184" t="s">
        <v>102</v>
      </c>
      <c r="I27" s="184" t="s">
        <v>103</v>
      </c>
      <c r="J27" s="184" t="s">
        <v>104</v>
      </c>
      <c r="K27" s="184" t="s">
        <v>82</v>
      </c>
      <c r="L27" s="184" t="s">
        <v>30</v>
      </c>
    </row>
    <row r="28" spans="1:35" x14ac:dyDescent="0.25">
      <c r="A28" s="33">
        <f t="shared" ref="A28:A39" si="3">YEAR($A$3)-1</f>
        <v>2020</v>
      </c>
      <c r="B28" s="33">
        <v>1</v>
      </c>
      <c r="E28" s="71">
        <v>74053.702175000042</v>
      </c>
      <c r="F28" s="71">
        <v>1305840.8557460017</v>
      </c>
      <c r="G28" s="71">
        <v>419645.75735500065</v>
      </c>
      <c r="H28" s="71">
        <v>2174155.7282069991</v>
      </c>
      <c r="I28" s="71">
        <v>314197.23585100024</v>
      </c>
      <c r="J28" s="71">
        <v>867258.56536399969</v>
      </c>
      <c r="K28" s="71">
        <v>1982.8540399999804</v>
      </c>
      <c r="L28" s="71">
        <v>5157134.6987380004</v>
      </c>
      <c r="M28" s="71"/>
    </row>
    <row r="29" spans="1:35" x14ac:dyDescent="0.25">
      <c r="A29" s="33">
        <f t="shared" si="3"/>
        <v>2020</v>
      </c>
      <c r="B29" s="33">
        <v>2</v>
      </c>
      <c r="E29" s="71">
        <v>66026.649486999988</v>
      </c>
      <c r="F29" s="71">
        <v>1206351.8902809999</v>
      </c>
      <c r="G29" s="71">
        <v>363408.0519650004</v>
      </c>
      <c r="H29" s="71">
        <v>1985693.6801999996</v>
      </c>
      <c r="I29" s="71">
        <v>297015.86085399985</v>
      </c>
      <c r="J29" s="71">
        <v>806606.99325400055</v>
      </c>
      <c r="K29" s="71">
        <v>1699.6263600000107</v>
      </c>
      <c r="L29" s="71">
        <v>4726802.7524009999</v>
      </c>
    </row>
    <row r="30" spans="1:35" x14ac:dyDescent="0.25">
      <c r="A30" s="33">
        <f t="shared" si="3"/>
        <v>2020</v>
      </c>
      <c r="B30" s="33">
        <v>3</v>
      </c>
      <c r="E30" s="71">
        <v>68505.368282999931</v>
      </c>
      <c r="F30" s="71">
        <v>1226332.0054850006</v>
      </c>
      <c r="G30" s="71">
        <v>358413.86512199993</v>
      </c>
      <c r="H30" s="71">
        <v>1981198.2550989992</v>
      </c>
      <c r="I30" s="71">
        <v>241623.68338500007</v>
      </c>
      <c r="J30" s="71">
        <v>818153.2768600008</v>
      </c>
      <c r="K30" s="71">
        <v>1623.1646000000537</v>
      </c>
      <c r="L30" s="71">
        <v>4695849.6188340001</v>
      </c>
    </row>
    <row r="31" spans="1:35" x14ac:dyDescent="0.25">
      <c r="A31" s="33">
        <f t="shared" si="3"/>
        <v>2020</v>
      </c>
      <c r="B31" s="33">
        <v>4</v>
      </c>
      <c r="E31" s="71">
        <v>67135.491529000035</v>
      </c>
      <c r="F31" s="71">
        <v>1038281.6315460003</v>
      </c>
      <c r="G31" s="71">
        <v>314836.99073100009</v>
      </c>
      <c r="H31" s="71">
        <v>1832434.6417359989</v>
      </c>
      <c r="I31" s="71">
        <v>235622.74552000003</v>
      </c>
      <c r="J31" s="71">
        <v>676914.0242719996</v>
      </c>
      <c r="K31" s="71">
        <v>1435.1825599999875</v>
      </c>
      <c r="L31" s="71">
        <v>4166660.7078939988</v>
      </c>
    </row>
    <row r="32" spans="1:35" x14ac:dyDescent="0.25">
      <c r="A32" s="33">
        <f t="shared" si="3"/>
        <v>2020</v>
      </c>
      <c r="B32" s="33">
        <v>5</v>
      </c>
      <c r="E32" s="71">
        <v>67730.32748300003</v>
      </c>
      <c r="F32" s="71">
        <v>1030578.6878790006</v>
      </c>
      <c r="G32" s="71">
        <v>316302.88007499976</v>
      </c>
      <c r="H32" s="71">
        <v>1983848.4915189974</v>
      </c>
      <c r="I32" s="71">
        <v>355265.3919610001</v>
      </c>
      <c r="J32" s="71">
        <v>640486.61682600004</v>
      </c>
      <c r="K32" s="71">
        <v>1455.6856800000146</v>
      </c>
      <c r="L32" s="71">
        <v>4395668.0814229976</v>
      </c>
    </row>
    <row r="33" spans="1:13" x14ac:dyDescent="0.25">
      <c r="A33" s="33">
        <f t="shared" si="3"/>
        <v>2020</v>
      </c>
      <c r="B33" s="33">
        <v>6</v>
      </c>
      <c r="E33" s="71">
        <v>70432.602144000033</v>
      </c>
      <c r="F33" s="71">
        <v>1060506.5367919996</v>
      </c>
      <c r="G33" s="71">
        <v>338368.47717900004</v>
      </c>
      <c r="H33" s="71">
        <v>2200061.2895459989</v>
      </c>
      <c r="I33" s="71">
        <v>406911.14108800021</v>
      </c>
      <c r="J33" s="71">
        <v>650151.80120299966</v>
      </c>
      <c r="K33" s="71">
        <v>1622.2393599999994</v>
      </c>
      <c r="L33" s="71">
        <v>4728054.087311998</v>
      </c>
    </row>
    <row r="34" spans="1:13" x14ac:dyDescent="0.25">
      <c r="A34" s="33">
        <f t="shared" si="3"/>
        <v>2020</v>
      </c>
      <c r="B34" s="33">
        <v>7</v>
      </c>
      <c r="E34" s="71">
        <v>81527.469266999993</v>
      </c>
      <c r="F34" s="71">
        <v>1236483.8766279996</v>
      </c>
      <c r="G34" s="71">
        <v>397187.29222400032</v>
      </c>
      <c r="H34" s="71">
        <v>2677284.6155580017</v>
      </c>
      <c r="I34" s="71">
        <v>469097.07445600006</v>
      </c>
      <c r="J34" s="71">
        <v>726260.07311200036</v>
      </c>
      <c r="K34" s="71">
        <v>2001.0248400000148</v>
      </c>
      <c r="L34" s="71">
        <v>5589841.4260850018</v>
      </c>
    </row>
    <row r="35" spans="1:13" x14ac:dyDescent="0.25">
      <c r="A35" s="33">
        <f t="shared" si="3"/>
        <v>2020</v>
      </c>
      <c r="B35" s="33">
        <v>8</v>
      </c>
      <c r="E35" s="71">
        <v>78247.553338000056</v>
      </c>
      <c r="F35" s="71">
        <v>1250795.8102269974</v>
      </c>
      <c r="G35" s="71">
        <v>402273.70232299977</v>
      </c>
      <c r="H35" s="71">
        <v>2817234.7031109952</v>
      </c>
      <c r="I35" s="71">
        <v>377987.98620099924</v>
      </c>
      <c r="J35" s="71">
        <v>744427.36116299976</v>
      </c>
      <c r="K35" s="71">
        <v>2176.2938399999884</v>
      </c>
      <c r="L35" s="71">
        <v>5673143.4102029921</v>
      </c>
    </row>
    <row r="36" spans="1:13" x14ac:dyDescent="0.25">
      <c r="A36" s="33">
        <f t="shared" si="3"/>
        <v>2020</v>
      </c>
      <c r="B36" s="33">
        <v>9</v>
      </c>
      <c r="E36" s="71">
        <v>65698.590337000031</v>
      </c>
      <c r="F36" s="71">
        <v>1082001.1951620001</v>
      </c>
      <c r="G36" s="71">
        <v>355714.56919199997</v>
      </c>
      <c r="H36" s="71">
        <v>2170292.8520209985</v>
      </c>
      <c r="I36" s="71">
        <v>301726.86700499995</v>
      </c>
      <c r="J36" s="71">
        <v>680590.7915000004</v>
      </c>
      <c r="K36" s="71">
        <v>1604.1113600000069</v>
      </c>
      <c r="L36" s="71">
        <v>4657628.9765769998</v>
      </c>
    </row>
    <row r="37" spans="1:13" x14ac:dyDescent="0.25">
      <c r="A37" s="33">
        <f t="shared" si="3"/>
        <v>2020</v>
      </c>
      <c r="B37" s="33">
        <v>10</v>
      </c>
      <c r="E37" s="71">
        <v>59247.570629000002</v>
      </c>
      <c r="F37" s="71">
        <v>1108916.7983429995</v>
      </c>
      <c r="G37" s="71">
        <v>361076.41544399975</v>
      </c>
      <c r="H37" s="71">
        <v>2033197.3769510002</v>
      </c>
      <c r="I37" s="71">
        <v>283498.62335800013</v>
      </c>
      <c r="J37" s="71">
        <v>738647.63576799957</v>
      </c>
      <c r="K37" s="71">
        <v>1492.3084799999631</v>
      </c>
      <c r="L37" s="71">
        <v>4586076.7289729994</v>
      </c>
    </row>
    <row r="38" spans="1:13" x14ac:dyDescent="0.25">
      <c r="A38" s="33">
        <f t="shared" si="3"/>
        <v>2020</v>
      </c>
      <c r="B38" s="33">
        <v>11</v>
      </c>
      <c r="E38" s="71">
        <v>68311.989595000035</v>
      </c>
      <c r="F38" s="71">
        <v>1241118.5066069996</v>
      </c>
      <c r="G38" s="71">
        <v>388246.1958510002</v>
      </c>
      <c r="H38" s="71">
        <v>2041030.7254140014</v>
      </c>
      <c r="I38" s="71">
        <v>270772.53512999974</v>
      </c>
      <c r="J38" s="71">
        <v>756682.18510700017</v>
      </c>
      <c r="K38" s="71">
        <v>1645.5715200000257</v>
      </c>
      <c r="L38" s="71">
        <v>4767807.7092240006</v>
      </c>
    </row>
    <row r="39" spans="1:13" x14ac:dyDescent="0.25">
      <c r="A39" s="33">
        <f t="shared" si="3"/>
        <v>2020</v>
      </c>
      <c r="B39" s="33">
        <v>12</v>
      </c>
      <c r="E39" s="71">
        <v>78328.559342000008</v>
      </c>
      <c r="F39" s="71">
        <v>1383507.999319002</v>
      </c>
      <c r="G39" s="71">
        <v>442307.89946199983</v>
      </c>
      <c r="H39" s="71">
        <v>2268643.6348100067</v>
      </c>
      <c r="I39" s="71">
        <v>314634.60456200008</v>
      </c>
      <c r="J39" s="71">
        <v>804968.80575999978</v>
      </c>
      <c r="K39" s="71">
        <v>2052.1971600000152</v>
      </c>
      <c r="L39" s="71">
        <v>5294443.7004150087</v>
      </c>
    </row>
    <row r="40" spans="1:13" ht="15.75" thickBot="1" x14ac:dyDescent="0.3">
      <c r="B40" s="33" t="s">
        <v>108</v>
      </c>
      <c r="E40" s="193">
        <f>SUM(E28:E39)</f>
        <v>845245.87360900012</v>
      </c>
      <c r="F40" s="193">
        <f>SUM(F28:F39)</f>
        <v>14170715.794015</v>
      </c>
      <c r="G40" s="193">
        <f>SUM(G28:G39)</f>
        <v>4457782.0969230002</v>
      </c>
      <c r="H40" s="193">
        <f t="shared" ref="H40:L40" si="4">SUM(H28:H39)</f>
        <v>26165075.994171999</v>
      </c>
      <c r="I40" s="193">
        <f>SUM(I28:I39)</f>
        <v>3868353.7493710001</v>
      </c>
      <c r="J40" s="193">
        <f t="shared" si="4"/>
        <v>8911148.1301890016</v>
      </c>
      <c r="K40" s="193">
        <f t="shared" si="4"/>
        <v>20790.259800000062</v>
      </c>
      <c r="L40" s="193">
        <f t="shared" si="4"/>
        <v>58439111.898079</v>
      </c>
    </row>
    <row r="41" spans="1:13" ht="16.5" thickTop="1" thickBot="1" x14ac:dyDescent="0.3">
      <c r="C41" s="71"/>
      <c r="D41" s="71"/>
      <c r="E41" s="71"/>
      <c r="F41" s="71"/>
      <c r="G41" s="71"/>
      <c r="H41" s="71"/>
      <c r="I41" s="71"/>
    </row>
    <row r="42" spans="1:13" x14ac:dyDescent="0.25">
      <c r="A42" s="33" t="s">
        <v>109</v>
      </c>
      <c r="E42" s="190">
        <f>E40/$L$40</f>
        <v>1.4463701554588218E-2</v>
      </c>
      <c r="F42" s="190">
        <f>F40/$L$40</f>
        <v>0.2424868437208543</v>
      </c>
      <c r="G42" s="190">
        <f>G40/$L$40</f>
        <v>7.6280798118520607E-2</v>
      </c>
      <c r="H42" s="194">
        <f t="shared" ref="H42:K42" si="5">H40/$L$40</f>
        <v>0.44773226601741173</v>
      </c>
      <c r="I42" s="190">
        <f>I40/$L$40</f>
        <v>6.6194601932308972E-2</v>
      </c>
      <c r="J42" s="190">
        <f t="shared" si="5"/>
        <v>0.1524860293176688</v>
      </c>
      <c r="K42" s="190">
        <f t="shared" si="5"/>
        <v>3.5575933864736702E-4</v>
      </c>
      <c r="L42" s="195">
        <f>SUM(E42:K42)</f>
        <v>1</v>
      </c>
    </row>
    <row r="43" spans="1:13" ht="15.75" thickBot="1" x14ac:dyDescent="0.3">
      <c r="A43" s="33" t="s">
        <v>110</v>
      </c>
      <c r="E43" s="190">
        <f>(E42*0.25)+(E23*0.75)</f>
        <v>1.4935138821388184E-2</v>
      </c>
      <c r="F43" s="190">
        <f>(F42*0.25)+(F23*0.75)</f>
        <v>0.26244189774881144</v>
      </c>
      <c r="G43" s="190">
        <f>(G42*0.25)+(G23*0.75)</f>
        <v>8.1064545271467434E-2</v>
      </c>
      <c r="H43" s="196">
        <f t="shared" ref="H43:K43" si="6">(H42*0.25)+(H23*0.75)</f>
        <v>0.44560217704744126</v>
      </c>
      <c r="I43" s="190">
        <f>(I42*0.25)+(I23*0.75)</f>
        <v>6.0444595888922203E-2</v>
      </c>
      <c r="J43" s="190">
        <f>(J42*0.25)+(J23*0.75)</f>
        <v>0.13514550393823238</v>
      </c>
      <c r="K43" s="190">
        <f t="shared" si="6"/>
        <v>3.6614128373699961E-4</v>
      </c>
      <c r="L43" s="195">
        <f>SUM(E43:K43)</f>
        <v>0.99999999999999978</v>
      </c>
    </row>
    <row r="45" spans="1:13" x14ac:dyDescent="0.25">
      <c r="E45" s="191"/>
      <c r="F45" s="191"/>
      <c r="G45" s="191"/>
      <c r="H45" s="191"/>
      <c r="I45" s="191"/>
      <c r="J45" s="191"/>
      <c r="K45" s="191"/>
      <c r="L45" s="197"/>
    </row>
    <row r="46" spans="1:13" x14ac:dyDescent="0.25">
      <c r="A46"/>
      <c r="B46"/>
      <c r="C46"/>
      <c r="D46"/>
      <c r="E46"/>
      <c r="F46"/>
      <c r="G46"/>
      <c r="H46"/>
      <c r="I46"/>
      <c r="J46"/>
      <c r="K46"/>
      <c r="L46"/>
      <c r="M46"/>
    </row>
    <row r="47" spans="1:13" x14ac:dyDescent="0.25">
      <c r="A47"/>
      <c r="B47"/>
      <c r="C47"/>
      <c r="D47"/>
      <c r="E47"/>
      <c r="F47"/>
      <c r="G47"/>
      <c r="H47"/>
      <c r="I47"/>
      <c r="J47"/>
      <c r="K47"/>
      <c r="L47"/>
      <c r="M47"/>
    </row>
    <row r="48" spans="1:13" x14ac:dyDescent="0.25">
      <c r="A48"/>
      <c r="B48"/>
      <c r="C48"/>
      <c r="D48"/>
      <c r="E48"/>
      <c r="F48"/>
      <c r="G48"/>
      <c r="H48"/>
      <c r="I48"/>
      <c r="J48"/>
      <c r="K48"/>
      <c r="L48"/>
      <c r="M48"/>
    </row>
    <row r="49" spans="1:13" x14ac:dyDescent="0.25">
      <c r="A49"/>
      <c r="B49"/>
      <c r="C49"/>
      <c r="D49"/>
      <c r="E49"/>
      <c r="F49"/>
      <c r="G49"/>
      <c r="H49"/>
      <c r="I49"/>
      <c r="J49"/>
      <c r="K49"/>
      <c r="L49"/>
      <c r="M49"/>
    </row>
    <row r="50" spans="1:13" x14ac:dyDescent="0.25">
      <c r="A50"/>
      <c r="B50"/>
      <c r="C50"/>
      <c r="D50"/>
      <c r="E50"/>
      <c r="F50"/>
      <c r="G50"/>
      <c r="H50"/>
      <c r="I50"/>
      <c r="J50"/>
      <c r="K50"/>
      <c r="L50"/>
      <c r="M50"/>
    </row>
    <row r="51" spans="1:13" x14ac:dyDescent="0.25">
      <c r="A51"/>
      <c r="B51"/>
      <c r="C51"/>
      <c r="D51"/>
      <c r="E51"/>
      <c r="F51"/>
      <c r="G51"/>
      <c r="H51"/>
      <c r="I51"/>
      <c r="J51"/>
      <c r="K51"/>
      <c r="L51"/>
      <c r="M51"/>
    </row>
    <row r="52" spans="1:13" x14ac:dyDescent="0.25">
      <c r="A52"/>
      <c r="B52"/>
      <c r="C52"/>
      <c r="D52"/>
      <c r="E52"/>
      <c r="F52"/>
      <c r="G52"/>
      <c r="H52"/>
      <c r="I52"/>
      <c r="J52"/>
      <c r="K52"/>
      <c r="L52"/>
      <c r="M52"/>
    </row>
    <row r="53" spans="1:13" x14ac:dyDescent="0.25">
      <c r="A53"/>
      <c r="B53"/>
      <c r="C53"/>
      <c r="D53"/>
      <c r="E53"/>
      <c r="F53"/>
      <c r="G53"/>
      <c r="H53"/>
      <c r="I53"/>
      <c r="J53"/>
      <c r="K53"/>
      <c r="L53"/>
      <c r="M53"/>
    </row>
    <row r="54" spans="1:13" x14ac:dyDescent="0.25">
      <c r="A54"/>
      <c r="B54"/>
      <c r="C54"/>
      <c r="D54"/>
      <c r="E54"/>
      <c r="F54"/>
      <c r="G54"/>
      <c r="H54"/>
      <c r="I54"/>
      <c r="J54"/>
      <c r="K54"/>
      <c r="L54"/>
      <c r="M54"/>
    </row>
    <row r="55" spans="1:13" x14ac:dyDescent="0.25">
      <c r="A55"/>
      <c r="B55"/>
      <c r="C55"/>
      <c r="D55"/>
      <c r="E55"/>
      <c r="F55"/>
      <c r="G55"/>
      <c r="H55"/>
      <c r="I55"/>
      <c r="J55"/>
      <c r="K55"/>
      <c r="L55"/>
      <c r="M55"/>
    </row>
    <row r="56" spans="1:13" x14ac:dyDescent="0.25">
      <c r="A56"/>
      <c r="B56"/>
      <c r="C56"/>
      <c r="D56"/>
      <c r="E56"/>
      <c r="F56"/>
      <c r="G56"/>
      <c r="H56"/>
      <c r="I56"/>
      <c r="J56"/>
      <c r="K56"/>
      <c r="L56"/>
      <c r="M56"/>
    </row>
    <row r="57" spans="1:13" x14ac:dyDescent="0.25">
      <c r="A57"/>
      <c r="B57"/>
      <c r="C57"/>
      <c r="D57"/>
      <c r="E57"/>
      <c r="F57"/>
      <c r="G57"/>
      <c r="H57"/>
      <c r="I57"/>
      <c r="J57"/>
      <c r="K57"/>
      <c r="L57"/>
      <c r="M57"/>
    </row>
    <row r="58" spans="1:13" x14ac:dyDescent="0.25">
      <c r="A58"/>
      <c r="B58"/>
      <c r="C58"/>
      <c r="D58"/>
      <c r="E58"/>
      <c r="F58"/>
      <c r="G58"/>
      <c r="H58"/>
      <c r="I58"/>
      <c r="J58"/>
      <c r="K58"/>
      <c r="L58"/>
      <c r="M58"/>
    </row>
    <row r="59" spans="1:13" x14ac:dyDescent="0.25">
      <c r="A59"/>
      <c r="B59"/>
      <c r="C59"/>
      <c r="D59"/>
      <c r="E59"/>
      <c r="F59"/>
      <c r="G59"/>
      <c r="H59"/>
      <c r="I59"/>
      <c r="J59"/>
      <c r="K59"/>
      <c r="L59"/>
      <c r="M59"/>
    </row>
    <row r="60" spans="1:13" x14ac:dyDescent="0.25">
      <c r="A60"/>
      <c r="B60"/>
      <c r="C60"/>
      <c r="D60"/>
      <c r="E60"/>
      <c r="F60"/>
      <c r="G60"/>
      <c r="H60"/>
      <c r="I60"/>
      <c r="J60"/>
      <c r="K60"/>
      <c r="L60"/>
      <c r="M60"/>
    </row>
    <row r="61" spans="1:13" x14ac:dyDescent="0.25">
      <c r="A61"/>
      <c r="B61"/>
      <c r="C61"/>
      <c r="D61"/>
      <c r="E61"/>
      <c r="F61"/>
      <c r="G61"/>
      <c r="H61"/>
      <c r="I61"/>
      <c r="J61"/>
      <c r="K61"/>
      <c r="L61"/>
      <c r="M61"/>
    </row>
    <row r="62" spans="1:13" x14ac:dyDescent="0.25">
      <c r="A62"/>
      <c r="B62"/>
      <c r="C62"/>
      <c r="D62"/>
      <c r="E62"/>
      <c r="F62"/>
      <c r="G62"/>
      <c r="H62"/>
      <c r="I62"/>
      <c r="J62"/>
      <c r="K62"/>
      <c r="L62"/>
      <c r="M62"/>
    </row>
    <row r="63" spans="1:13" x14ac:dyDescent="0.25">
      <c r="A63"/>
      <c r="B63"/>
      <c r="C63"/>
      <c r="D63"/>
      <c r="E63"/>
      <c r="F63"/>
      <c r="G63"/>
      <c r="H63"/>
      <c r="I63"/>
      <c r="J63"/>
      <c r="K63"/>
      <c r="L63"/>
      <c r="M63"/>
    </row>
    <row r="64" spans="1:13" x14ac:dyDescent="0.25">
      <c r="A64"/>
      <c r="B64"/>
      <c r="C64"/>
      <c r="D64"/>
      <c r="E64"/>
      <c r="F64"/>
      <c r="G64"/>
      <c r="H64"/>
      <c r="I64"/>
      <c r="J64"/>
      <c r="K64"/>
      <c r="L64"/>
      <c r="M64"/>
    </row>
    <row r="65" spans="1:13" x14ac:dyDescent="0.25">
      <c r="A65"/>
      <c r="B65"/>
      <c r="C65"/>
      <c r="D65"/>
      <c r="E65"/>
      <c r="F65"/>
      <c r="G65"/>
      <c r="H65"/>
      <c r="I65"/>
      <c r="J65"/>
      <c r="K65"/>
      <c r="L65"/>
      <c r="M65"/>
    </row>
    <row r="66" spans="1:13" x14ac:dyDescent="0.25">
      <c r="A66"/>
      <c r="B66"/>
      <c r="C66"/>
      <c r="D66"/>
      <c r="E66"/>
      <c r="F66"/>
      <c r="G66"/>
      <c r="H66"/>
      <c r="I66"/>
      <c r="J66"/>
      <c r="K66"/>
      <c r="L66"/>
      <c r="M66"/>
    </row>
    <row r="67" spans="1:13" x14ac:dyDescent="0.25">
      <c r="A67"/>
      <c r="B67"/>
      <c r="C67"/>
      <c r="D67"/>
      <c r="E67"/>
      <c r="F67"/>
      <c r="G67"/>
      <c r="H67"/>
      <c r="I67"/>
      <c r="J67"/>
      <c r="K67"/>
      <c r="L67"/>
      <c r="M67"/>
    </row>
    <row r="68" spans="1:13" x14ac:dyDescent="0.25">
      <c r="A68"/>
      <c r="B68"/>
      <c r="C68"/>
      <c r="D68"/>
      <c r="E68"/>
      <c r="F68"/>
      <c r="G68"/>
      <c r="H68"/>
      <c r="I68"/>
      <c r="J68"/>
      <c r="K68"/>
      <c r="L68"/>
      <c r="M68"/>
    </row>
    <row r="69" spans="1:13" x14ac:dyDescent="0.25">
      <c r="A69"/>
      <c r="B69"/>
      <c r="C69"/>
      <c r="D69"/>
      <c r="E69"/>
      <c r="F69"/>
      <c r="G69"/>
      <c r="H69"/>
      <c r="I69"/>
      <c r="J69"/>
      <c r="K69"/>
      <c r="L69"/>
      <c r="M69"/>
    </row>
    <row r="70" spans="1:13" x14ac:dyDescent="0.25">
      <c r="A70"/>
      <c r="B70"/>
      <c r="C70"/>
      <c r="D70"/>
      <c r="E70"/>
      <c r="F70"/>
      <c r="G70"/>
      <c r="H70"/>
      <c r="I70"/>
      <c r="J70"/>
      <c r="K70"/>
      <c r="L70"/>
      <c r="M70"/>
    </row>
    <row r="71" spans="1:13" x14ac:dyDescent="0.25">
      <c r="A71"/>
      <c r="B71"/>
      <c r="C71"/>
      <c r="D71"/>
      <c r="E71"/>
      <c r="F71"/>
      <c r="G71"/>
      <c r="H71"/>
      <c r="I71"/>
      <c r="J71"/>
      <c r="K71"/>
      <c r="L71"/>
      <c r="M71"/>
    </row>
    <row r="72" spans="1:13" x14ac:dyDescent="0.25">
      <c r="A72"/>
      <c r="B72"/>
      <c r="C72"/>
      <c r="D72"/>
      <c r="E72"/>
      <c r="F72"/>
      <c r="G72"/>
      <c r="H72"/>
      <c r="I72"/>
      <c r="J72"/>
      <c r="K72"/>
      <c r="L72"/>
      <c r="M72"/>
    </row>
    <row r="73" spans="1:13" x14ac:dyDescent="0.25">
      <c r="A73"/>
      <c r="B73"/>
      <c r="C73"/>
      <c r="D73"/>
      <c r="E73"/>
      <c r="F73"/>
      <c r="G73"/>
      <c r="H73"/>
      <c r="I73"/>
      <c r="J73"/>
      <c r="K73"/>
      <c r="L73"/>
      <c r="M73"/>
    </row>
    <row r="74" spans="1:13" x14ac:dyDescent="0.25">
      <c r="A74"/>
      <c r="B74"/>
      <c r="C74"/>
      <c r="D74"/>
      <c r="E74"/>
      <c r="F74"/>
      <c r="G74"/>
      <c r="H74"/>
      <c r="I74"/>
      <c r="J74"/>
      <c r="K74"/>
      <c r="L74"/>
      <c r="M74"/>
    </row>
    <row r="75" spans="1:13" x14ac:dyDescent="0.25">
      <c r="A75"/>
      <c r="B75"/>
      <c r="C75"/>
      <c r="D75"/>
      <c r="E75"/>
      <c r="F75"/>
      <c r="G75"/>
      <c r="H75"/>
      <c r="I75"/>
      <c r="J75"/>
      <c r="K75"/>
      <c r="L75"/>
      <c r="M75"/>
    </row>
    <row r="76" spans="1:13" x14ac:dyDescent="0.25">
      <c r="A76"/>
      <c r="B76"/>
      <c r="C76"/>
      <c r="D76"/>
      <c r="E76"/>
      <c r="F76"/>
      <c r="G76"/>
      <c r="H76"/>
      <c r="I76"/>
      <c r="J76"/>
      <c r="K76"/>
      <c r="L76"/>
      <c r="M76"/>
    </row>
    <row r="77" spans="1:13" x14ac:dyDescent="0.25">
      <c r="A77"/>
      <c r="B77"/>
      <c r="C77"/>
      <c r="D77"/>
      <c r="E77"/>
      <c r="F77"/>
      <c r="G77"/>
      <c r="H77"/>
      <c r="I77"/>
      <c r="J77"/>
      <c r="K77"/>
      <c r="L77"/>
      <c r="M77"/>
    </row>
    <row r="78" spans="1:13" x14ac:dyDescent="0.25">
      <c r="A78"/>
      <c r="B78"/>
      <c r="C78"/>
      <c r="D78"/>
      <c r="E78"/>
      <c r="F78"/>
      <c r="G78"/>
      <c r="H78"/>
      <c r="I78"/>
      <c r="J78"/>
      <c r="K78"/>
      <c r="L78"/>
      <c r="M78"/>
    </row>
    <row r="79" spans="1:13" x14ac:dyDescent="0.25">
      <c r="A79"/>
      <c r="B79"/>
      <c r="C79"/>
      <c r="D79"/>
      <c r="E79"/>
      <c r="F79"/>
      <c r="G79"/>
      <c r="H79"/>
      <c r="I79"/>
      <c r="J79"/>
      <c r="K79"/>
      <c r="L79"/>
      <c r="M79"/>
    </row>
    <row r="80" spans="1:13" x14ac:dyDescent="0.25">
      <c r="A80"/>
      <c r="B80"/>
      <c r="C80"/>
      <c r="D80"/>
      <c r="E80"/>
      <c r="F80"/>
      <c r="G80"/>
      <c r="H80"/>
      <c r="I80"/>
      <c r="J80"/>
      <c r="K80"/>
      <c r="L80"/>
      <c r="M80"/>
    </row>
    <row r="81" spans="1:13" x14ac:dyDescent="0.25">
      <c r="A81"/>
      <c r="B81"/>
      <c r="C81"/>
      <c r="D81"/>
      <c r="E81"/>
      <c r="F81"/>
      <c r="G81"/>
      <c r="H81"/>
      <c r="I81"/>
      <c r="J81"/>
      <c r="K81"/>
      <c r="L81"/>
      <c r="M81"/>
    </row>
    <row r="82" spans="1:13" x14ac:dyDescent="0.25">
      <c r="A82"/>
      <c r="B82"/>
      <c r="C82"/>
      <c r="D82"/>
      <c r="E82"/>
      <c r="F82"/>
      <c r="G82"/>
      <c r="H82"/>
      <c r="I82"/>
      <c r="J82"/>
      <c r="K82"/>
      <c r="L82"/>
      <c r="M82"/>
    </row>
    <row r="83" spans="1:13" x14ac:dyDescent="0.25">
      <c r="A83"/>
      <c r="B83"/>
      <c r="C83"/>
      <c r="D83"/>
      <c r="E83"/>
      <c r="F83"/>
      <c r="G83"/>
      <c r="H83"/>
      <c r="I83"/>
      <c r="J83"/>
      <c r="K83"/>
      <c r="L83"/>
      <c r="M83"/>
    </row>
    <row r="84" spans="1:13" x14ac:dyDescent="0.25">
      <c r="A84"/>
      <c r="B84"/>
      <c r="C84"/>
      <c r="D84"/>
      <c r="E84"/>
      <c r="F84"/>
      <c r="G84"/>
      <c r="H84"/>
      <c r="I84"/>
      <c r="J84"/>
      <c r="K84"/>
      <c r="L84"/>
      <c r="M84"/>
    </row>
    <row r="85" spans="1:13" x14ac:dyDescent="0.25">
      <c r="A85"/>
      <c r="B85"/>
      <c r="C85"/>
      <c r="D85"/>
      <c r="E85"/>
      <c r="F85"/>
      <c r="G85"/>
      <c r="H85"/>
      <c r="I85"/>
      <c r="J85"/>
      <c r="K85"/>
      <c r="L85"/>
      <c r="M85"/>
    </row>
    <row r="86" spans="1:13" x14ac:dyDescent="0.25">
      <c r="A86"/>
      <c r="B86"/>
      <c r="C86"/>
      <c r="D86"/>
      <c r="E86"/>
      <c r="F86"/>
      <c r="G86"/>
      <c r="H86"/>
      <c r="I86"/>
      <c r="J86"/>
      <c r="K86"/>
      <c r="L86"/>
      <c r="M86"/>
    </row>
    <row r="87" spans="1:13" x14ac:dyDescent="0.25">
      <c r="A87"/>
      <c r="B87"/>
      <c r="C87"/>
      <c r="D87"/>
      <c r="E87"/>
      <c r="F87"/>
      <c r="G87"/>
      <c r="H87"/>
      <c r="I87"/>
      <c r="J87"/>
      <c r="K87"/>
      <c r="L87"/>
      <c r="M87"/>
    </row>
    <row r="88" spans="1:13" x14ac:dyDescent="0.25">
      <c r="A88"/>
      <c r="B88"/>
      <c r="C88"/>
      <c r="D88"/>
      <c r="E88"/>
      <c r="F88"/>
      <c r="G88"/>
      <c r="H88"/>
      <c r="I88"/>
      <c r="J88"/>
      <c r="K88"/>
      <c r="L88"/>
      <c r="M88"/>
    </row>
    <row r="89" spans="1:13" x14ac:dyDescent="0.25">
      <c r="A89"/>
      <c r="B89"/>
      <c r="C89"/>
      <c r="D89"/>
      <c r="E89"/>
      <c r="F89"/>
      <c r="G89"/>
      <c r="H89"/>
      <c r="I89"/>
      <c r="J89"/>
      <c r="K89"/>
      <c r="L89"/>
      <c r="M89"/>
    </row>
    <row r="90" spans="1:13" x14ac:dyDescent="0.25">
      <c r="A90"/>
      <c r="B90"/>
      <c r="C90"/>
      <c r="D90"/>
      <c r="E90"/>
      <c r="F90"/>
      <c r="G90"/>
      <c r="H90"/>
      <c r="I90"/>
      <c r="J90"/>
      <c r="K90"/>
      <c r="L90"/>
      <c r="M90"/>
    </row>
    <row r="91" spans="1:13" x14ac:dyDescent="0.25">
      <c r="A91"/>
      <c r="B91"/>
      <c r="C91"/>
      <c r="D91"/>
      <c r="E91"/>
      <c r="F91"/>
      <c r="G91"/>
      <c r="H91"/>
      <c r="I91"/>
      <c r="J91"/>
      <c r="K91"/>
      <c r="L91"/>
      <c r="M91"/>
    </row>
    <row r="92" spans="1:13" x14ac:dyDescent="0.25">
      <c r="A92"/>
      <c r="B92"/>
      <c r="C92"/>
      <c r="D92"/>
      <c r="E92"/>
      <c r="F92"/>
      <c r="G92"/>
      <c r="H92"/>
      <c r="I92"/>
      <c r="J92"/>
      <c r="K92"/>
      <c r="L92"/>
      <c r="M92"/>
    </row>
    <row r="93" spans="1:13" x14ac:dyDescent="0.25">
      <c r="A93"/>
      <c r="B93"/>
      <c r="C93"/>
      <c r="D93"/>
      <c r="E93"/>
      <c r="F93"/>
      <c r="G93"/>
      <c r="H93"/>
      <c r="I93"/>
      <c r="J93"/>
      <c r="K93"/>
      <c r="L93"/>
      <c r="M93"/>
    </row>
    <row r="94" spans="1:13" x14ac:dyDescent="0.25">
      <c r="A94"/>
      <c r="B94"/>
      <c r="C94"/>
      <c r="D94"/>
      <c r="E94"/>
      <c r="F94"/>
      <c r="G94"/>
      <c r="H94"/>
      <c r="I94"/>
      <c r="J94"/>
      <c r="K94"/>
      <c r="L94"/>
      <c r="M94"/>
    </row>
    <row r="95" spans="1:13" x14ac:dyDescent="0.25">
      <c r="A95"/>
      <c r="B95"/>
      <c r="C95"/>
      <c r="D95"/>
      <c r="E95"/>
      <c r="F95"/>
      <c r="G95"/>
      <c r="H95"/>
      <c r="I95"/>
      <c r="J95"/>
      <c r="K95"/>
      <c r="L95"/>
      <c r="M95"/>
    </row>
    <row r="96" spans="1:13" x14ac:dyDescent="0.25">
      <c r="A96"/>
      <c r="B96"/>
      <c r="C96"/>
      <c r="D96"/>
      <c r="E96"/>
      <c r="F96"/>
      <c r="G96"/>
      <c r="H96"/>
      <c r="I96"/>
      <c r="J96"/>
      <c r="K96"/>
      <c r="L96"/>
      <c r="M96"/>
    </row>
    <row r="97" spans="1:13" x14ac:dyDescent="0.25">
      <c r="A97"/>
      <c r="B97"/>
      <c r="C97"/>
      <c r="D97"/>
      <c r="E97"/>
      <c r="F97"/>
      <c r="G97"/>
      <c r="H97"/>
      <c r="I97"/>
      <c r="J97"/>
      <c r="K97"/>
      <c r="L97"/>
      <c r="M97"/>
    </row>
    <row r="98" spans="1:13" x14ac:dyDescent="0.25">
      <c r="A98"/>
      <c r="B98"/>
      <c r="C98"/>
      <c r="D98"/>
      <c r="E98"/>
      <c r="F98"/>
      <c r="G98"/>
      <c r="H98"/>
      <c r="I98"/>
      <c r="J98"/>
      <c r="K98"/>
      <c r="L98"/>
      <c r="M98"/>
    </row>
    <row r="99" spans="1:13" x14ac:dyDescent="0.25">
      <c r="A99"/>
      <c r="B99"/>
      <c r="C99"/>
      <c r="D99"/>
      <c r="E99"/>
      <c r="F99"/>
      <c r="G99"/>
      <c r="H99"/>
      <c r="I99"/>
      <c r="J99"/>
      <c r="K99"/>
      <c r="L99"/>
      <c r="M99"/>
    </row>
    <row r="100" spans="1:13" x14ac:dyDescent="0.25">
      <c r="A100"/>
      <c r="B100"/>
      <c r="C100"/>
      <c r="D100"/>
      <c r="E100"/>
      <c r="F100"/>
      <c r="G100"/>
      <c r="H100"/>
      <c r="I100"/>
      <c r="J100"/>
      <c r="K100"/>
      <c r="L100"/>
      <c r="M100"/>
    </row>
    <row r="101" spans="1:13" x14ac:dyDescent="0.25">
      <c r="A101"/>
      <c r="B101"/>
      <c r="C101"/>
      <c r="D101"/>
      <c r="E101"/>
      <c r="F101"/>
      <c r="G101"/>
      <c r="H101"/>
      <c r="I101"/>
      <c r="J101"/>
      <c r="K101"/>
      <c r="L101"/>
      <c r="M101"/>
    </row>
    <row r="102" spans="1:13" x14ac:dyDescent="0.25">
      <c r="A102"/>
      <c r="B102"/>
      <c r="C102"/>
      <c r="D102"/>
      <c r="E102"/>
      <c r="F102"/>
      <c r="G102"/>
      <c r="H102"/>
      <c r="I102"/>
      <c r="J102"/>
      <c r="K102"/>
      <c r="L102"/>
      <c r="M102"/>
    </row>
    <row r="103" spans="1:13" x14ac:dyDescent="0.25">
      <c r="A103"/>
      <c r="B103"/>
      <c r="C103"/>
      <c r="D103"/>
      <c r="E103"/>
      <c r="F103"/>
      <c r="G103"/>
      <c r="H103"/>
      <c r="I103"/>
      <c r="J103"/>
      <c r="K103"/>
      <c r="L103"/>
      <c r="M103"/>
    </row>
    <row r="104" spans="1:13" x14ac:dyDescent="0.25">
      <c r="A104"/>
      <c r="B104"/>
      <c r="C104"/>
      <c r="D104"/>
      <c r="E104"/>
      <c r="F104"/>
      <c r="G104"/>
      <c r="H104"/>
      <c r="I104"/>
      <c r="J104"/>
      <c r="K104"/>
      <c r="L104"/>
      <c r="M104"/>
    </row>
    <row r="105" spans="1:13" x14ac:dyDescent="0.25">
      <c r="A105"/>
      <c r="B105"/>
      <c r="C105"/>
      <c r="D105"/>
      <c r="E105"/>
      <c r="F105"/>
      <c r="G105"/>
      <c r="H105"/>
      <c r="I105"/>
      <c r="J105"/>
      <c r="K105"/>
      <c r="L105"/>
      <c r="M105"/>
    </row>
    <row r="106" spans="1:13" x14ac:dyDescent="0.25">
      <c r="A106"/>
      <c r="B106"/>
      <c r="C106"/>
      <c r="D106"/>
      <c r="E106"/>
      <c r="F106"/>
      <c r="G106"/>
      <c r="H106"/>
      <c r="I106"/>
      <c r="J106"/>
      <c r="K106"/>
      <c r="L106"/>
      <c r="M106"/>
    </row>
    <row r="107" spans="1:13" x14ac:dyDescent="0.25">
      <c r="A107"/>
      <c r="B107"/>
      <c r="C107"/>
      <c r="D107"/>
      <c r="E107"/>
      <c r="F107"/>
      <c r="G107"/>
      <c r="H107"/>
      <c r="I107"/>
      <c r="J107"/>
      <c r="K107"/>
      <c r="L107"/>
      <c r="M107"/>
    </row>
    <row r="108" spans="1:13" x14ac:dyDescent="0.25">
      <c r="A108"/>
      <c r="B108"/>
      <c r="C108"/>
      <c r="D108"/>
      <c r="E108"/>
      <c r="F108"/>
      <c r="G108"/>
      <c r="H108"/>
      <c r="I108"/>
      <c r="J108"/>
      <c r="K108"/>
      <c r="L108"/>
      <c r="M108"/>
    </row>
    <row r="109" spans="1:13" x14ac:dyDescent="0.25">
      <c r="A109"/>
      <c r="B109"/>
      <c r="C109"/>
      <c r="D109"/>
      <c r="E109"/>
      <c r="F109"/>
      <c r="G109"/>
      <c r="H109"/>
      <c r="I109"/>
      <c r="J109"/>
      <c r="K109"/>
      <c r="L109"/>
      <c r="M109"/>
    </row>
    <row r="110" spans="1:13" x14ac:dyDescent="0.25">
      <c r="A110"/>
      <c r="B110"/>
      <c r="C110"/>
      <c r="D110"/>
      <c r="E110"/>
      <c r="F110"/>
      <c r="G110"/>
      <c r="H110"/>
      <c r="I110"/>
      <c r="J110"/>
      <c r="K110"/>
      <c r="L110"/>
      <c r="M110"/>
    </row>
    <row r="111" spans="1:13" x14ac:dyDescent="0.25">
      <c r="A111"/>
      <c r="B111"/>
      <c r="C111"/>
      <c r="D111"/>
      <c r="E111"/>
      <c r="F111"/>
      <c r="G111"/>
      <c r="H111"/>
      <c r="I111"/>
      <c r="J111"/>
      <c r="K111"/>
      <c r="L111"/>
      <c r="M111"/>
    </row>
    <row r="112" spans="1:13" x14ac:dyDescent="0.25">
      <c r="A112"/>
      <c r="B112"/>
      <c r="C112"/>
      <c r="D112"/>
      <c r="E112"/>
      <c r="F112"/>
      <c r="G112"/>
      <c r="H112"/>
      <c r="I112"/>
      <c r="J112"/>
      <c r="K112"/>
      <c r="L112"/>
      <c r="M112"/>
    </row>
    <row r="113" spans="1:13" x14ac:dyDescent="0.25">
      <c r="A113"/>
      <c r="B113"/>
      <c r="C113"/>
      <c r="D113"/>
      <c r="E113"/>
      <c r="F113"/>
      <c r="G113"/>
      <c r="H113"/>
      <c r="I113"/>
      <c r="J113"/>
      <c r="K113"/>
      <c r="L113"/>
      <c r="M113"/>
    </row>
    <row r="114" spans="1:13" x14ac:dyDescent="0.25">
      <c r="A114"/>
      <c r="B114"/>
      <c r="C114"/>
      <c r="D114"/>
      <c r="E114"/>
      <c r="F114"/>
      <c r="G114"/>
      <c r="H114"/>
      <c r="I114"/>
      <c r="J114"/>
      <c r="K114"/>
      <c r="L114"/>
      <c r="M114"/>
    </row>
    <row r="115" spans="1:13" x14ac:dyDescent="0.25">
      <c r="A115"/>
      <c r="B115"/>
      <c r="C115"/>
      <c r="D115"/>
      <c r="E115"/>
      <c r="F115"/>
      <c r="G115"/>
      <c r="H115"/>
      <c r="I115"/>
      <c r="J115"/>
      <c r="K115"/>
      <c r="L115"/>
      <c r="M115"/>
    </row>
    <row r="116" spans="1:13" x14ac:dyDescent="0.25">
      <c r="A116"/>
      <c r="B116"/>
      <c r="C116"/>
      <c r="D116"/>
      <c r="E116"/>
      <c r="F116"/>
      <c r="G116"/>
      <c r="H116"/>
      <c r="I116"/>
      <c r="J116"/>
      <c r="K116"/>
      <c r="L116"/>
      <c r="M116"/>
    </row>
    <row r="117" spans="1:13" x14ac:dyDescent="0.25">
      <c r="A117"/>
      <c r="B117"/>
      <c r="C117"/>
      <c r="D117"/>
      <c r="E117"/>
      <c r="F117"/>
      <c r="G117"/>
      <c r="H117"/>
      <c r="I117"/>
      <c r="J117"/>
      <c r="K117"/>
      <c r="L117"/>
      <c r="M117"/>
    </row>
    <row r="118" spans="1:13" x14ac:dyDescent="0.25">
      <c r="A118"/>
      <c r="B118"/>
      <c r="C118"/>
      <c r="D118"/>
      <c r="E118"/>
      <c r="F118"/>
      <c r="G118"/>
      <c r="H118"/>
      <c r="I118"/>
      <c r="J118"/>
      <c r="K118"/>
      <c r="L118"/>
      <c r="M118"/>
    </row>
    <row r="119" spans="1:13" x14ac:dyDescent="0.25">
      <c r="A119"/>
      <c r="B119"/>
      <c r="C119"/>
      <c r="D119"/>
      <c r="E119"/>
      <c r="F119"/>
      <c r="G119"/>
      <c r="H119"/>
      <c r="I119"/>
      <c r="J119"/>
      <c r="K119"/>
      <c r="L119"/>
      <c r="M119"/>
    </row>
    <row r="120" spans="1:13" x14ac:dyDescent="0.25">
      <c r="A120"/>
      <c r="B120"/>
      <c r="C120"/>
      <c r="D120"/>
      <c r="E120"/>
      <c r="F120"/>
      <c r="G120"/>
      <c r="H120"/>
      <c r="I120"/>
      <c r="J120"/>
      <c r="K120"/>
      <c r="L120"/>
      <c r="M120"/>
    </row>
    <row r="121" spans="1:13" x14ac:dyDescent="0.25">
      <c r="A121"/>
      <c r="B121"/>
      <c r="C121"/>
      <c r="D121"/>
      <c r="E121"/>
      <c r="F121"/>
      <c r="G121"/>
      <c r="H121"/>
      <c r="I121"/>
      <c r="J121"/>
      <c r="K121"/>
      <c r="L121"/>
      <c r="M121"/>
    </row>
    <row r="122" spans="1:13" x14ac:dyDescent="0.25">
      <c r="A122"/>
      <c r="B122"/>
      <c r="C122"/>
      <c r="D122"/>
      <c r="E122"/>
      <c r="F122"/>
      <c r="G122"/>
      <c r="H122"/>
      <c r="I122"/>
      <c r="J122"/>
      <c r="K122"/>
      <c r="L122"/>
      <c r="M122"/>
    </row>
    <row r="123" spans="1:13" x14ac:dyDescent="0.25">
      <c r="A123"/>
      <c r="B123"/>
      <c r="C123"/>
      <c r="D123"/>
      <c r="E123"/>
      <c r="F123"/>
      <c r="G123"/>
      <c r="H123"/>
      <c r="I123"/>
      <c r="J123"/>
      <c r="K123"/>
      <c r="L123"/>
      <c r="M123"/>
    </row>
    <row r="124" spans="1:13" x14ac:dyDescent="0.25">
      <c r="A124"/>
      <c r="B124"/>
      <c r="C124"/>
      <c r="D124"/>
      <c r="E124"/>
      <c r="F124"/>
      <c r="G124"/>
      <c r="H124"/>
      <c r="I124"/>
      <c r="J124"/>
      <c r="K124"/>
      <c r="L124"/>
      <c r="M124"/>
    </row>
    <row r="125" spans="1:13" x14ac:dyDescent="0.25">
      <c r="A125"/>
      <c r="B125"/>
      <c r="C125"/>
      <c r="D125"/>
      <c r="E125"/>
      <c r="F125"/>
      <c r="G125"/>
      <c r="H125"/>
      <c r="I125"/>
      <c r="J125"/>
      <c r="K125"/>
      <c r="L125"/>
      <c r="M125"/>
    </row>
    <row r="126" spans="1:13" x14ac:dyDescent="0.25">
      <c r="A126"/>
      <c r="B126"/>
      <c r="C126"/>
      <c r="D126"/>
      <c r="E126"/>
      <c r="F126"/>
      <c r="G126"/>
      <c r="H126"/>
      <c r="I126"/>
      <c r="J126"/>
      <c r="K126"/>
      <c r="L126"/>
      <c r="M126"/>
    </row>
    <row r="127" spans="1:13" x14ac:dyDescent="0.25">
      <c r="A127"/>
      <c r="B127"/>
      <c r="C127"/>
      <c r="D127"/>
      <c r="E127"/>
      <c r="F127"/>
      <c r="G127"/>
      <c r="H127"/>
      <c r="I127"/>
      <c r="J127"/>
      <c r="K127"/>
      <c r="L127"/>
      <c r="M127"/>
    </row>
    <row r="128" spans="1:13" x14ac:dyDescent="0.25">
      <c r="A128"/>
      <c r="B128"/>
      <c r="C128"/>
      <c r="D128"/>
      <c r="E128"/>
      <c r="F128"/>
      <c r="G128"/>
      <c r="H128"/>
      <c r="I128"/>
      <c r="J128"/>
      <c r="K128"/>
      <c r="L128"/>
      <c r="M128"/>
    </row>
    <row r="129" spans="1:13" x14ac:dyDescent="0.25">
      <c r="A129"/>
      <c r="B129"/>
      <c r="C129"/>
      <c r="D129"/>
      <c r="E129"/>
      <c r="F129"/>
      <c r="G129"/>
      <c r="H129"/>
      <c r="I129"/>
      <c r="J129"/>
      <c r="K129"/>
      <c r="L129"/>
      <c r="M129"/>
    </row>
    <row r="130" spans="1:13" x14ac:dyDescent="0.25">
      <c r="A130"/>
      <c r="B130"/>
      <c r="C130"/>
      <c r="D130"/>
      <c r="E130"/>
      <c r="F130"/>
      <c r="G130"/>
      <c r="H130"/>
      <c r="I130"/>
      <c r="J130"/>
      <c r="K130"/>
      <c r="L130"/>
      <c r="M130"/>
    </row>
    <row r="131" spans="1:13" x14ac:dyDescent="0.25">
      <c r="A131"/>
      <c r="B131"/>
      <c r="C131"/>
      <c r="D131"/>
      <c r="E131"/>
      <c r="F131"/>
      <c r="G131"/>
      <c r="H131"/>
      <c r="I131"/>
      <c r="J131"/>
      <c r="K131"/>
      <c r="L131"/>
      <c r="M131"/>
    </row>
    <row r="132" spans="1:13" x14ac:dyDescent="0.25">
      <c r="A132"/>
      <c r="B132"/>
      <c r="C132"/>
      <c r="D132"/>
      <c r="E132"/>
      <c r="F132"/>
      <c r="G132"/>
      <c r="H132"/>
      <c r="I132"/>
      <c r="J132"/>
      <c r="K132"/>
      <c r="L132"/>
      <c r="M132"/>
    </row>
    <row r="133" spans="1:13" x14ac:dyDescent="0.25">
      <c r="A133"/>
      <c r="B133"/>
      <c r="C133"/>
      <c r="D133"/>
      <c r="E133"/>
      <c r="F133"/>
      <c r="G133"/>
      <c r="H133"/>
      <c r="I133"/>
      <c r="J133"/>
      <c r="K133"/>
      <c r="L133"/>
      <c r="M133"/>
    </row>
    <row r="134" spans="1:13" x14ac:dyDescent="0.25">
      <c r="A134"/>
      <c r="B134"/>
      <c r="C134"/>
      <c r="D134"/>
      <c r="E134"/>
      <c r="F134"/>
      <c r="G134"/>
      <c r="H134"/>
      <c r="I134"/>
      <c r="J134"/>
      <c r="K134"/>
      <c r="L134"/>
      <c r="M134"/>
    </row>
    <row r="135" spans="1:13" x14ac:dyDescent="0.25">
      <c r="A135"/>
      <c r="B135"/>
      <c r="C135"/>
      <c r="D135"/>
      <c r="E135"/>
      <c r="F135"/>
      <c r="G135"/>
      <c r="H135"/>
      <c r="I135"/>
      <c r="J135"/>
      <c r="K135"/>
      <c r="L135"/>
      <c r="M135"/>
    </row>
    <row r="136" spans="1:13" x14ac:dyDescent="0.25">
      <c r="A136"/>
      <c r="B136"/>
      <c r="C136"/>
      <c r="D136"/>
      <c r="E136"/>
      <c r="F136"/>
      <c r="G136"/>
      <c r="H136"/>
      <c r="I136"/>
      <c r="J136"/>
      <c r="K136"/>
      <c r="L136"/>
      <c r="M136"/>
    </row>
    <row r="137" spans="1:13" x14ac:dyDescent="0.25">
      <c r="A137"/>
      <c r="B137"/>
      <c r="C137"/>
      <c r="D137"/>
      <c r="E137"/>
      <c r="F137"/>
      <c r="G137"/>
      <c r="H137"/>
      <c r="I137"/>
      <c r="J137"/>
      <c r="K137"/>
      <c r="L137"/>
      <c r="M137"/>
    </row>
    <row r="138" spans="1:13" x14ac:dyDescent="0.25">
      <c r="A138"/>
      <c r="B138"/>
      <c r="C138"/>
      <c r="D138"/>
      <c r="E138"/>
      <c r="F138"/>
      <c r="G138"/>
      <c r="H138"/>
      <c r="I138"/>
      <c r="J138"/>
      <c r="K138"/>
      <c r="L138"/>
      <c r="M138"/>
    </row>
    <row r="139" spans="1:13" x14ac:dyDescent="0.25">
      <c r="A139"/>
      <c r="B139"/>
      <c r="C139"/>
      <c r="D139"/>
      <c r="E139"/>
      <c r="F139"/>
      <c r="G139"/>
      <c r="H139"/>
      <c r="I139"/>
      <c r="J139"/>
      <c r="K139"/>
      <c r="L139"/>
      <c r="M139"/>
    </row>
    <row r="140" spans="1:13" x14ac:dyDescent="0.25">
      <c r="A140"/>
      <c r="B140"/>
      <c r="C140"/>
      <c r="D140"/>
      <c r="E140"/>
      <c r="F140"/>
      <c r="G140"/>
      <c r="H140"/>
      <c r="I140"/>
      <c r="J140"/>
      <c r="K140"/>
      <c r="L140"/>
      <c r="M140"/>
    </row>
    <row r="141" spans="1:13" x14ac:dyDescent="0.25">
      <c r="A141"/>
      <c r="B141"/>
      <c r="C141"/>
      <c r="D141"/>
      <c r="E141"/>
      <c r="F141"/>
      <c r="G141"/>
      <c r="H141"/>
      <c r="I141"/>
      <c r="J141"/>
      <c r="K141"/>
      <c r="L141"/>
      <c r="M141"/>
    </row>
    <row r="142" spans="1:13" x14ac:dyDescent="0.25">
      <c r="A142"/>
      <c r="B142"/>
      <c r="C142"/>
      <c r="D142"/>
      <c r="E142"/>
      <c r="F142"/>
      <c r="G142"/>
      <c r="H142"/>
      <c r="I142"/>
      <c r="J142"/>
      <c r="K142"/>
      <c r="L142"/>
      <c r="M142"/>
    </row>
    <row r="143" spans="1:13" x14ac:dyDescent="0.25">
      <c r="A143"/>
      <c r="B143"/>
      <c r="C143"/>
      <c r="D143"/>
      <c r="E143"/>
      <c r="F143"/>
      <c r="G143"/>
      <c r="H143"/>
      <c r="I143"/>
      <c r="J143"/>
      <c r="K143"/>
      <c r="L143"/>
      <c r="M143"/>
    </row>
    <row r="144" spans="1:13" x14ac:dyDescent="0.25">
      <c r="A144"/>
      <c r="B144"/>
      <c r="C144"/>
      <c r="D144"/>
      <c r="E144"/>
      <c r="F144"/>
      <c r="G144"/>
      <c r="H144"/>
      <c r="I144"/>
      <c r="J144"/>
      <c r="K144"/>
      <c r="L144"/>
      <c r="M144"/>
    </row>
    <row r="145" spans="1:13" x14ac:dyDescent="0.25">
      <c r="A145"/>
      <c r="B145"/>
      <c r="C145"/>
      <c r="D145"/>
      <c r="E145"/>
      <c r="F145"/>
      <c r="G145"/>
      <c r="H145"/>
      <c r="I145"/>
      <c r="J145"/>
      <c r="K145"/>
      <c r="L145"/>
      <c r="M145"/>
    </row>
    <row r="146" spans="1:13" x14ac:dyDescent="0.25">
      <c r="A146"/>
      <c r="B146"/>
      <c r="C146"/>
      <c r="D146"/>
      <c r="E146"/>
      <c r="F146"/>
      <c r="G146"/>
      <c r="H146"/>
      <c r="I146"/>
      <c r="J146"/>
      <c r="K146"/>
      <c r="L146"/>
      <c r="M146"/>
    </row>
    <row r="147" spans="1:13" x14ac:dyDescent="0.25">
      <c r="A147"/>
      <c r="B147"/>
      <c r="C147"/>
      <c r="D147"/>
      <c r="E147"/>
      <c r="F147"/>
      <c r="G147"/>
      <c r="H147"/>
      <c r="I147"/>
      <c r="J147"/>
      <c r="K147"/>
      <c r="L147"/>
      <c r="M147"/>
    </row>
    <row r="148" spans="1:13" x14ac:dyDescent="0.25">
      <c r="A148"/>
      <c r="B148"/>
      <c r="C148"/>
      <c r="D148"/>
      <c r="E148"/>
      <c r="F148"/>
      <c r="G148"/>
      <c r="H148"/>
      <c r="I148"/>
      <c r="J148"/>
      <c r="K148"/>
      <c r="L148"/>
      <c r="M148"/>
    </row>
    <row r="149" spans="1:13" x14ac:dyDescent="0.25">
      <c r="A149"/>
      <c r="B149"/>
      <c r="C149"/>
      <c r="D149"/>
      <c r="E149"/>
      <c r="F149"/>
      <c r="G149"/>
      <c r="H149"/>
      <c r="I149"/>
      <c r="J149"/>
      <c r="K149"/>
      <c r="L149"/>
      <c r="M149"/>
    </row>
    <row r="150" spans="1:13" x14ac:dyDescent="0.25">
      <c r="A150"/>
      <c r="B150"/>
      <c r="C150"/>
      <c r="D150"/>
      <c r="E150"/>
      <c r="F150"/>
      <c r="G150"/>
      <c r="H150"/>
      <c r="I150"/>
      <c r="J150"/>
      <c r="K150"/>
      <c r="L150"/>
      <c r="M150"/>
    </row>
    <row r="151" spans="1:13" x14ac:dyDescent="0.25">
      <c r="A151"/>
      <c r="B151"/>
      <c r="C151"/>
      <c r="D151"/>
      <c r="E151"/>
      <c r="F151"/>
      <c r="G151"/>
      <c r="H151"/>
      <c r="I151"/>
      <c r="J151"/>
      <c r="K151"/>
      <c r="L151"/>
      <c r="M151"/>
    </row>
    <row r="152" spans="1:13" x14ac:dyDescent="0.25">
      <c r="A152"/>
      <c r="B152"/>
      <c r="C152"/>
      <c r="D152"/>
      <c r="E152"/>
      <c r="F152"/>
      <c r="G152"/>
      <c r="H152"/>
      <c r="I152"/>
      <c r="J152"/>
      <c r="K152"/>
      <c r="L152"/>
      <c r="M152"/>
    </row>
    <row r="153" spans="1:13" x14ac:dyDescent="0.25">
      <c r="A153"/>
      <c r="B153"/>
      <c r="C153"/>
      <c r="D153"/>
      <c r="E153"/>
      <c r="F153"/>
      <c r="G153"/>
      <c r="H153"/>
      <c r="I153"/>
      <c r="J153"/>
      <c r="K153"/>
      <c r="L153"/>
      <c r="M153"/>
    </row>
    <row r="154" spans="1:13" x14ac:dyDescent="0.25">
      <c r="A154"/>
      <c r="B154"/>
      <c r="C154"/>
      <c r="D154"/>
      <c r="E154"/>
      <c r="F154"/>
      <c r="G154"/>
      <c r="H154"/>
      <c r="I154"/>
      <c r="J154"/>
      <c r="K154"/>
      <c r="L154"/>
      <c r="M154"/>
    </row>
    <row r="155" spans="1:13" x14ac:dyDescent="0.25">
      <c r="A155"/>
      <c r="B155"/>
      <c r="C155"/>
      <c r="D155"/>
      <c r="E155"/>
      <c r="F155"/>
      <c r="G155"/>
      <c r="H155"/>
      <c r="I155"/>
      <c r="J155"/>
      <c r="K155"/>
      <c r="L155"/>
      <c r="M155"/>
    </row>
    <row r="156" spans="1:13" x14ac:dyDescent="0.25">
      <c r="A156"/>
      <c r="B156"/>
      <c r="C156"/>
      <c r="D156"/>
      <c r="E156"/>
      <c r="F156"/>
      <c r="G156"/>
      <c r="H156"/>
      <c r="I156"/>
      <c r="J156"/>
      <c r="K156"/>
      <c r="L156"/>
      <c r="M156"/>
    </row>
    <row r="157" spans="1:13" x14ac:dyDescent="0.25">
      <c r="A157"/>
      <c r="B157"/>
      <c r="C157"/>
      <c r="D157"/>
      <c r="E157"/>
      <c r="F157"/>
      <c r="G157"/>
      <c r="H157"/>
      <c r="I157"/>
      <c r="J157"/>
      <c r="K157"/>
      <c r="L157"/>
      <c r="M157"/>
    </row>
    <row r="158" spans="1:13" x14ac:dyDescent="0.25">
      <c r="A158"/>
      <c r="B158"/>
      <c r="C158"/>
      <c r="D158"/>
      <c r="E158"/>
      <c r="F158"/>
      <c r="G158"/>
      <c r="H158"/>
      <c r="I158"/>
      <c r="J158"/>
      <c r="K158"/>
      <c r="L158"/>
      <c r="M158"/>
    </row>
    <row r="159" spans="1:13" x14ac:dyDescent="0.25">
      <c r="A159"/>
      <c r="B159"/>
      <c r="C159"/>
      <c r="D159"/>
      <c r="E159"/>
      <c r="F159"/>
      <c r="G159"/>
      <c r="H159"/>
      <c r="I159"/>
      <c r="J159"/>
      <c r="K159"/>
      <c r="L159"/>
      <c r="M159"/>
    </row>
    <row r="160" spans="1:13" x14ac:dyDescent="0.25">
      <c r="A160"/>
      <c r="B160"/>
      <c r="C160"/>
      <c r="D160"/>
      <c r="E160"/>
      <c r="F160"/>
      <c r="G160"/>
      <c r="H160"/>
      <c r="I160"/>
      <c r="J160"/>
      <c r="K160"/>
      <c r="L160"/>
      <c r="M160"/>
    </row>
    <row r="161" spans="1:13" x14ac:dyDescent="0.25">
      <c r="A161"/>
      <c r="B161"/>
      <c r="C161"/>
      <c r="D161"/>
      <c r="E161"/>
      <c r="F161"/>
      <c r="G161"/>
      <c r="H161"/>
      <c r="I161"/>
      <c r="J161"/>
      <c r="K161"/>
      <c r="L161"/>
      <c r="M161"/>
    </row>
    <row r="162" spans="1:13" x14ac:dyDescent="0.25">
      <c r="A162"/>
      <c r="B162"/>
      <c r="C162"/>
      <c r="D162"/>
      <c r="E162"/>
      <c r="F162"/>
      <c r="G162"/>
      <c r="H162"/>
      <c r="I162"/>
      <c r="J162"/>
      <c r="K162"/>
      <c r="L162"/>
      <c r="M162"/>
    </row>
    <row r="163" spans="1:13" x14ac:dyDescent="0.25">
      <c r="A163"/>
      <c r="B163"/>
      <c r="C163"/>
      <c r="D163"/>
      <c r="E163"/>
      <c r="F163"/>
      <c r="G163"/>
      <c r="H163"/>
      <c r="I163"/>
      <c r="J163"/>
      <c r="K163"/>
      <c r="L163"/>
      <c r="M163"/>
    </row>
    <row r="164" spans="1:13" x14ac:dyDescent="0.25">
      <c r="A164"/>
      <c r="B164"/>
      <c r="C164"/>
      <c r="D164"/>
      <c r="E164"/>
      <c r="F164"/>
      <c r="G164"/>
      <c r="H164"/>
      <c r="I164"/>
      <c r="J164"/>
      <c r="K164"/>
      <c r="L164"/>
      <c r="M164"/>
    </row>
    <row r="165" spans="1:13" x14ac:dyDescent="0.25">
      <c r="A165"/>
      <c r="B165"/>
      <c r="C165"/>
      <c r="D165"/>
      <c r="E165"/>
      <c r="F165"/>
      <c r="G165"/>
      <c r="H165"/>
      <c r="I165"/>
      <c r="J165"/>
      <c r="K165"/>
      <c r="L165"/>
      <c r="M165"/>
    </row>
    <row r="166" spans="1:13" x14ac:dyDescent="0.25">
      <c r="A166"/>
      <c r="B166"/>
      <c r="C166"/>
      <c r="D166"/>
      <c r="E166"/>
      <c r="F166"/>
      <c r="G166"/>
      <c r="H166"/>
      <c r="I166"/>
      <c r="J166"/>
      <c r="K166"/>
      <c r="L166"/>
      <c r="M166"/>
    </row>
    <row r="167" spans="1:13" x14ac:dyDescent="0.25">
      <c r="A167"/>
      <c r="B167"/>
      <c r="C167"/>
      <c r="D167"/>
      <c r="E167"/>
      <c r="F167"/>
      <c r="G167"/>
      <c r="H167"/>
      <c r="I167"/>
      <c r="J167"/>
      <c r="K167"/>
      <c r="L167"/>
      <c r="M167"/>
    </row>
    <row r="168" spans="1:13" x14ac:dyDescent="0.25">
      <c r="A168"/>
      <c r="B168"/>
      <c r="C168"/>
      <c r="D168"/>
      <c r="E168"/>
      <c r="F168"/>
      <c r="G168"/>
      <c r="H168"/>
      <c r="I168"/>
      <c r="J168"/>
      <c r="K168"/>
      <c r="L168"/>
      <c r="M168"/>
    </row>
    <row r="169" spans="1:13" x14ac:dyDescent="0.25">
      <c r="A169"/>
      <c r="B169"/>
      <c r="C169"/>
      <c r="D169"/>
      <c r="E169"/>
      <c r="F169"/>
      <c r="G169"/>
      <c r="H169"/>
      <c r="I169"/>
      <c r="J169"/>
      <c r="K169"/>
      <c r="L169"/>
      <c r="M169"/>
    </row>
    <row r="170" spans="1:13" x14ac:dyDescent="0.25">
      <c r="A170"/>
      <c r="B170"/>
      <c r="C170"/>
      <c r="D170"/>
      <c r="E170"/>
      <c r="F170"/>
      <c r="G170"/>
      <c r="H170"/>
      <c r="I170"/>
      <c r="J170"/>
      <c r="K170"/>
      <c r="L170"/>
      <c r="M170"/>
    </row>
    <row r="171" spans="1:13" x14ac:dyDescent="0.25">
      <c r="A171"/>
      <c r="B171"/>
      <c r="C171"/>
      <c r="D171"/>
      <c r="E171"/>
      <c r="F171"/>
      <c r="G171"/>
      <c r="H171"/>
      <c r="I171"/>
      <c r="J171"/>
      <c r="K171"/>
      <c r="L171"/>
      <c r="M171"/>
    </row>
    <row r="172" spans="1:13" x14ac:dyDescent="0.25">
      <c r="A172"/>
      <c r="B172"/>
      <c r="C172"/>
      <c r="D172"/>
      <c r="E172"/>
      <c r="F172"/>
      <c r="G172"/>
      <c r="H172"/>
      <c r="I172"/>
      <c r="J172"/>
      <c r="K172"/>
      <c r="L172"/>
      <c r="M172"/>
    </row>
    <row r="173" spans="1:13" x14ac:dyDescent="0.25">
      <c r="A173"/>
      <c r="B173"/>
      <c r="C173"/>
      <c r="D173"/>
      <c r="E173"/>
      <c r="F173"/>
      <c r="G173"/>
      <c r="H173"/>
      <c r="I173"/>
      <c r="J173"/>
      <c r="K173"/>
      <c r="L173"/>
      <c r="M173"/>
    </row>
    <row r="174" spans="1:13" x14ac:dyDescent="0.25">
      <c r="A174"/>
      <c r="B174"/>
      <c r="C174"/>
      <c r="D174"/>
      <c r="E174"/>
      <c r="F174"/>
      <c r="G174"/>
      <c r="H174"/>
      <c r="I174"/>
      <c r="J174"/>
      <c r="K174"/>
      <c r="L174"/>
      <c r="M174"/>
    </row>
    <row r="175" spans="1:13" x14ac:dyDescent="0.25">
      <c r="A175"/>
      <c r="B175"/>
      <c r="C175"/>
      <c r="D175"/>
      <c r="E175"/>
      <c r="F175"/>
      <c r="G175"/>
      <c r="H175"/>
      <c r="I175"/>
      <c r="J175"/>
      <c r="K175"/>
      <c r="L175"/>
      <c r="M175"/>
    </row>
    <row r="176" spans="1:13" x14ac:dyDescent="0.25">
      <c r="A176"/>
      <c r="B176"/>
      <c r="C176"/>
      <c r="D176"/>
      <c r="E176"/>
      <c r="F176"/>
      <c r="G176"/>
      <c r="H176"/>
      <c r="I176"/>
      <c r="J176"/>
      <c r="K176"/>
      <c r="L176"/>
      <c r="M176"/>
    </row>
    <row r="177" spans="1:13" x14ac:dyDescent="0.25">
      <c r="A177"/>
      <c r="B177"/>
      <c r="C177"/>
      <c r="D177"/>
      <c r="E177"/>
      <c r="F177"/>
      <c r="G177"/>
      <c r="H177"/>
      <c r="I177"/>
      <c r="J177"/>
      <c r="K177"/>
      <c r="L177"/>
      <c r="M177"/>
    </row>
    <row r="178" spans="1:13" x14ac:dyDescent="0.25">
      <c r="A178"/>
      <c r="B178"/>
      <c r="C178"/>
      <c r="D178"/>
      <c r="E178"/>
      <c r="F178"/>
      <c r="G178"/>
      <c r="H178"/>
      <c r="I178"/>
      <c r="J178"/>
      <c r="K178"/>
      <c r="L178"/>
      <c r="M178"/>
    </row>
    <row r="179" spans="1:13" x14ac:dyDescent="0.25">
      <c r="A179"/>
      <c r="B179"/>
      <c r="C179"/>
      <c r="D179"/>
      <c r="E179"/>
      <c r="F179"/>
      <c r="G179"/>
      <c r="H179"/>
      <c r="I179"/>
      <c r="J179"/>
      <c r="K179"/>
      <c r="L179"/>
      <c r="M179"/>
    </row>
    <row r="180" spans="1:13" x14ac:dyDescent="0.25">
      <c r="A180"/>
      <c r="B180"/>
      <c r="C180"/>
      <c r="D180"/>
      <c r="E180"/>
      <c r="F180"/>
      <c r="G180"/>
      <c r="H180"/>
      <c r="I180"/>
      <c r="J180"/>
      <c r="K180"/>
      <c r="L180"/>
      <c r="M180"/>
    </row>
    <row r="181" spans="1:13" x14ac:dyDescent="0.25">
      <c r="A181"/>
      <c r="B181"/>
      <c r="C181"/>
      <c r="D181"/>
      <c r="E181"/>
      <c r="F181"/>
      <c r="G181"/>
      <c r="H181"/>
      <c r="I181"/>
      <c r="J181"/>
      <c r="K181"/>
      <c r="L181"/>
      <c r="M181"/>
    </row>
    <row r="182" spans="1:13" x14ac:dyDescent="0.25">
      <c r="A182"/>
      <c r="B182"/>
      <c r="C182"/>
      <c r="D182"/>
      <c r="E182"/>
      <c r="F182"/>
      <c r="G182"/>
      <c r="H182"/>
      <c r="I182"/>
      <c r="J182"/>
      <c r="K182"/>
      <c r="L182"/>
      <c r="M182"/>
    </row>
    <row r="183" spans="1:13" x14ac:dyDescent="0.25">
      <c r="A183"/>
      <c r="B183"/>
      <c r="C183"/>
      <c r="D183"/>
      <c r="E183"/>
      <c r="F183"/>
      <c r="G183"/>
      <c r="H183"/>
      <c r="I183"/>
      <c r="J183"/>
      <c r="K183"/>
      <c r="L183"/>
      <c r="M183"/>
    </row>
    <row r="184" spans="1:13" x14ac:dyDescent="0.25">
      <c r="A184"/>
      <c r="B184"/>
      <c r="C184"/>
      <c r="D184"/>
      <c r="E184"/>
      <c r="F184"/>
      <c r="G184"/>
      <c r="H184"/>
      <c r="I184"/>
      <c r="J184"/>
      <c r="K184"/>
      <c r="L184"/>
      <c r="M184"/>
    </row>
    <row r="185" spans="1:13" x14ac:dyDescent="0.25">
      <c r="A185"/>
      <c r="B185"/>
      <c r="C185"/>
      <c r="D185"/>
      <c r="E185"/>
      <c r="F185"/>
      <c r="G185"/>
      <c r="H185"/>
      <c r="I185"/>
      <c r="J185"/>
      <c r="K185"/>
      <c r="L185"/>
      <c r="M185"/>
    </row>
    <row r="186" spans="1:13" x14ac:dyDescent="0.25">
      <c r="A186"/>
      <c r="B186"/>
      <c r="C186"/>
      <c r="D186"/>
      <c r="E186"/>
      <c r="F186"/>
      <c r="G186"/>
      <c r="H186"/>
      <c r="I186"/>
      <c r="J186"/>
      <c r="K186"/>
      <c r="L186"/>
      <c r="M186"/>
    </row>
    <row r="187" spans="1:13" x14ac:dyDescent="0.25">
      <c r="A187"/>
      <c r="B187"/>
      <c r="C187"/>
      <c r="D187"/>
      <c r="E187"/>
      <c r="F187"/>
      <c r="G187"/>
      <c r="H187"/>
      <c r="I187"/>
      <c r="J187"/>
      <c r="K187"/>
      <c r="L187"/>
      <c r="M187"/>
    </row>
    <row r="188" spans="1:13" x14ac:dyDescent="0.25">
      <c r="A188"/>
      <c r="B188"/>
      <c r="C188"/>
      <c r="D188"/>
      <c r="E188"/>
      <c r="F188"/>
      <c r="G188"/>
      <c r="H188"/>
      <c r="I188"/>
      <c r="J188"/>
      <c r="K188"/>
      <c r="L188"/>
      <c r="M188"/>
    </row>
    <row r="189" spans="1:13" x14ac:dyDescent="0.25">
      <c r="A189"/>
      <c r="B189"/>
      <c r="C189"/>
      <c r="D189"/>
      <c r="E189"/>
      <c r="F189"/>
      <c r="G189"/>
      <c r="H189"/>
      <c r="I189"/>
      <c r="J189"/>
      <c r="K189"/>
      <c r="L189"/>
      <c r="M189"/>
    </row>
    <row r="190" spans="1:13" x14ac:dyDescent="0.25">
      <c r="A190"/>
      <c r="B190"/>
      <c r="C190"/>
      <c r="D190"/>
      <c r="E190"/>
      <c r="F190"/>
      <c r="G190"/>
      <c r="H190"/>
      <c r="I190"/>
      <c r="J190"/>
      <c r="K190"/>
      <c r="L190"/>
      <c r="M190"/>
    </row>
    <row r="191" spans="1:13" x14ac:dyDescent="0.25">
      <c r="A191"/>
      <c r="B191"/>
      <c r="C191"/>
      <c r="D191"/>
      <c r="E191"/>
      <c r="F191"/>
      <c r="G191"/>
      <c r="H191"/>
      <c r="I191"/>
      <c r="J191"/>
      <c r="K191"/>
      <c r="L191"/>
      <c r="M191"/>
    </row>
    <row r="192" spans="1:13" x14ac:dyDescent="0.25">
      <c r="A192"/>
      <c r="B192"/>
      <c r="C192"/>
      <c r="D192"/>
      <c r="E192"/>
      <c r="F192"/>
      <c r="G192"/>
      <c r="H192"/>
      <c r="I192"/>
      <c r="J192"/>
      <c r="K192"/>
      <c r="L192"/>
      <c r="M192"/>
    </row>
    <row r="193" spans="1:13" x14ac:dyDescent="0.25">
      <c r="A193"/>
      <c r="B193"/>
      <c r="C193"/>
      <c r="D193"/>
      <c r="E193"/>
      <c r="F193"/>
      <c r="G193"/>
      <c r="H193"/>
      <c r="I193"/>
      <c r="J193"/>
      <c r="K193"/>
      <c r="L193"/>
      <c r="M193"/>
    </row>
    <row r="194" spans="1:13" x14ac:dyDescent="0.25">
      <c r="A194"/>
      <c r="B194"/>
      <c r="C194"/>
      <c r="D194"/>
      <c r="E194"/>
      <c r="F194"/>
      <c r="G194"/>
      <c r="H194"/>
      <c r="I194"/>
      <c r="J194"/>
      <c r="K194"/>
      <c r="L194"/>
      <c r="M194"/>
    </row>
    <row r="195" spans="1:13" x14ac:dyDescent="0.25">
      <c r="A195"/>
      <c r="B195"/>
      <c r="C195"/>
      <c r="D195"/>
      <c r="E195"/>
      <c r="F195"/>
      <c r="G195"/>
      <c r="H195"/>
      <c r="I195"/>
      <c r="J195"/>
      <c r="K195"/>
      <c r="L195"/>
      <c r="M195"/>
    </row>
    <row r="196" spans="1:13" x14ac:dyDescent="0.25">
      <c r="A196"/>
      <c r="B196"/>
      <c r="C196"/>
      <c r="D196"/>
      <c r="E196"/>
      <c r="F196"/>
      <c r="G196"/>
      <c r="H196"/>
      <c r="I196"/>
      <c r="J196"/>
      <c r="K196"/>
      <c r="L196"/>
      <c r="M196"/>
    </row>
    <row r="197" spans="1:13" x14ac:dyDescent="0.25">
      <c r="A197"/>
      <c r="B197"/>
      <c r="C197"/>
      <c r="D197"/>
      <c r="E197"/>
      <c r="F197"/>
      <c r="G197"/>
      <c r="H197"/>
      <c r="I197"/>
      <c r="J197"/>
      <c r="K197"/>
      <c r="L197"/>
      <c r="M197"/>
    </row>
    <row r="198" spans="1:13" x14ac:dyDescent="0.25">
      <c r="A198"/>
      <c r="B198"/>
      <c r="C198"/>
      <c r="D198"/>
      <c r="E198"/>
      <c r="F198"/>
      <c r="G198"/>
      <c r="H198"/>
      <c r="I198"/>
      <c r="J198"/>
      <c r="K198"/>
      <c r="L198"/>
      <c r="M198"/>
    </row>
    <row r="199" spans="1:13" x14ac:dyDescent="0.25">
      <c r="A199"/>
      <c r="B199"/>
      <c r="C199"/>
      <c r="D199"/>
      <c r="E199"/>
      <c r="F199"/>
      <c r="G199"/>
      <c r="H199"/>
      <c r="I199"/>
      <c r="J199"/>
      <c r="K199"/>
      <c r="L199"/>
      <c r="M199"/>
    </row>
    <row r="200" spans="1:13" x14ac:dyDescent="0.25">
      <c r="A200"/>
      <c r="B200"/>
      <c r="C200"/>
      <c r="D200"/>
      <c r="E200"/>
      <c r="F200"/>
      <c r="G200"/>
      <c r="H200"/>
      <c r="I200"/>
      <c r="J200"/>
      <c r="K200"/>
      <c r="L200"/>
      <c r="M200"/>
    </row>
    <row r="201" spans="1:13" x14ac:dyDescent="0.25">
      <c r="A201"/>
      <c r="B201"/>
      <c r="C201"/>
      <c r="D201"/>
      <c r="E201"/>
      <c r="F201"/>
      <c r="G201"/>
      <c r="H201"/>
      <c r="I201"/>
      <c r="J201"/>
      <c r="K201"/>
      <c r="L201"/>
      <c r="M201"/>
    </row>
    <row r="202" spans="1:13" x14ac:dyDescent="0.25">
      <c r="A202"/>
      <c r="B202"/>
      <c r="C202"/>
      <c r="D202"/>
      <c r="E202"/>
      <c r="F202"/>
      <c r="G202"/>
      <c r="H202"/>
      <c r="I202"/>
      <c r="J202"/>
      <c r="K202"/>
      <c r="L202"/>
      <c r="M202"/>
    </row>
    <row r="203" spans="1:13" x14ac:dyDescent="0.25">
      <c r="A203"/>
      <c r="B203"/>
      <c r="C203"/>
      <c r="D203"/>
      <c r="E203"/>
      <c r="F203"/>
      <c r="G203"/>
      <c r="H203"/>
      <c r="I203"/>
      <c r="J203"/>
      <c r="K203"/>
      <c r="L203"/>
      <c r="M203"/>
    </row>
    <row r="204" spans="1:13" x14ac:dyDescent="0.25">
      <c r="A204"/>
      <c r="B204"/>
      <c r="C204"/>
      <c r="D204"/>
      <c r="E204"/>
      <c r="F204"/>
      <c r="G204"/>
      <c r="H204"/>
      <c r="I204"/>
      <c r="J204"/>
      <c r="K204"/>
      <c r="L204"/>
      <c r="M204"/>
    </row>
    <row r="205" spans="1:13" x14ac:dyDescent="0.25">
      <c r="A205"/>
      <c r="B205"/>
      <c r="C205"/>
      <c r="D205"/>
      <c r="E205"/>
      <c r="F205"/>
      <c r="G205"/>
      <c r="H205"/>
      <c r="I205"/>
      <c r="J205"/>
      <c r="K205"/>
      <c r="L205"/>
      <c r="M205"/>
    </row>
    <row r="206" spans="1:13" x14ac:dyDescent="0.25">
      <c r="A206"/>
      <c r="B206"/>
      <c r="C206"/>
      <c r="D206"/>
      <c r="E206"/>
      <c r="F206"/>
      <c r="G206"/>
      <c r="H206"/>
      <c r="I206"/>
      <c r="J206"/>
      <c r="K206"/>
      <c r="L206"/>
      <c r="M206"/>
    </row>
    <row r="207" spans="1:13" x14ac:dyDescent="0.25">
      <c r="A207"/>
      <c r="B207"/>
      <c r="C207"/>
      <c r="D207"/>
      <c r="E207"/>
      <c r="F207"/>
      <c r="G207"/>
      <c r="H207"/>
      <c r="I207"/>
      <c r="J207"/>
      <c r="K207"/>
      <c r="L207"/>
      <c r="M207"/>
    </row>
    <row r="208" spans="1:13" x14ac:dyDescent="0.25">
      <c r="A208"/>
      <c r="B208"/>
      <c r="C208"/>
      <c r="D208"/>
      <c r="E208"/>
      <c r="F208"/>
      <c r="G208"/>
      <c r="H208"/>
      <c r="I208"/>
      <c r="J208"/>
      <c r="K208"/>
      <c r="L208"/>
      <c r="M208"/>
    </row>
    <row r="209" spans="1:13" x14ac:dyDescent="0.25">
      <c r="A209"/>
      <c r="B209"/>
      <c r="C209"/>
      <c r="D209"/>
      <c r="E209"/>
      <c r="F209"/>
      <c r="G209"/>
      <c r="H209"/>
      <c r="I209"/>
      <c r="J209"/>
      <c r="K209"/>
      <c r="L209"/>
      <c r="M209"/>
    </row>
    <row r="210" spans="1:13" x14ac:dyDescent="0.25">
      <c r="A210"/>
      <c r="B210"/>
      <c r="C210"/>
      <c r="D210"/>
      <c r="E210"/>
      <c r="F210"/>
      <c r="G210"/>
      <c r="H210"/>
      <c r="I210"/>
      <c r="J210"/>
      <c r="K210"/>
      <c r="L210"/>
      <c r="M210"/>
    </row>
    <row r="211" spans="1:13" x14ac:dyDescent="0.25">
      <c r="A211"/>
      <c r="B211"/>
      <c r="C211"/>
      <c r="D211"/>
      <c r="E211"/>
      <c r="F211"/>
      <c r="G211"/>
      <c r="H211"/>
      <c r="I211"/>
      <c r="J211"/>
      <c r="K211"/>
      <c r="L211"/>
      <c r="M211"/>
    </row>
    <row r="212" spans="1:13" x14ac:dyDescent="0.25">
      <c r="A212"/>
      <c r="B212"/>
      <c r="C212"/>
      <c r="D212"/>
      <c r="E212"/>
      <c r="F212"/>
      <c r="G212"/>
      <c r="H212"/>
      <c r="I212"/>
      <c r="J212"/>
      <c r="K212"/>
      <c r="L212"/>
      <c r="M212"/>
    </row>
    <row r="213" spans="1:13" x14ac:dyDescent="0.25">
      <c r="A213"/>
      <c r="B213"/>
      <c r="C213"/>
      <c r="D213"/>
      <c r="E213"/>
      <c r="F213"/>
      <c r="G213"/>
      <c r="H213"/>
      <c r="I213"/>
      <c r="J213"/>
      <c r="K213"/>
      <c r="L213"/>
      <c r="M213"/>
    </row>
    <row r="214" spans="1:13" x14ac:dyDescent="0.25">
      <c r="A214"/>
      <c r="B214"/>
      <c r="C214"/>
      <c r="D214"/>
      <c r="E214"/>
      <c r="F214"/>
      <c r="G214"/>
      <c r="H214"/>
      <c r="I214"/>
      <c r="J214"/>
      <c r="K214"/>
      <c r="L214"/>
      <c r="M214"/>
    </row>
    <row r="215" spans="1:13" x14ac:dyDescent="0.25">
      <c r="A215"/>
      <c r="B215"/>
      <c r="C215"/>
      <c r="D215"/>
      <c r="E215"/>
      <c r="F215"/>
      <c r="G215"/>
      <c r="H215"/>
      <c r="I215"/>
      <c r="J215"/>
      <c r="K215"/>
      <c r="L215"/>
      <c r="M215"/>
    </row>
    <row r="216" spans="1:13" x14ac:dyDescent="0.25">
      <c r="A216"/>
      <c r="B216"/>
      <c r="C216"/>
      <c r="D216"/>
      <c r="E216"/>
      <c r="F216"/>
      <c r="G216"/>
      <c r="H216"/>
      <c r="I216"/>
      <c r="J216"/>
      <c r="K216"/>
      <c r="L216"/>
      <c r="M216"/>
    </row>
    <row r="217" spans="1:13" x14ac:dyDescent="0.25">
      <c r="A217"/>
      <c r="B217"/>
      <c r="C217"/>
      <c r="D217"/>
      <c r="E217"/>
      <c r="F217"/>
      <c r="G217"/>
      <c r="H217"/>
      <c r="I217"/>
      <c r="J217"/>
      <c r="K217"/>
      <c r="L217"/>
      <c r="M217"/>
    </row>
    <row r="218" spans="1:13" x14ac:dyDescent="0.25">
      <c r="A218"/>
      <c r="B218"/>
      <c r="C218"/>
      <c r="D218"/>
      <c r="E218"/>
      <c r="F218"/>
      <c r="G218"/>
      <c r="H218"/>
      <c r="I218"/>
      <c r="J218"/>
      <c r="K218"/>
      <c r="L218"/>
      <c r="M218"/>
    </row>
    <row r="219" spans="1:13" x14ac:dyDescent="0.25">
      <c r="A219"/>
      <c r="B219"/>
      <c r="C219"/>
      <c r="D219"/>
      <c r="E219"/>
      <c r="F219"/>
      <c r="G219"/>
      <c r="H219"/>
      <c r="I219"/>
      <c r="J219"/>
      <c r="K219"/>
      <c r="L219"/>
      <c r="M219"/>
    </row>
    <row r="220" spans="1:13" x14ac:dyDescent="0.25">
      <c r="A220"/>
      <c r="B220"/>
      <c r="C220"/>
      <c r="D220"/>
      <c r="E220"/>
      <c r="F220"/>
      <c r="G220"/>
      <c r="H220"/>
      <c r="I220"/>
      <c r="J220"/>
      <c r="K220"/>
      <c r="L220"/>
      <c r="M220"/>
    </row>
  </sheetData>
  <pageMargins left="0.7" right="0.7" top="0.75" bottom="0.75" header="0.3" footer="0.3"/>
  <pageSetup scale="78" orientation="landscape" r:id="rId1"/>
  <headerFooter>
    <oddFooter>&amp;C&amp;"Arial,Regular"&amp;10Page 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E10B055512904DAA67F59BEAA71C81" ma:contentTypeVersion="4" ma:contentTypeDescription="Create a new document." ma:contentTypeScope="" ma:versionID="04a6ddd024a66543bd4248c3128cf99b">
  <xsd:schema xmlns:xsd="http://www.w3.org/2001/XMLSchema" xmlns:xs="http://www.w3.org/2001/XMLSchema" xmlns:p="http://schemas.microsoft.com/office/2006/metadata/properties" xmlns:ns2="58054332-2616-44dc-a835-89b43a2554be" targetNamespace="http://schemas.microsoft.com/office/2006/metadata/properties" ma:root="true" ma:fieldsID="a76d63fa373672f5912a63b2a5b466b5" ns2:_="">
    <xsd:import namespace="58054332-2616-44dc-a835-89b43a2554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054332-2616-44dc-a835-89b43a2554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897079-97DF-4C46-B751-F1AF34253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054332-2616-44dc-a835-89b43a2554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33AA10-F129-496C-8597-00D96C107DF0}">
  <ds:schemaRefs>
    <ds:schemaRef ds:uri="http://schemas.microsoft.com/sharepoint/v3/contenttype/forms"/>
  </ds:schemaRefs>
</ds:datastoreItem>
</file>

<file path=customXml/itemProps3.xml><?xml version="1.0" encoding="utf-8"?>
<ds:datastoreItem xmlns:ds="http://schemas.openxmlformats.org/officeDocument/2006/customXml" ds:itemID="{320947A3-6392-4E1E-B64B-86CFE6B60929}">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58054332-2616-44dc-a835-89b43a2554b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Index</vt:lpstr>
      <vt:lpstr>RMP_(GB-1)</vt:lpstr>
      <vt:lpstr>RMP_(GB-2)</vt:lpstr>
      <vt:lpstr>Page 2.1</vt:lpstr>
      <vt:lpstr>Page 2.2</vt:lpstr>
      <vt:lpstr>'Page 2.1'!Print_Area</vt:lpstr>
      <vt:lpstr>'Page 2.2'!Print_Area</vt:lpstr>
      <vt:lpstr>'RMP_(GB-1)'!Print_Area</vt:lpstr>
      <vt:lpstr>'RMP_(GB-2)'!Print_Area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Bagby, Grant</dc:creator>
  <cp:lastModifiedBy>Fred Nass</cp:lastModifiedBy>
  <cp:lastPrinted>2021-03-13T18:47:52Z</cp:lastPrinted>
  <dcterms:created xsi:type="dcterms:W3CDTF">2021-03-12T05:13:05Z</dcterms:created>
  <dcterms:modified xsi:type="dcterms:W3CDTF">2021-03-15T18:37:56Z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0x01010088E10B055512904DAA67F59BEAA71C81</vt:lpwstr>
  </property>
</Properties>
</file>