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05\"/>
    </mc:Choice>
  </mc:AlternateContent>
  <bookViews>
    <workbookView xWindow="0" yWindow="0" windowWidth="19200" windowHeight="11595" tabRatio="826" activeTab="2"/>
  </bookViews>
  <sheets>
    <sheet name="Exhibit-RMP(RMM-1) page 1" sheetId="10" r:id="rId1"/>
    <sheet name="Exhibit-RMP(RMM-1) page 2" sheetId="6" r:id="rId2"/>
    <sheet name="Exhibit-RMP(RMM-2)" sheetId="33" r:id="rId3"/>
    <sheet name="RMP_(GB-1)" sheetId="35" r:id="rId4"/>
    <sheet name="REC2012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4" hidden="1">[1]Inputs!#REF!</definedName>
    <definedName name="__123Graph_A" hidden="1">[1]Inputs!#REF!</definedName>
    <definedName name="__123Graph_B" localSheetId="0" hidden="1">[1]Inputs!#REF!</definedName>
    <definedName name="__123Graph_B" localSheetId="4" hidden="1">[1]Inputs!#REF!</definedName>
    <definedName name="__123Graph_B" hidden="1">[1]Inputs!#REF!</definedName>
    <definedName name="__123Graph_D" localSheetId="0" hidden="1">[1]Inputs!#REF!</definedName>
    <definedName name="__123Graph_D" localSheetId="4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1" hidden="1">#REF!</definedName>
    <definedName name="_Fill" localSheetId="4" hidden="1">#REF!</definedName>
    <definedName name="_Fill" hidden="1">#REF!</definedName>
    <definedName name="_xlnm._FilterDatabase" localSheetId="0" hidden="1">'Exhibit-RMP(RMM-1) page 1'!$M$15:$M$49</definedName>
    <definedName name="_xlnm._FilterDatabase" localSheetId="2" hidden="1">'Exhibit-RMP(RMM-2)'!$G$1:$G$772</definedName>
    <definedName name="_xlnm._FilterDatabase" localSheetId="4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4" hidden="1">#REF!</definedName>
    <definedName name="_Key2" hidden="1">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hidden="1">0</definedName>
    <definedName name="_Order2" localSheetId="0" hidden="1">255</definedName>
    <definedName name="_Order2" localSheetId="1" hidden="1">255</definedName>
    <definedName name="_Order2" hidden="1">0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4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4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0" hidden="1">#REF!</definedName>
    <definedName name="DUDE" localSheetId="4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[3]Inputs!#REF!</definedName>
    <definedName name="PricingInfo" hidden="1">[4]Inputs!#REF!</definedName>
    <definedName name="_xlnm.Print_Area" localSheetId="0">'Exhibit-RMP(RMM-1) page 1'!$A$1:$AC$49</definedName>
    <definedName name="_xlnm.Print_Area" localSheetId="1">'Exhibit-RMP(RMM-1) page 2'!$A$1:$M$54</definedName>
    <definedName name="_xlnm.Print_Area" localSheetId="2">'Exhibit-RMP(RMM-2)'!$A$1:$O$770</definedName>
    <definedName name="_xlnm.Print_Titles" localSheetId="2">'Exhibit-RMP(RMM-2)'!$1:$8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4" hidden="1">[5]Inputs!#REF!</definedName>
    <definedName name="w" hidden="1">[6]Inputs!#REF!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4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4" hidden="1">'[1]DSM Output'!$B$21:$B$23</definedName>
    <definedName name="y" hidden="1">'[1]DSM Output'!$B$21:$B$23</definedName>
    <definedName name="z" localSheetId="4" hidden="1">'[1]DSM Output'!$G$21:$G$23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6" l="1"/>
  <c r="K44" i="6" l="1"/>
  <c r="K43" i="6"/>
  <c r="I45" i="6" l="1"/>
  <c r="I48" i="6" s="1"/>
  <c r="I29" i="6"/>
  <c r="I18" i="6"/>
  <c r="I24" i="6"/>
  <c r="I21" i="6"/>
  <c r="I22" i="6" s="1"/>
  <c r="I20" i="6"/>
  <c r="J26" i="36"/>
  <c r="I25" i="36"/>
  <c r="J25" i="36" s="1"/>
  <c r="I24" i="36"/>
  <c r="J24" i="36" s="1"/>
  <c r="I23" i="36"/>
  <c r="J23" i="36" s="1"/>
  <c r="I22" i="36"/>
  <c r="J22" i="36" s="1"/>
  <c r="I21" i="36"/>
  <c r="I27" i="36" s="1"/>
  <c r="J27" i="36" s="1"/>
  <c r="I20" i="36"/>
  <c r="J20" i="36" s="1"/>
  <c r="I19" i="36"/>
  <c r="J19" i="36" s="1"/>
  <c r="I18" i="36"/>
  <c r="J18" i="36" s="1"/>
  <c r="I17" i="36"/>
  <c r="J17" i="36" s="1"/>
  <c r="I16" i="36"/>
  <c r="J16" i="36" s="1"/>
  <c r="I15" i="36"/>
  <c r="J15" i="36" s="1"/>
  <c r="K14" i="36"/>
  <c r="I14" i="36"/>
  <c r="J14" i="36" s="1"/>
  <c r="I13" i="36"/>
  <c r="J13" i="36" s="1"/>
  <c r="I12" i="36"/>
  <c r="J12" i="36" s="1"/>
  <c r="K11" i="36"/>
  <c r="J11" i="36"/>
  <c r="I11" i="36"/>
  <c r="I10" i="36"/>
  <c r="J10" i="36" s="1"/>
  <c r="J9" i="36"/>
  <c r="I9" i="36"/>
  <c r="I8" i="36"/>
  <c r="J8" i="36" s="1"/>
  <c r="I26" i="6" l="1"/>
  <c r="I38" i="6"/>
  <c r="I49" i="6" s="1"/>
  <c r="O18" i="6" s="1"/>
  <c r="K15" i="36"/>
  <c r="J21" i="36"/>
  <c r="O28" i="6" l="1"/>
  <c r="O32" i="6"/>
  <c r="O36" i="6"/>
  <c r="O41" i="6"/>
  <c r="O17" i="6"/>
  <c r="O25" i="6"/>
  <c r="O33" i="6"/>
  <c r="O37" i="6"/>
  <c r="O42" i="6"/>
  <c r="O46" i="6"/>
  <c r="O30" i="6"/>
  <c r="O34" i="6"/>
  <c r="O43" i="6"/>
  <c r="O47" i="6"/>
  <c r="O15" i="6"/>
  <c r="O27" i="6"/>
  <c r="O31" i="6"/>
  <c r="O35" i="6"/>
  <c r="O40" i="6"/>
  <c r="O44" i="6"/>
  <c r="O48" i="6"/>
  <c r="O16" i="6"/>
  <c r="O20" i="6"/>
  <c r="O21" i="6"/>
  <c r="O29" i="6"/>
  <c r="O45" i="6"/>
  <c r="O24" i="6"/>
  <c r="O26" i="6"/>
  <c r="O38" i="6"/>
  <c r="O50" i="6" s="1"/>
  <c r="N17" i="6" l="1"/>
  <c r="N37" i="6"/>
  <c r="N47" i="6"/>
  <c r="S46" i="10"/>
  <c r="N46" i="6" s="1"/>
  <c r="S36" i="10"/>
  <c r="N36" i="6" s="1"/>
  <c r="S33" i="10"/>
  <c r="N33" i="6" s="1"/>
  <c r="M46" i="10"/>
  <c r="M36" i="10"/>
  <c r="M33" i="10"/>
  <c r="I742" i="33" l="1"/>
  <c r="K742" i="33" s="1"/>
  <c r="I743" i="33"/>
  <c r="K743" i="33" s="1"/>
  <c r="I741" i="33"/>
  <c r="K741" i="33" s="1"/>
  <c r="K740" i="33"/>
  <c r="I732" i="33"/>
  <c r="K732" i="33" s="1"/>
  <c r="I733" i="33"/>
  <c r="I734" i="33"/>
  <c r="K734" i="33" s="1"/>
  <c r="I735" i="33"/>
  <c r="K735" i="33" s="1"/>
  <c r="I731" i="33"/>
  <c r="K731" i="33" s="1"/>
  <c r="K733" i="33"/>
  <c r="K730" i="33"/>
  <c r="I585" i="33"/>
  <c r="K585" i="33" s="1"/>
  <c r="I614" i="33"/>
  <c r="K614" i="33" s="1"/>
  <c r="I613" i="33"/>
  <c r="K613" i="33" s="1"/>
  <c r="I612" i="33"/>
  <c r="K612" i="33" s="1"/>
  <c r="I611" i="33"/>
  <c r="K611" i="33" s="1"/>
  <c r="K616" i="33" s="1"/>
  <c r="I610" i="33"/>
  <c r="K610" i="33" s="1"/>
  <c r="I609" i="33"/>
  <c r="K609" i="33" s="1"/>
  <c r="I600" i="33"/>
  <c r="K600" i="33" s="1"/>
  <c r="I599" i="33"/>
  <c r="K599" i="33" s="1"/>
  <c r="I598" i="33"/>
  <c r="K598" i="33" s="1"/>
  <c r="I597" i="33"/>
  <c r="K597" i="33" s="1"/>
  <c r="I596" i="33"/>
  <c r="K596" i="33" s="1"/>
  <c r="I595" i="33"/>
  <c r="K595" i="33" s="1"/>
  <c r="K602" i="33" s="1"/>
  <c r="I584" i="33"/>
  <c r="K584" i="33" s="1"/>
  <c r="I583" i="33"/>
  <c r="K583" i="33" s="1"/>
  <c r="I582" i="33"/>
  <c r="K582" i="33" s="1"/>
  <c r="I581" i="33"/>
  <c r="K581" i="33" s="1"/>
  <c r="K580" i="33"/>
  <c r="I407" i="33"/>
  <c r="K407" i="33" s="1"/>
  <c r="I403" i="33"/>
  <c r="K403" i="33" s="1"/>
  <c r="I402" i="33"/>
  <c r="K402" i="33" s="1"/>
  <c r="I400" i="33"/>
  <c r="K400" i="33" s="1"/>
  <c r="I392" i="33"/>
  <c r="K392" i="33" s="1"/>
  <c r="I388" i="33"/>
  <c r="K388" i="33" s="1"/>
  <c r="I387" i="33"/>
  <c r="K387" i="33" s="1"/>
  <c r="I386" i="33"/>
  <c r="K386" i="33" s="1"/>
  <c r="I385" i="33"/>
  <c r="K385" i="33" s="1"/>
  <c r="I383" i="33"/>
  <c r="K383" i="33" s="1"/>
  <c r="I375" i="33"/>
  <c r="K375" i="33" s="1"/>
  <c r="I371" i="33"/>
  <c r="K371" i="33" s="1"/>
  <c r="I370" i="33"/>
  <c r="K370" i="33" s="1"/>
  <c r="K368" i="33"/>
  <c r="I358" i="33"/>
  <c r="K358" i="33" s="1"/>
  <c r="I359" i="33"/>
  <c r="K359" i="33" s="1"/>
  <c r="I360" i="33"/>
  <c r="K360" i="33" s="1"/>
  <c r="I361" i="33"/>
  <c r="K361" i="33" s="1"/>
  <c r="I357" i="33"/>
  <c r="K357" i="33" s="1"/>
  <c r="K356" i="33"/>
  <c r="I720" i="33"/>
  <c r="K720" i="33" s="1"/>
  <c r="I719" i="33"/>
  <c r="K719" i="33" s="1"/>
  <c r="I718" i="33"/>
  <c r="K718" i="33" s="1"/>
  <c r="I717" i="33"/>
  <c r="K717" i="33" s="1"/>
  <c r="I716" i="33"/>
  <c r="K716" i="33" s="1"/>
  <c r="I715" i="33"/>
  <c r="K715" i="33" s="1"/>
  <c r="I676" i="33"/>
  <c r="K676" i="33" s="1"/>
  <c r="I675" i="33"/>
  <c r="K675" i="33" s="1"/>
  <c r="I674" i="33"/>
  <c r="K674" i="33" s="1"/>
  <c r="I673" i="33"/>
  <c r="K673" i="33" s="1"/>
  <c r="I672" i="33"/>
  <c r="K672" i="33" s="1"/>
  <c r="I671" i="33"/>
  <c r="K671" i="33" s="1"/>
  <c r="I535" i="33"/>
  <c r="K535" i="33" s="1"/>
  <c r="I534" i="33"/>
  <c r="K534" i="33" s="1"/>
  <c r="I533" i="33"/>
  <c r="K533" i="33" s="1"/>
  <c r="I532" i="33"/>
  <c r="K532" i="33" s="1"/>
  <c r="I531" i="33"/>
  <c r="K531" i="33" s="1"/>
  <c r="I530" i="33"/>
  <c r="K530" i="33" s="1"/>
  <c r="K536" i="33" s="1"/>
  <c r="I347" i="33"/>
  <c r="K347" i="33" s="1"/>
  <c r="I348" i="33"/>
  <c r="K348" i="33" s="1"/>
  <c r="I349" i="33"/>
  <c r="K349" i="33" s="1"/>
  <c r="I350" i="33"/>
  <c r="K350" i="33" s="1"/>
  <c r="I346" i="33"/>
  <c r="K346" i="33" s="1"/>
  <c r="K345" i="33"/>
  <c r="I667" i="33"/>
  <c r="K667" i="33" s="1"/>
  <c r="I666" i="33"/>
  <c r="K666" i="33" s="1"/>
  <c r="I665" i="33"/>
  <c r="K665" i="33" s="1"/>
  <c r="I664" i="33"/>
  <c r="K664" i="33" s="1"/>
  <c r="I663" i="33"/>
  <c r="K663" i="33" s="1"/>
  <c r="I662" i="33"/>
  <c r="K662" i="33" s="1"/>
  <c r="I338" i="33"/>
  <c r="K338" i="33" s="1"/>
  <c r="I337" i="33"/>
  <c r="K337" i="33" s="1"/>
  <c r="I336" i="33"/>
  <c r="K336" i="33" s="1"/>
  <c r="I335" i="33"/>
  <c r="K335" i="33" s="1"/>
  <c r="I334" i="33"/>
  <c r="K334" i="33" s="1"/>
  <c r="I333" i="33"/>
  <c r="K333" i="33" s="1"/>
  <c r="I323" i="33"/>
  <c r="K323" i="33" s="1"/>
  <c r="I324" i="33"/>
  <c r="K324" i="33" s="1"/>
  <c r="I325" i="33"/>
  <c r="I326" i="33"/>
  <c r="I322" i="33"/>
  <c r="K322" i="33" s="1"/>
  <c r="K321" i="33"/>
  <c r="K669" i="33" l="1"/>
  <c r="K362" i="33"/>
  <c r="M25" i="10" s="1"/>
  <c r="K377" i="33"/>
  <c r="K721" i="33"/>
  <c r="M32" i="10" s="1"/>
  <c r="K409" i="33"/>
  <c r="M28" i="10" s="1"/>
  <c r="K394" i="33"/>
  <c r="K589" i="33"/>
  <c r="M30" i="10" s="1"/>
  <c r="K351" i="33"/>
  <c r="K340" i="33"/>
  <c r="K677" i="33"/>
  <c r="K678" i="33" s="1"/>
  <c r="M31" i="10" s="1"/>
  <c r="K744" i="33"/>
  <c r="M35" i="10" s="1"/>
  <c r="K736" i="33"/>
  <c r="M34" i="10" s="1"/>
  <c r="K511" i="33"/>
  <c r="K512" i="33" s="1"/>
  <c r="M44" i="10" s="1"/>
  <c r="K506" i="33"/>
  <c r="K507" i="33" s="1"/>
  <c r="M43" i="10" s="1"/>
  <c r="I497" i="33"/>
  <c r="K497" i="33" s="1"/>
  <c r="I496" i="33"/>
  <c r="K496" i="33" s="1"/>
  <c r="I495" i="33"/>
  <c r="K495" i="33" s="1"/>
  <c r="I494" i="33"/>
  <c r="K494" i="33" s="1"/>
  <c r="I492" i="33"/>
  <c r="K492" i="33" s="1"/>
  <c r="I491" i="33"/>
  <c r="K491" i="33" s="1"/>
  <c r="I490" i="33"/>
  <c r="K490" i="33" s="1"/>
  <c r="I489" i="33"/>
  <c r="K489" i="33" s="1"/>
  <c r="I488" i="33"/>
  <c r="K488" i="33" s="1"/>
  <c r="I487" i="33"/>
  <c r="K487" i="33" s="1"/>
  <c r="I485" i="33"/>
  <c r="K485" i="33" s="1"/>
  <c r="I484" i="33"/>
  <c r="K484" i="33" s="1"/>
  <c r="I483" i="33"/>
  <c r="K483" i="33" s="1"/>
  <c r="I481" i="33"/>
  <c r="K481" i="33" s="1"/>
  <c r="I480" i="33"/>
  <c r="K480" i="33" s="1"/>
  <c r="I477" i="33"/>
  <c r="K477" i="33" s="1"/>
  <c r="I476" i="33"/>
  <c r="K476" i="33" s="1"/>
  <c r="I474" i="33"/>
  <c r="K474" i="33" s="1"/>
  <c r="I473" i="33"/>
  <c r="K473" i="33" s="1"/>
  <c r="I472" i="33"/>
  <c r="K472" i="33" s="1"/>
  <c r="I471" i="33"/>
  <c r="K471" i="33" s="1"/>
  <c r="I470" i="33"/>
  <c r="K470" i="33" s="1"/>
  <c r="I469" i="33"/>
  <c r="K469" i="33" s="1"/>
  <c r="I468" i="33"/>
  <c r="K468" i="33" s="1"/>
  <c r="I466" i="33"/>
  <c r="K466" i="33" s="1"/>
  <c r="I465" i="33"/>
  <c r="K465" i="33" s="1"/>
  <c r="I464" i="33"/>
  <c r="K464" i="33" s="1"/>
  <c r="I463" i="33"/>
  <c r="K463" i="33" s="1"/>
  <c r="I462" i="33"/>
  <c r="K462" i="33" s="1"/>
  <c r="I461" i="33"/>
  <c r="K461" i="33" s="1"/>
  <c r="I460" i="33"/>
  <c r="K460" i="33" s="1"/>
  <c r="I459" i="33"/>
  <c r="K459" i="33" s="1"/>
  <c r="I458" i="33"/>
  <c r="K458" i="33" s="1"/>
  <c r="I457" i="33"/>
  <c r="K457" i="33" s="1"/>
  <c r="I455" i="33"/>
  <c r="K455" i="33" s="1"/>
  <c r="I454" i="33"/>
  <c r="K454" i="33" s="1"/>
  <c r="I453" i="33"/>
  <c r="K453" i="33" s="1"/>
  <c r="I452" i="33"/>
  <c r="K452" i="33" s="1"/>
  <c r="I450" i="33"/>
  <c r="K450" i="33" s="1"/>
  <c r="I449" i="33"/>
  <c r="K449" i="33" s="1"/>
  <c r="I446" i="33"/>
  <c r="K446" i="33" s="1"/>
  <c r="I445" i="33"/>
  <c r="K445" i="33" s="1"/>
  <c r="I444" i="33"/>
  <c r="K444" i="33" s="1"/>
  <c r="I443" i="33"/>
  <c r="K443" i="33" s="1"/>
  <c r="I442" i="33"/>
  <c r="K442" i="33" s="1"/>
  <c r="I440" i="33"/>
  <c r="K440" i="33" s="1"/>
  <c r="I439" i="33"/>
  <c r="K439" i="33" s="1"/>
  <c r="I438" i="33"/>
  <c r="K438" i="33" s="1"/>
  <c r="I437" i="33"/>
  <c r="K437" i="33" s="1"/>
  <c r="I436" i="33"/>
  <c r="K436" i="33" s="1"/>
  <c r="I429" i="33"/>
  <c r="I427" i="33"/>
  <c r="I426" i="33"/>
  <c r="I425" i="33"/>
  <c r="I424" i="33"/>
  <c r="I423" i="33"/>
  <c r="I422" i="33"/>
  <c r="I420" i="33"/>
  <c r="I418" i="33"/>
  <c r="I417" i="33"/>
  <c r="I416" i="33"/>
  <c r="I415" i="33"/>
  <c r="I414" i="33"/>
  <c r="I413" i="33"/>
  <c r="I314" i="33"/>
  <c r="I313" i="33"/>
  <c r="I519" i="33"/>
  <c r="K519" i="33" s="1"/>
  <c r="I520" i="33"/>
  <c r="K520" i="33" s="1"/>
  <c r="I521" i="33"/>
  <c r="K521" i="33" s="1"/>
  <c r="I522" i="33"/>
  <c r="K522" i="33" s="1"/>
  <c r="I523" i="33"/>
  <c r="K523" i="33" s="1"/>
  <c r="I524" i="33"/>
  <c r="K524" i="33" s="1"/>
  <c r="I525" i="33"/>
  <c r="K525" i="33" s="1"/>
  <c r="I518" i="33"/>
  <c r="K518" i="33" s="1"/>
  <c r="I204" i="33"/>
  <c r="K204" i="33" s="1"/>
  <c r="I203" i="33"/>
  <c r="K203" i="33" s="1"/>
  <c r="I202" i="33"/>
  <c r="K202" i="33" s="1"/>
  <c r="I201" i="33"/>
  <c r="K201" i="33" s="1"/>
  <c r="I228" i="33"/>
  <c r="K228" i="33" s="1"/>
  <c r="I229" i="33"/>
  <c r="K229" i="33" s="1"/>
  <c r="I230" i="33"/>
  <c r="K230" i="33" s="1"/>
  <c r="I227" i="33"/>
  <c r="K227" i="33" s="1"/>
  <c r="I255" i="33"/>
  <c r="K255" i="33" s="1"/>
  <c r="I254" i="33"/>
  <c r="K254" i="33" s="1"/>
  <c r="I253" i="33"/>
  <c r="K253" i="33" s="1"/>
  <c r="I252" i="33"/>
  <c r="K252" i="33" s="1"/>
  <c r="I279" i="33"/>
  <c r="K279" i="33" s="1"/>
  <c r="I278" i="33"/>
  <c r="K278" i="33" s="1"/>
  <c r="I277" i="33"/>
  <c r="K277" i="33" s="1"/>
  <c r="I276" i="33"/>
  <c r="K276" i="33" s="1"/>
  <c r="I268" i="33"/>
  <c r="K268" i="33" s="1"/>
  <c r="I267" i="33"/>
  <c r="K267" i="33" s="1"/>
  <c r="I266" i="33"/>
  <c r="K266" i="33" s="1"/>
  <c r="I265" i="33"/>
  <c r="K265" i="33" s="1"/>
  <c r="I264" i="33"/>
  <c r="K264" i="33" s="1"/>
  <c r="I263" i="33"/>
  <c r="K263" i="33" s="1"/>
  <c r="I262" i="33"/>
  <c r="K262" i="33" s="1"/>
  <c r="I261" i="33"/>
  <c r="K261" i="33" s="1"/>
  <c r="I243" i="33"/>
  <c r="K243" i="33" s="1"/>
  <c r="I242" i="33"/>
  <c r="K242" i="33" s="1"/>
  <c r="I241" i="33"/>
  <c r="K241" i="33" s="1"/>
  <c r="I240" i="33"/>
  <c r="K240" i="33" s="1"/>
  <c r="I239" i="33"/>
  <c r="K239" i="33" s="1"/>
  <c r="I238" i="33"/>
  <c r="K238" i="33" s="1"/>
  <c r="I237" i="33"/>
  <c r="K237" i="33" s="1"/>
  <c r="I236" i="33"/>
  <c r="K236" i="33" s="1"/>
  <c r="I218" i="33"/>
  <c r="K218" i="33" s="1"/>
  <c r="I217" i="33"/>
  <c r="K217" i="33" s="1"/>
  <c r="I216" i="33"/>
  <c r="K216" i="33" s="1"/>
  <c r="I215" i="33"/>
  <c r="K215" i="33" s="1"/>
  <c r="I214" i="33"/>
  <c r="K214" i="33" s="1"/>
  <c r="I213" i="33"/>
  <c r="K213" i="33" s="1"/>
  <c r="I212" i="33"/>
  <c r="K212" i="33" s="1"/>
  <c r="I211" i="33"/>
  <c r="K211" i="33" s="1"/>
  <c r="I192" i="33"/>
  <c r="K192" i="33" s="1"/>
  <c r="I191" i="33"/>
  <c r="K191" i="33" s="1"/>
  <c r="I190" i="33"/>
  <c r="K190" i="33" s="1"/>
  <c r="I189" i="33"/>
  <c r="K189" i="33" s="1"/>
  <c r="I188" i="33"/>
  <c r="K188" i="33" s="1"/>
  <c r="I187" i="33"/>
  <c r="K187" i="33" s="1"/>
  <c r="I186" i="33"/>
  <c r="K186" i="33" s="1"/>
  <c r="I185" i="33"/>
  <c r="K185" i="33" s="1"/>
  <c r="I306" i="33"/>
  <c r="K306" i="33" s="1"/>
  <c r="I305" i="33"/>
  <c r="K305" i="33" s="1"/>
  <c r="I304" i="33"/>
  <c r="K304" i="33" s="1"/>
  <c r="I303" i="33"/>
  <c r="K303" i="33" s="1"/>
  <c r="I302" i="33"/>
  <c r="K302" i="33" s="1"/>
  <c r="I301" i="33"/>
  <c r="K301" i="33" s="1"/>
  <c r="I300" i="33"/>
  <c r="K300" i="33" s="1"/>
  <c r="I299" i="33"/>
  <c r="K299" i="33" s="1"/>
  <c r="I286" i="33"/>
  <c r="K286" i="33" s="1"/>
  <c r="I287" i="33"/>
  <c r="K287" i="33" s="1"/>
  <c r="I288" i="33"/>
  <c r="K288" i="33" s="1"/>
  <c r="I289" i="33"/>
  <c r="K289" i="33" s="1"/>
  <c r="I290" i="33"/>
  <c r="K290" i="33" s="1"/>
  <c r="I291" i="33"/>
  <c r="K291" i="33" s="1"/>
  <c r="I285" i="33"/>
  <c r="K285" i="33" s="1"/>
  <c r="K284" i="33"/>
  <c r="I179" i="33"/>
  <c r="K179" i="33" s="1"/>
  <c r="I178" i="33"/>
  <c r="K178" i="33" s="1"/>
  <c r="I177" i="33"/>
  <c r="K177" i="33" s="1"/>
  <c r="I176" i="33"/>
  <c r="K176" i="33" s="1"/>
  <c r="I168" i="33"/>
  <c r="K168" i="33" s="1"/>
  <c r="I167" i="33"/>
  <c r="K167" i="33" s="1"/>
  <c r="I166" i="33"/>
  <c r="K166" i="33" s="1"/>
  <c r="I165" i="33"/>
  <c r="K165" i="33" s="1"/>
  <c r="I156" i="33"/>
  <c r="K156" i="33" s="1"/>
  <c r="I155" i="33"/>
  <c r="K155" i="33" s="1"/>
  <c r="I154" i="33"/>
  <c r="K154" i="33" s="1"/>
  <c r="I153" i="33"/>
  <c r="K153" i="33" s="1"/>
  <c r="I141" i="33"/>
  <c r="I142" i="33"/>
  <c r="I140" i="33"/>
  <c r="M24" i="10" l="1"/>
  <c r="M26" i="10" s="1"/>
  <c r="K499" i="33"/>
  <c r="M42" i="10" s="1"/>
  <c r="M27" i="10"/>
  <c r="M29" i="10" s="1"/>
  <c r="K195" i="33"/>
  <c r="K246" i="33"/>
  <c r="K271" i="33"/>
  <c r="K281" i="33"/>
  <c r="K257" i="33"/>
  <c r="K158" i="33"/>
  <c r="K309" i="33"/>
  <c r="K221" i="33"/>
  <c r="K207" i="33"/>
  <c r="K526" i="33"/>
  <c r="K537" i="33" s="1"/>
  <c r="K296" i="33"/>
  <c r="K232" i="33"/>
  <c r="K170" i="33"/>
  <c r="K181" i="33"/>
  <c r="K21" i="33"/>
  <c r="I129" i="33"/>
  <c r="K129" i="33" s="1"/>
  <c r="I128" i="33"/>
  <c r="K128" i="33" s="1"/>
  <c r="I127" i="33"/>
  <c r="K127" i="33" s="1"/>
  <c r="I126" i="33"/>
  <c r="K126" i="33" s="1"/>
  <c r="I125" i="33"/>
  <c r="K125" i="33" s="1"/>
  <c r="I108" i="33"/>
  <c r="K108" i="33" s="1"/>
  <c r="I107" i="33"/>
  <c r="K107" i="33" s="1"/>
  <c r="I106" i="33"/>
  <c r="K106" i="33" s="1"/>
  <c r="I105" i="33"/>
  <c r="K105" i="33" s="1"/>
  <c r="I104" i="33"/>
  <c r="K104" i="33" s="1"/>
  <c r="I87" i="33"/>
  <c r="K87" i="33" s="1"/>
  <c r="I86" i="33"/>
  <c r="K86" i="33" s="1"/>
  <c r="I85" i="33"/>
  <c r="K85" i="33" s="1"/>
  <c r="I84" i="33"/>
  <c r="K84" i="33" s="1"/>
  <c r="I83" i="33"/>
  <c r="K83" i="33" s="1"/>
  <c r="I66" i="33"/>
  <c r="K66" i="33" s="1"/>
  <c r="I65" i="33"/>
  <c r="K65" i="33" s="1"/>
  <c r="I63" i="33"/>
  <c r="K63" i="33" s="1"/>
  <c r="I62" i="33"/>
  <c r="K62" i="33" s="1"/>
  <c r="I46" i="33"/>
  <c r="K46" i="33" s="1"/>
  <c r="I45" i="33"/>
  <c r="K45" i="33" s="1"/>
  <c r="I44" i="33"/>
  <c r="K44" i="33" s="1"/>
  <c r="I43" i="33"/>
  <c r="K43" i="33" s="1"/>
  <c r="I42" i="33"/>
  <c r="K42" i="33" s="1"/>
  <c r="I22" i="33"/>
  <c r="K22" i="33" s="1"/>
  <c r="I23" i="33"/>
  <c r="K23" i="33" s="1"/>
  <c r="I24" i="33"/>
  <c r="K24" i="33" s="1"/>
  <c r="I25" i="33"/>
  <c r="K25" i="33" s="1"/>
  <c r="K326" i="33"/>
  <c r="K325" i="33"/>
  <c r="K328" i="33" s="1"/>
  <c r="M23" i="10" s="1"/>
  <c r="K142" i="33"/>
  <c r="K141" i="33"/>
  <c r="K140" i="33"/>
  <c r="K139" i="33"/>
  <c r="K20" i="10"/>
  <c r="I20" i="10"/>
  <c r="G20" i="10"/>
  <c r="M21" i="10" l="1"/>
  <c r="K146" i="33"/>
  <c r="M20" i="10" s="1"/>
  <c r="K111" i="33"/>
  <c r="K49" i="33"/>
  <c r="K69" i="33"/>
  <c r="K132" i="33"/>
  <c r="K90" i="33"/>
  <c r="K28" i="33"/>
  <c r="M15" i="10" l="1"/>
  <c r="M16" i="10"/>
  <c r="M38" i="10"/>
  <c r="M22" i="10"/>
  <c r="G20" i="6"/>
  <c r="M18" i="10" l="1"/>
  <c r="G768" i="33"/>
  <c r="K37" i="10"/>
  <c r="G37" i="6" s="1"/>
  <c r="K47" i="10"/>
  <c r="G47" i="6" s="1"/>
  <c r="K46" i="10"/>
  <c r="G46" i="6" s="1"/>
  <c r="K44" i="10"/>
  <c r="G44" i="6" s="1"/>
  <c r="K43" i="10"/>
  <c r="G43" i="6" s="1"/>
  <c r="K42" i="10"/>
  <c r="G42" i="6" s="1"/>
  <c r="K42" i="6" s="1"/>
  <c r="K41" i="10"/>
  <c r="G41" i="6" s="1"/>
  <c r="K40" i="10"/>
  <c r="G40" i="6" s="1"/>
  <c r="K36" i="10"/>
  <c r="G36" i="6" s="1"/>
  <c r="K35" i="10"/>
  <c r="G35" i="6" s="1"/>
  <c r="K34" i="10"/>
  <c r="G34" i="6" s="1"/>
  <c r="K33" i="10"/>
  <c r="O33" i="10" s="1"/>
  <c r="K32" i="10"/>
  <c r="K31" i="10"/>
  <c r="G31" i="6" s="1"/>
  <c r="K30" i="10"/>
  <c r="G30" i="6" s="1"/>
  <c r="K28" i="10"/>
  <c r="G28" i="6" s="1"/>
  <c r="K27" i="10"/>
  <c r="G27" i="6" s="1"/>
  <c r="K25" i="10"/>
  <c r="G25" i="6" s="1"/>
  <c r="K24" i="10"/>
  <c r="G24" i="6" s="1"/>
  <c r="K23" i="10"/>
  <c r="G23" i="6" s="1"/>
  <c r="K21" i="10"/>
  <c r="G21" i="6" s="1"/>
  <c r="K17" i="10"/>
  <c r="G17" i="6" s="1"/>
  <c r="K16" i="10"/>
  <c r="G16" i="6" s="1"/>
  <c r="K15" i="10"/>
  <c r="G15" i="6" s="1"/>
  <c r="C536" i="33"/>
  <c r="I24" i="10" s="1"/>
  <c r="I26" i="10" s="1"/>
  <c r="C526" i="33"/>
  <c r="I21" i="10" s="1"/>
  <c r="I22" i="10" s="1"/>
  <c r="G21" i="10"/>
  <c r="G22" i="10" s="1"/>
  <c r="G24" i="10"/>
  <c r="G26" i="10" s="1"/>
  <c r="G429" i="33"/>
  <c r="K429" i="33" s="1"/>
  <c r="G427" i="33"/>
  <c r="K427" i="33" s="1"/>
  <c r="G426" i="33"/>
  <c r="K426" i="33" s="1"/>
  <c r="G425" i="33"/>
  <c r="K425" i="33" s="1"/>
  <c r="G424" i="33"/>
  <c r="K424" i="33" s="1"/>
  <c r="G423" i="33"/>
  <c r="K423" i="33" s="1"/>
  <c r="G422" i="33"/>
  <c r="K422" i="33" s="1"/>
  <c r="G420" i="33"/>
  <c r="K420" i="33" s="1"/>
  <c r="G418" i="33"/>
  <c r="K418" i="33" s="1"/>
  <c r="G417" i="33"/>
  <c r="K417" i="33" s="1"/>
  <c r="G416" i="33"/>
  <c r="K416" i="33" s="1"/>
  <c r="G415" i="33"/>
  <c r="K415" i="33" s="1"/>
  <c r="G414" i="33"/>
  <c r="K414" i="33" s="1"/>
  <c r="G413" i="33"/>
  <c r="K413" i="33" s="1"/>
  <c r="G314" i="33"/>
  <c r="G313" i="33"/>
  <c r="G312" i="33"/>
  <c r="K40" i="6" l="1"/>
  <c r="K41" i="6"/>
  <c r="K431" i="33"/>
  <c r="M41" i="10" s="1"/>
  <c r="K313" i="33"/>
  <c r="K312" i="33"/>
  <c r="K314" i="33"/>
  <c r="K22" i="10"/>
  <c r="Q32" i="10"/>
  <c r="W32" i="10" s="1"/>
  <c r="Y32" i="10" s="1"/>
  <c r="G32" i="6"/>
  <c r="Q33" i="10"/>
  <c r="W33" i="10" s="1"/>
  <c r="Y33" i="10" s="1"/>
  <c r="G33" i="6"/>
  <c r="K45" i="10"/>
  <c r="K48" i="10" s="1"/>
  <c r="K38" i="10"/>
  <c r="O32" i="10"/>
  <c r="K316" i="33" l="1"/>
  <c r="U33" i="10"/>
  <c r="AA33" i="10" s="1"/>
  <c r="AC33" i="10" s="1"/>
  <c r="M40" i="10" l="1"/>
  <c r="M45" i="10" s="1"/>
  <c r="M48" i="10" s="1"/>
  <c r="M49" i="10" s="1"/>
  <c r="AD18" i="10" l="1"/>
  <c r="G18" i="6" l="1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 s="1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s="1"/>
  <c r="A24" i="10" l="1"/>
  <c r="A25" i="10" l="1"/>
  <c r="A26" i="10" l="1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E12" i="6"/>
  <c r="O35" i="10" l="1"/>
  <c r="A17" i="6"/>
  <c r="A18" i="6" l="1"/>
  <c r="A20" i="6" s="1"/>
  <c r="Q46" i="10" l="1"/>
  <c r="O46" i="10"/>
  <c r="A21" i="6"/>
  <c r="A22" i="6" s="1"/>
  <c r="U46" i="10" l="1"/>
  <c r="AA46" i="10" s="1"/>
  <c r="AC46" i="10" s="1"/>
  <c r="W46" i="10"/>
  <c r="Y46" i="10" s="1"/>
  <c r="A23" i="6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Q44" i="10"/>
  <c r="Q41" i="10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O41" i="10"/>
  <c r="O44" i="10"/>
  <c r="Q43" i="10"/>
  <c r="Q40" i="10"/>
  <c r="W44" i="10"/>
  <c r="Y44" i="10" s="1"/>
  <c r="W41" i="10"/>
  <c r="Y41" i="10" s="1"/>
  <c r="O40" i="10" l="1"/>
  <c r="W43" i="10"/>
  <c r="Y43" i="10" s="1"/>
  <c r="W40" i="10"/>
  <c r="O43" i="10" l="1"/>
  <c r="Q30" i="10"/>
  <c r="W30" i="10" s="1"/>
  <c r="Y30" i="10" s="1"/>
  <c r="Y40" i="10"/>
  <c r="O30" i="10" l="1"/>
  <c r="O42" i="10"/>
  <c r="O45" i="10" s="1"/>
  <c r="O48" i="10" s="1"/>
  <c r="Q42" i="10" l="1"/>
  <c r="W42" i="10" s="1"/>
  <c r="Q24" i="10"/>
  <c r="G45" i="6"/>
  <c r="G48" i="6" s="1"/>
  <c r="O15" i="10"/>
  <c r="Q15" i="10"/>
  <c r="K18" i="10"/>
  <c r="Q16" i="10"/>
  <c r="W16" i="10" s="1"/>
  <c r="Y16" i="10" s="1"/>
  <c r="O16" i="10"/>
  <c r="Q23" i="10"/>
  <c r="Q45" i="10" l="1"/>
  <c r="Q48" i="10" s="1"/>
  <c r="O23" i="10"/>
  <c r="O24" i="10"/>
  <c r="Q21" i="10"/>
  <c r="W21" i="10" s="1"/>
  <c r="Y21" i="10" s="1"/>
  <c r="W24" i="10"/>
  <c r="W23" i="10"/>
  <c r="Y23" i="10" s="1"/>
  <c r="W15" i="10"/>
  <c r="Q18" i="10"/>
  <c r="Y42" i="10"/>
  <c r="W45" i="10"/>
  <c r="W48" i="10" s="1"/>
  <c r="O18" i="10"/>
  <c r="O21" i="10" l="1"/>
  <c r="Q20" i="10"/>
  <c r="Y45" i="10"/>
  <c r="W18" i="10"/>
  <c r="Y18" i="10" s="1"/>
  <c r="Y15" i="10"/>
  <c r="Y24" i="10"/>
  <c r="K26" i="10" l="1"/>
  <c r="G26" i="6"/>
  <c r="Y48" i="10"/>
  <c r="W20" i="10"/>
  <c r="Q25" i="10" l="1"/>
  <c r="W25" i="10" s="1"/>
  <c r="O25" i="10"/>
  <c r="O26" i="10" s="1"/>
  <c r="O20" i="10"/>
  <c r="O23" i="6"/>
  <c r="O49" i="6" s="1"/>
  <c r="O22" i="6"/>
  <c r="G22" i="6"/>
  <c r="Y20" i="10"/>
  <c r="Q26" i="10" l="1"/>
  <c r="O22" i="10"/>
  <c r="Q22" i="10"/>
  <c r="Y25" i="10"/>
  <c r="W26" i="10"/>
  <c r="Y26" i="10" s="1"/>
  <c r="W22" i="10" l="1"/>
  <c r="Y22" i="10" s="1"/>
  <c r="Q27" i="10"/>
  <c r="O27" i="10" l="1"/>
  <c r="W27" i="10"/>
  <c r="O36" i="10"/>
  <c r="Q36" i="10"/>
  <c r="Q28" i="10" l="1"/>
  <c r="W36" i="10"/>
  <c r="Y36" i="10" s="1"/>
  <c r="Y27" i="10"/>
  <c r="K29" i="10" l="1"/>
  <c r="G29" i="6"/>
  <c r="G38" i="6"/>
  <c r="G49" i="6" s="1"/>
  <c r="K53" i="6" s="1"/>
  <c r="O28" i="10"/>
  <c r="W28" i="10"/>
  <c r="Q29" i="10"/>
  <c r="K34" i="6" l="1"/>
  <c r="R730" i="33" s="1"/>
  <c r="K23" i="6"/>
  <c r="K27" i="6"/>
  <c r="K28" i="6"/>
  <c r="K24" i="6"/>
  <c r="K20" i="6"/>
  <c r="K30" i="6"/>
  <c r="R578" i="33" s="1"/>
  <c r="R580" i="33" s="1"/>
  <c r="M580" i="33" s="1"/>
  <c r="K21" i="6"/>
  <c r="K31" i="6"/>
  <c r="K25" i="6"/>
  <c r="K35" i="6"/>
  <c r="R740" i="33" s="1"/>
  <c r="K16" i="6"/>
  <c r="K15" i="6"/>
  <c r="O29" i="10"/>
  <c r="Y28" i="10"/>
  <c r="W29" i="10"/>
  <c r="Y29" i="10" s="1"/>
  <c r="Q31" i="10"/>
  <c r="O31" i="10"/>
  <c r="O38" i="10" s="1"/>
  <c r="K29" i="6" l="1"/>
  <c r="R366" i="33" s="1"/>
  <c r="R368" i="33" s="1"/>
  <c r="M368" i="33" s="1"/>
  <c r="K22" i="6"/>
  <c r="K18" i="6"/>
  <c r="R14" i="33" s="1"/>
  <c r="R16" i="33" s="1"/>
  <c r="M21" i="33" s="1"/>
  <c r="K26" i="6"/>
  <c r="M26" i="6" s="1"/>
  <c r="M41" i="6"/>
  <c r="R510" i="33"/>
  <c r="R512" i="33" s="1"/>
  <c r="M511" i="33" s="1"/>
  <c r="M42" i="6"/>
  <c r="R732" i="33"/>
  <c r="M730" i="33" s="1"/>
  <c r="R502" i="33"/>
  <c r="R742" i="33"/>
  <c r="M740" i="33" s="1"/>
  <c r="M585" i="33"/>
  <c r="O585" i="33" s="1"/>
  <c r="M598" i="33"/>
  <c r="O598" i="33" s="1"/>
  <c r="M613" i="33"/>
  <c r="O613" i="33" s="1"/>
  <c r="M595" i="33"/>
  <c r="O595" i="33" s="1"/>
  <c r="M612" i="33"/>
  <c r="O612" i="33" s="1"/>
  <c r="M600" i="33"/>
  <c r="O600" i="33" s="1"/>
  <c r="M597" i="33"/>
  <c r="O597" i="33" s="1"/>
  <c r="M596" i="33"/>
  <c r="O596" i="33" s="1"/>
  <c r="M609" i="33"/>
  <c r="O609" i="33" s="1"/>
  <c r="M583" i="33"/>
  <c r="O583" i="33" s="1"/>
  <c r="M582" i="33"/>
  <c r="O582" i="33" s="1"/>
  <c r="M581" i="33"/>
  <c r="O581" i="33" s="1"/>
  <c r="M611" i="33"/>
  <c r="O611" i="33" s="1"/>
  <c r="M584" i="33"/>
  <c r="O584" i="33" s="1"/>
  <c r="M599" i="33"/>
  <c r="O599" i="33" s="1"/>
  <c r="M614" i="33"/>
  <c r="O614" i="33" s="1"/>
  <c r="O580" i="33"/>
  <c r="M610" i="33"/>
  <c r="O610" i="33" s="1"/>
  <c r="M23" i="6"/>
  <c r="R313" i="33"/>
  <c r="R315" i="33" s="1"/>
  <c r="M312" i="33" s="1"/>
  <c r="M43" i="6"/>
  <c r="M22" i="6"/>
  <c r="M44" i="6"/>
  <c r="M29" i="6"/>
  <c r="M34" i="6"/>
  <c r="M30" i="6"/>
  <c r="M35" i="6"/>
  <c r="M40" i="6"/>
  <c r="K45" i="6"/>
  <c r="K48" i="6" s="1"/>
  <c r="W31" i="10"/>
  <c r="Q38" i="10"/>
  <c r="K49" i="10"/>
  <c r="O49" i="10"/>
  <c r="R504" i="33" l="1"/>
  <c r="M506" i="33" s="1"/>
  <c r="O506" i="33" s="1"/>
  <c r="O507" i="33" s="1"/>
  <c r="R501" i="33" s="1"/>
  <c r="R503" i="33" s="1"/>
  <c r="M43" i="33"/>
  <c r="O43" i="33" s="1"/>
  <c r="M106" i="33"/>
  <c r="O106" i="33" s="1"/>
  <c r="M45" i="33"/>
  <c r="O45" i="33" s="1"/>
  <c r="M62" i="33"/>
  <c r="O62" i="33" s="1"/>
  <c r="O21" i="33"/>
  <c r="M129" i="33"/>
  <c r="O129" i="33" s="1"/>
  <c r="M83" i="33"/>
  <c r="O83" i="33" s="1"/>
  <c r="M25" i="33"/>
  <c r="O25" i="33" s="1"/>
  <c r="M127" i="33"/>
  <c r="O127" i="33" s="1"/>
  <c r="M42" i="33"/>
  <c r="O42" i="33" s="1"/>
  <c r="M105" i="33"/>
  <c r="O105" i="33" s="1"/>
  <c r="M87" i="33"/>
  <c r="O87" i="33" s="1"/>
  <c r="M108" i="33"/>
  <c r="O108" i="33" s="1"/>
  <c r="M63" i="33"/>
  <c r="O63" i="33" s="1"/>
  <c r="M65" i="33"/>
  <c r="O65" i="33" s="1"/>
  <c r="M23" i="33"/>
  <c r="O23" i="33" s="1"/>
  <c r="M734" i="33"/>
  <c r="O734" i="33" s="1"/>
  <c r="M731" i="33"/>
  <c r="O731" i="33" s="1"/>
  <c r="O730" i="33"/>
  <c r="M733" i="33"/>
  <c r="O733" i="33" s="1"/>
  <c r="M735" i="33"/>
  <c r="O735" i="33" s="1"/>
  <c r="M732" i="33"/>
  <c r="O732" i="33" s="1"/>
  <c r="R286" i="33"/>
  <c r="R288" i="33" s="1"/>
  <c r="M284" i="33" s="1"/>
  <c r="M86" i="33"/>
  <c r="O86" i="33" s="1"/>
  <c r="M46" i="33"/>
  <c r="O46" i="33" s="1"/>
  <c r="M125" i="33"/>
  <c r="O125" i="33" s="1"/>
  <c r="M84" i="33"/>
  <c r="O84" i="33" s="1"/>
  <c r="M126" i="33"/>
  <c r="O126" i="33" s="1"/>
  <c r="M85" i="33"/>
  <c r="O85" i="33" s="1"/>
  <c r="R137" i="33"/>
  <c r="R139" i="33" s="1"/>
  <c r="M139" i="33" s="1"/>
  <c r="M104" i="33"/>
  <c r="O104" i="33" s="1"/>
  <c r="M128" i="33"/>
  <c r="O128" i="33" s="1"/>
  <c r="M66" i="33"/>
  <c r="O66" i="33" s="1"/>
  <c r="M24" i="33"/>
  <c r="O24" i="33" s="1"/>
  <c r="M22" i="33"/>
  <c r="O22" i="33" s="1"/>
  <c r="M44" i="33"/>
  <c r="O44" i="33" s="1"/>
  <c r="M107" i="33"/>
  <c r="O107" i="33" s="1"/>
  <c r="M741" i="33"/>
  <c r="O741" i="33" s="1"/>
  <c r="O740" i="33"/>
  <c r="M742" i="33"/>
  <c r="O742" i="33" s="1"/>
  <c r="M743" i="33"/>
  <c r="O743" i="33" s="1"/>
  <c r="O589" i="33"/>
  <c r="O616" i="33"/>
  <c r="O602" i="33"/>
  <c r="O368" i="33"/>
  <c r="M383" i="33"/>
  <c r="O383" i="33" s="1"/>
  <c r="M407" i="33"/>
  <c r="O407" i="33" s="1"/>
  <c r="M402" i="33"/>
  <c r="O402" i="33" s="1"/>
  <c r="M392" i="33"/>
  <c r="O392" i="33" s="1"/>
  <c r="M387" i="33"/>
  <c r="O387" i="33" s="1"/>
  <c r="M385" i="33"/>
  <c r="O385" i="33" s="1"/>
  <c r="M370" i="33"/>
  <c r="O370" i="33" s="1"/>
  <c r="M388" i="33"/>
  <c r="O388" i="33" s="1"/>
  <c r="M371" i="33"/>
  <c r="O371" i="33" s="1"/>
  <c r="M403" i="33"/>
  <c r="O403" i="33" s="1"/>
  <c r="M400" i="33"/>
  <c r="O400" i="33" s="1"/>
  <c r="M386" i="33"/>
  <c r="O386" i="33" s="1"/>
  <c r="M375" i="33"/>
  <c r="O375" i="33" s="1"/>
  <c r="M491" i="33"/>
  <c r="O491" i="33" s="1"/>
  <c r="M487" i="33"/>
  <c r="O487" i="33" s="1"/>
  <c r="M481" i="33"/>
  <c r="O481" i="33" s="1"/>
  <c r="M474" i="33"/>
  <c r="O474" i="33" s="1"/>
  <c r="M470" i="33"/>
  <c r="O470" i="33" s="1"/>
  <c r="M465" i="33"/>
  <c r="O465" i="33" s="1"/>
  <c r="M461" i="33"/>
  <c r="O461" i="33" s="1"/>
  <c r="M457" i="33"/>
  <c r="O457" i="33" s="1"/>
  <c r="M452" i="33"/>
  <c r="O452" i="33" s="1"/>
  <c r="M445" i="33"/>
  <c r="O445" i="33" s="1"/>
  <c r="M440" i="33"/>
  <c r="O440" i="33" s="1"/>
  <c r="M436" i="33"/>
  <c r="O436" i="33" s="1"/>
  <c r="M427" i="33"/>
  <c r="O427" i="33" s="1"/>
  <c r="M425" i="33"/>
  <c r="O425" i="33" s="1"/>
  <c r="M423" i="33"/>
  <c r="O423" i="33" s="1"/>
  <c r="M418" i="33"/>
  <c r="O418" i="33" s="1"/>
  <c r="M414" i="33"/>
  <c r="O414" i="33" s="1"/>
  <c r="M497" i="33"/>
  <c r="O497" i="33" s="1"/>
  <c r="M495" i="33"/>
  <c r="O495" i="33" s="1"/>
  <c r="M492" i="33"/>
  <c r="O492" i="33" s="1"/>
  <c r="M488" i="33"/>
  <c r="O488" i="33" s="1"/>
  <c r="M483" i="33"/>
  <c r="O483" i="33" s="1"/>
  <c r="M476" i="33"/>
  <c r="O476" i="33" s="1"/>
  <c r="M471" i="33"/>
  <c r="O471" i="33" s="1"/>
  <c r="M466" i="33"/>
  <c r="O466" i="33" s="1"/>
  <c r="M462" i="33"/>
  <c r="O462" i="33" s="1"/>
  <c r="M458" i="33"/>
  <c r="O458" i="33" s="1"/>
  <c r="M453" i="33"/>
  <c r="O453" i="33" s="1"/>
  <c r="M446" i="33"/>
  <c r="O446" i="33" s="1"/>
  <c r="M442" i="33"/>
  <c r="O442" i="33" s="1"/>
  <c r="M437" i="33"/>
  <c r="O437" i="33" s="1"/>
  <c r="M420" i="33"/>
  <c r="O420" i="33" s="1"/>
  <c r="M415" i="33"/>
  <c r="O415" i="33" s="1"/>
  <c r="M489" i="33"/>
  <c r="O489" i="33" s="1"/>
  <c r="M484" i="33"/>
  <c r="O484" i="33" s="1"/>
  <c r="M477" i="33"/>
  <c r="O477" i="33" s="1"/>
  <c r="M472" i="33"/>
  <c r="O472" i="33" s="1"/>
  <c r="M468" i="33"/>
  <c r="O468" i="33" s="1"/>
  <c r="M463" i="33"/>
  <c r="O463" i="33" s="1"/>
  <c r="M459" i="33"/>
  <c r="O459" i="33" s="1"/>
  <c r="M454" i="33"/>
  <c r="O454" i="33" s="1"/>
  <c r="M449" i="33"/>
  <c r="O449" i="33" s="1"/>
  <c r="M443" i="33"/>
  <c r="O443" i="33" s="1"/>
  <c r="M438" i="33"/>
  <c r="O438" i="33" s="1"/>
  <c r="M429" i="33"/>
  <c r="O429" i="33" s="1"/>
  <c r="M426" i="33"/>
  <c r="O426" i="33" s="1"/>
  <c r="M424" i="33"/>
  <c r="O424" i="33" s="1"/>
  <c r="M422" i="33"/>
  <c r="O422" i="33" s="1"/>
  <c r="M416" i="33"/>
  <c r="O416" i="33" s="1"/>
  <c r="M413" i="33"/>
  <c r="O413" i="33" s="1"/>
  <c r="M314" i="33"/>
  <c r="O314" i="33" s="1"/>
  <c r="M496" i="33"/>
  <c r="O496" i="33" s="1"/>
  <c r="M494" i="33"/>
  <c r="O494" i="33" s="1"/>
  <c r="M490" i="33"/>
  <c r="O490" i="33" s="1"/>
  <c r="M485" i="33"/>
  <c r="O485" i="33" s="1"/>
  <c r="M480" i="33"/>
  <c r="O480" i="33" s="1"/>
  <c r="M473" i="33"/>
  <c r="O473" i="33" s="1"/>
  <c r="M469" i="33"/>
  <c r="O469" i="33" s="1"/>
  <c r="M464" i="33"/>
  <c r="O464" i="33" s="1"/>
  <c r="M460" i="33"/>
  <c r="O460" i="33" s="1"/>
  <c r="M455" i="33"/>
  <c r="O455" i="33" s="1"/>
  <c r="M450" i="33"/>
  <c r="O450" i="33" s="1"/>
  <c r="M444" i="33"/>
  <c r="O444" i="33" s="1"/>
  <c r="M439" i="33"/>
  <c r="O439" i="33" s="1"/>
  <c r="M417" i="33"/>
  <c r="O417" i="33" s="1"/>
  <c r="M313" i="33"/>
  <c r="O313" i="33" s="1"/>
  <c r="O312" i="33"/>
  <c r="M24" i="6"/>
  <c r="K32" i="6" s="1"/>
  <c r="M21" i="6"/>
  <c r="M20" i="6"/>
  <c r="M45" i="6"/>
  <c r="M27" i="6"/>
  <c r="Q49" i="10"/>
  <c r="Y31" i="10"/>
  <c r="W38" i="10"/>
  <c r="S43" i="10" l="1"/>
  <c r="N43" i="6" s="1"/>
  <c r="O28" i="33"/>
  <c r="O69" i="33"/>
  <c r="O90" i="33"/>
  <c r="O49" i="33"/>
  <c r="O132" i="33"/>
  <c r="O736" i="33"/>
  <c r="S34" i="10" s="1"/>
  <c r="N34" i="6" s="1"/>
  <c r="O111" i="33"/>
  <c r="M28" i="6"/>
  <c r="R355" i="33"/>
  <c r="R357" i="33" s="1"/>
  <c r="M356" i="33" s="1"/>
  <c r="M48" i="6"/>
  <c r="S30" i="10"/>
  <c r="N30" i="6" s="1"/>
  <c r="O744" i="33"/>
  <c r="O409" i="33"/>
  <c r="S28" i="10" s="1"/>
  <c r="N28" i="6" s="1"/>
  <c r="O394" i="33"/>
  <c r="O377" i="33"/>
  <c r="R577" i="33"/>
  <c r="R579" i="33" s="1"/>
  <c r="O499" i="33"/>
  <c r="S42" i="10" s="1"/>
  <c r="N42" i="6" s="1"/>
  <c r="O316" i="33"/>
  <c r="S40" i="10" s="1"/>
  <c r="O431" i="33"/>
  <c r="S41" i="10" s="1"/>
  <c r="N41" i="6" s="1"/>
  <c r="M204" i="33"/>
  <c r="O204" i="33" s="1"/>
  <c r="M140" i="33"/>
  <c r="O140" i="33" s="1"/>
  <c r="M254" i="33"/>
  <c r="O254" i="33" s="1"/>
  <c r="M203" i="33"/>
  <c r="O203" i="33" s="1"/>
  <c r="M141" i="33"/>
  <c r="O141" i="33" s="1"/>
  <c r="M155" i="33"/>
  <c r="O155" i="33" s="1"/>
  <c r="M279" i="33"/>
  <c r="O279" i="33" s="1"/>
  <c r="M229" i="33"/>
  <c r="O229" i="33" s="1"/>
  <c r="M179" i="33"/>
  <c r="O179" i="33" s="1"/>
  <c r="O139" i="33"/>
  <c r="M252" i="33"/>
  <c r="O252" i="33" s="1"/>
  <c r="M201" i="33"/>
  <c r="O201" i="33" s="1"/>
  <c r="M278" i="33"/>
  <c r="O278" i="33" s="1"/>
  <c r="M153" i="33"/>
  <c r="O153" i="33" s="1"/>
  <c r="M277" i="33"/>
  <c r="O277" i="33" s="1"/>
  <c r="M230" i="33"/>
  <c r="O230" i="33" s="1"/>
  <c r="M177" i="33"/>
  <c r="O177" i="33" s="1"/>
  <c r="M165" i="33"/>
  <c r="O165" i="33" s="1"/>
  <c r="M227" i="33"/>
  <c r="O227" i="33" s="1"/>
  <c r="M154" i="33"/>
  <c r="O154" i="33" s="1"/>
  <c r="M178" i="33"/>
  <c r="O178" i="33" s="1"/>
  <c r="M166" i="33"/>
  <c r="O166" i="33" s="1"/>
  <c r="M253" i="33"/>
  <c r="O253" i="33" s="1"/>
  <c r="M228" i="33"/>
  <c r="O228" i="33" s="1"/>
  <c r="M202" i="33"/>
  <c r="O202" i="33" s="1"/>
  <c r="M276" i="33"/>
  <c r="O276" i="33" s="1"/>
  <c r="M176" i="33"/>
  <c r="O176" i="33" s="1"/>
  <c r="M156" i="33"/>
  <c r="O156" i="33" s="1"/>
  <c r="M142" i="33"/>
  <c r="O142" i="33" s="1"/>
  <c r="M168" i="33"/>
  <c r="O168" i="33" s="1"/>
  <c r="M255" i="33"/>
  <c r="O255" i="33" s="1"/>
  <c r="M167" i="33"/>
  <c r="O167" i="33" s="1"/>
  <c r="O284" i="33"/>
  <c r="M288" i="33"/>
  <c r="O288" i="33" s="1"/>
  <c r="M522" i="33"/>
  <c r="O522" i="33" s="1"/>
  <c r="M192" i="33"/>
  <c r="O192" i="33" s="1"/>
  <c r="M217" i="33"/>
  <c r="O217" i="33" s="1"/>
  <c r="M242" i="33"/>
  <c r="O242" i="33" s="1"/>
  <c r="M267" i="33"/>
  <c r="O267" i="33" s="1"/>
  <c r="M299" i="33"/>
  <c r="O299" i="33" s="1"/>
  <c r="M185" i="33"/>
  <c r="O185" i="33" s="1"/>
  <c r="M287" i="33"/>
  <c r="O287" i="33" s="1"/>
  <c r="M187" i="33"/>
  <c r="O187" i="33" s="1"/>
  <c r="M214" i="33"/>
  <c r="O214" i="33" s="1"/>
  <c r="M239" i="33"/>
  <c r="O239" i="33" s="1"/>
  <c r="M264" i="33"/>
  <c r="O264" i="33" s="1"/>
  <c r="M521" i="33"/>
  <c r="O521" i="33" s="1"/>
  <c r="M289" i="33"/>
  <c r="O289" i="33" s="1"/>
  <c r="M518" i="33"/>
  <c r="O518" i="33" s="1"/>
  <c r="M190" i="33"/>
  <c r="O190" i="33" s="1"/>
  <c r="M215" i="33"/>
  <c r="O215" i="33" s="1"/>
  <c r="M265" i="33"/>
  <c r="O265" i="33" s="1"/>
  <c r="M285" i="33"/>
  <c r="O285" i="33" s="1"/>
  <c r="M305" i="33"/>
  <c r="O305" i="33" s="1"/>
  <c r="M290" i="33"/>
  <c r="O290" i="33" s="1"/>
  <c r="M306" i="33"/>
  <c r="O306" i="33" s="1"/>
  <c r="M212" i="33"/>
  <c r="O212" i="33" s="1"/>
  <c r="M262" i="33"/>
  <c r="O262" i="33" s="1"/>
  <c r="M525" i="33"/>
  <c r="O525" i="33" s="1"/>
  <c r="M286" i="33"/>
  <c r="O286" i="33" s="1"/>
  <c r="M186" i="33"/>
  <c r="O186" i="33" s="1"/>
  <c r="M211" i="33"/>
  <c r="O211" i="33" s="1"/>
  <c r="M236" i="33"/>
  <c r="O236" i="33" s="1"/>
  <c r="M261" i="33"/>
  <c r="O261" i="33" s="1"/>
  <c r="M523" i="33"/>
  <c r="O523" i="33" s="1"/>
  <c r="M301" i="33"/>
  <c r="O301" i="33" s="1"/>
  <c r="M524" i="33"/>
  <c r="O524" i="33" s="1"/>
  <c r="M300" i="33"/>
  <c r="O300" i="33" s="1"/>
  <c r="M189" i="33"/>
  <c r="O189" i="33" s="1"/>
  <c r="M216" i="33"/>
  <c r="O216" i="33" s="1"/>
  <c r="M241" i="33"/>
  <c r="O241" i="33" s="1"/>
  <c r="M266" i="33"/>
  <c r="O266" i="33" s="1"/>
  <c r="M291" i="33"/>
  <c r="O291" i="33" s="1"/>
  <c r="M302" i="33"/>
  <c r="O302" i="33" s="1"/>
  <c r="M188" i="33"/>
  <c r="O188" i="33" s="1"/>
  <c r="M213" i="33"/>
  <c r="O213" i="33" s="1"/>
  <c r="M238" i="33"/>
  <c r="O238" i="33" s="1"/>
  <c r="M263" i="33"/>
  <c r="O263" i="33" s="1"/>
  <c r="M519" i="33"/>
  <c r="O519" i="33" s="1"/>
  <c r="M303" i="33"/>
  <c r="O303" i="33" s="1"/>
  <c r="M520" i="33"/>
  <c r="O520" i="33" s="1"/>
  <c r="M304" i="33"/>
  <c r="O304" i="33" s="1"/>
  <c r="M191" i="33"/>
  <c r="O191" i="33" s="1"/>
  <c r="M218" i="33"/>
  <c r="O218" i="33" s="1"/>
  <c r="M243" i="33"/>
  <c r="O243" i="33" s="1"/>
  <c r="M268" i="33"/>
  <c r="O268" i="33" s="1"/>
  <c r="M240" i="33"/>
  <c r="O240" i="33" s="1"/>
  <c r="M237" i="33"/>
  <c r="O237" i="33" s="1"/>
  <c r="M33" i="6"/>
  <c r="M25" i="6"/>
  <c r="Y38" i="10"/>
  <c r="W49" i="10"/>
  <c r="Y49" i="10" s="1"/>
  <c r="S15" i="10" l="1"/>
  <c r="R13" i="33"/>
  <c r="R729" i="33"/>
  <c r="R731" i="33" s="1"/>
  <c r="S16" i="10"/>
  <c r="S27" i="10"/>
  <c r="S29" i="10" s="1"/>
  <c r="N29" i="6" s="1"/>
  <c r="N40" i="6"/>
  <c r="R739" i="33"/>
  <c r="R741" i="33" s="1"/>
  <c r="S35" i="10"/>
  <c r="N35" i="6" s="1"/>
  <c r="R365" i="33"/>
  <c r="R367" i="33" s="1"/>
  <c r="M32" i="6"/>
  <c r="R345" i="33"/>
  <c r="O356" i="33"/>
  <c r="M360" i="33"/>
  <c r="O360" i="33" s="1"/>
  <c r="M359" i="33"/>
  <c r="O359" i="33" s="1"/>
  <c r="M357" i="33"/>
  <c r="O357" i="33" s="1"/>
  <c r="M358" i="33"/>
  <c r="O358" i="33" s="1"/>
  <c r="M361" i="33"/>
  <c r="O361" i="33" s="1"/>
  <c r="R312" i="33"/>
  <c r="R321" i="33"/>
  <c r="R323" i="33" s="1"/>
  <c r="M321" i="33" s="1"/>
  <c r="O207" i="33"/>
  <c r="O181" i="33"/>
  <c r="O281" i="33"/>
  <c r="O246" i="33"/>
  <c r="O221" i="33"/>
  <c r="O232" i="33"/>
  <c r="O257" i="33"/>
  <c r="O296" i="33"/>
  <c r="O526" i="33"/>
  <c r="O195" i="33"/>
  <c r="O170" i="33"/>
  <c r="O158" i="33"/>
  <c r="O146" i="33"/>
  <c r="O271" i="33"/>
  <c r="O309" i="33"/>
  <c r="M36" i="6"/>
  <c r="M31" i="6"/>
  <c r="K38" i="6"/>
  <c r="S18" i="10" l="1"/>
  <c r="N18" i="6" s="1"/>
  <c r="N27" i="6"/>
  <c r="S21" i="10"/>
  <c r="N21" i="6" s="1"/>
  <c r="M38" i="6"/>
  <c r="S20" i="10"/>
  <c r="R347" i="33"/>
  <c r="M345" i="33" s="1"/>
  <c r="O362" i="33"/>
  <c r="O321" i="33"/>
  <c r="M325" i="33"/>
  <c r="O325" i="33" s="1"/>
  <c r="M323" i="33"/>
  <c r="O323" i="33" s="1"/>
  <c r="M667" i="33"/>
  <c r="O667" i="33" s="1"/>
  <c r="M665" i="33"/>
  <c r="O665" i="33" s="1"/>
  <c r="M663" i="33"/>
  <c r="O663" i="33" s="1"/>
  <c r="M338" i="33"/>
  <c r="O338" i="33" s="1"/>
  <c r="M336" i="33"/>
  <c r="O336" i="33" s="1"/>
  <c r="M334" i="33"/>
  <c r="O334" i="33" s="1"/>
  <c r="M326" i="33"/>
  <c r="O326" i="33" s="1"/>
  <c r="M322" i="33"/>
  <c r="O322" i="33" s="1"/>
  <c r="M666" i="33"/>
  <c r="O666" i="33" s="1"/>
  <c r="M664" i="33"/>
  <c r="O664" i="33" s="1"/>
  <c r="M662" i="33"/>
  <c r="O662" i="33" s="1"/>
  <c r="M337" i="33"/>
  <c r="O337" i="33" s="1"/>
  <c r="M335" i="33"/>
  <c r="O335" i="33" s="1"/>
  <c r="M333" i="33"/>
  <c r="O333" i="33" s="1"/>
  <c r="M324" i="33"/>
  <c r="O324" i="33" s="1"/>
  <c r="R285" i="33"/>
  <c r="R287" i="33" s="1"/>
  <c r="R136" i="33"/>
  <c r="R138" i="33" s="1"/>
  <c r="U35" i="10"/>
  <c r="AA35" i="10" s="1"/>
  <c r="AC35" i="10" s="1"/>
  <c r="U40" i="10"/>
  <c r="AA40" i="10" s="1"/>
  <c r="AC40" i="10" s="1"/>
  <c r="U43" i="10"/>
  <c r="AA43" i="10" s="1"/>
  <c r="AC43" i="10" s="1"/>
  <c r="U41" i="10"/>
  <c r="AA41" i="10" s="1"/>
  <c r="AC41" i="10" s="1"/>
  <c r="U34" i="10"/>
  <c r="AA34" i="10" s="1"/>
  <c r="AC34" i="10" s="1"/>
  <c r="S22" i="10" l="1"/>
  <c r="N22" i="6" s="1"/>
  <c r="N20" i="6"/>
  <c r="R354" i="33"/>
  <c r="R356" i="33" s="1"/>
  <c r="S25" i="10"/>
  <c r="N25" i="6" s="1"/>
  <c r="O345" i="33"/>
  <c r="M720" i="33"/>
  <c r="O720" i="33" s="1"/>
  <c r="M718" i="33"/>
  <c r="O718" i="33" s="1"/>
  <c r="M716" i="33"/>
  <c r="O716" i="33" s="1"/>
  <c r="M675" i="33"/>
  <c r="O675" i="33" s="1"/>
  <c r="M673" i="33"/>
  <c r="O673" i="33" s="1"/>
  <c r="M671" i="33"/>
  <c r="O671" i="33" s="1"/>
  <c r="M535" i="33"/>
  <c r="O535" i="33" s="1"/>
  <c r="M533" i="33"/>
  <c r="O533" i="33" s="1"/>
  <c r="M531" i="33"/>
  <c r="O531" i="33" s="1"/>
  <c r="M347" i="33"/>
  <c r="O347" i="33" s="1"/>
  <c r="M348" i="33"/>
  <c r="O348" i="33" s="1"/>
  <c r="M349" i="33"/>
  <c r="O349" i="33" s="1"/>
  <c r="M350" i="33"/>
  <c r="O350" i="33" s="1"/>
  <c r="M719" i="33"/>
  <c r="O719" i="33" s="1"/>
  <c r="M717" i="33"/>
  <c r="O717" i="33" s="1"/>
  <c r="M715" i="33"/>
  <c r="O715" i="33" s="1"/>
  <c r="M676" i="33"/>
  <c r="O676" i="33" s="1"/>
  <c r="M674" i="33"/>
  <c r="O674" i="33" s="1"/>
  <c r="M672" i="33"/>
  <c r="O672" i="33" s="1"/>
  <c r="M534" i="33"/>
  <c r="O534" i="33" s="1"/>
  <c r="M532" i="33"/>
  <c r="O532" i="33" s="1"/>
  <c r="M530" i="33"/>
  <c r="O530" i="33" s="1"/>
  <c r="M346" i="33"/>
  <c r="O346" i="33" s="1"/>
  <c r="O669" i="33"/>
  <c r="O340" i="33"/>
  <c r="O328" i="33"/>
  <c r="R314" i="33"/>
  <c r="U42" i="10"/>
  <c r="O536" i="33" l="1"/>
  <c r="O537" i="33" s="1"/>
  <c r="S23" i="10"/>
  <c r="N23" i="6" s="1"/>
  <c r="R320" i="33"/>
  <c r="R322" i="33" s="1"/>
  <c r="O677" i="33"/>
  <c r="O678" i="33" s="1"/>
  <c r="S31" i="10" s="1"/>
  <c r="O721" i="33"/>
  <c r="S32" i="10" s="1"/>
  <c r="O351" i="33"/>
  <c r="U28" i="10"/>
  <c r="AA28" i="10" s="1"/>
  <c r="AC28" i="10" s="1"/>
  <c r="U20" i="10"/>
  <c r="U21" i="10"/>
  <c r="AA21" i="10" s="1"/>
  <c r="AC21" i="10" s="1"/>
  <c r="AA42" i="10"/>
  <c r="AC42" i="10" s="1"/>
  <c r="U25" i="10"/>
  <c r="AA25" i="10" s="1"/>
  <c r="AC25" i="10" s="1"/>
  <c r="U36" i="10"/>
  <c r="AA36" i="10" s="1"/>
  <c r="AC36" i="10" s="1"/>
  <c r="U30" i="10"/>
  <c r="AA30" i="10" s="1"/>
  <c r="AC30" i="10" s="1"/>
  <c r="S24" i="10" l="1"/>
  <c r="S26" i="10" s="1"/>
  <c r="N26" i="6" s="1"/>
  <c r="N31" i="6"/>
  <c r="U32" i="10"/>
  <c r="AA32" i="10" s="1"/>
  <c r="AC32" i="10" s="1"/>
  <c r="N32" i="6"/>
  <c r="U23" i="10"/>
  <c r="AA23" i="10" s="1"/>
  <c r="AC23" i="10" s="1"/>
  <c r="U27" i="10"/>
  <c r="U31" i="10"/>
  <c r="AA31" i="10" s="1"/>
  <c r="AC31" i="10" s="1"/>
  <c r="U22" i="10"/>
  <c r="AA20" i="10"/>
  <c r="N24" i="6" l="1"/>
  <c r="S38" i="10"/>
  <c r="N38" i="6" s="1"/>
  <c r="AA27" i="10"/>
  <c r="AA29" i="10" s="1"/>
  <c r="AC29" i="10" s="1"/>
  <c r="U29" i="10"/>
  <c r="U24" i="10"/>
  <c r="AA22" i="10"/>
  <c r="AC22" i="10" s="1"/>
  <c r="AC20" i="10"/>
  <c r="AC27" i="10" l="1"/>
  <c r="AA24" i="10"/>
  <c r="U26" i="10"/>
  <c r="U38" i="10"/>
  <c r="M18" i="6"/>
  <c r="K49" i="6"/>
  <c r="M15" i="6" l="1"/>
  <c r="N15" i="6"/>
  <c r="M54" i="6"/>
  <c r="AA26" i="10"/>
  <c r="AC26" i="10" s="1"/>
  <c r="AC24" i="10"/>
  <c r="AA38" i="10"/>
  <c r="AC38" i="10" s="1"/>
  <c r="M49" i="6"/>
  <c r="M16" i="6" l="1"/>
  <c r="N16" i="6"/>
  <c r="U16" i="10" l="1"/>
  <c r="AA16" i="10" s="1"/>
  <c r="AC16" i="10" s="1"/>
  <c r="U15" i="10"/>
  <c r="AA15" i="10" l="1"/>
  <c r="U18" i="10"/>
  <c r="AC15" i="10" l="1"/>
  <c r="AA18" i="10"/>
  <c r="AE18" i="10" s="1"/>
  <c r="AC18" i="10" l="1"/>
  <c r="R15" i="33"/>
  <c r="O511" i="33"/>
  <c r="O512" i="33" s="1"/>
  <c r="S44" i="10" l="1"/>
  <c r="R509" i="33"/>
  <c r="R511" i="33" s="1"/>
  <c r="N44" i="6" l="1"/>
  <c r="S45" i="10"/>
  <c r="U44" i="10"/>
  <c r="AA44" i="10" l="1"/>
  <c r="U45" i="10"/>
  <c r="U48" i="10" s="1"/>
  <c r="U49" i="10" s="1"/>
  <c r="S48" i="10"/>
  <c r="N45" i="6"/>
  <c r="S49" i="10" l="1"/>
  <c r="N48" i="6"/>
  <c r="AC44" i="10"/>
  <c r="AA45" i="10"/>
  <c r="AA48" i="10" l="1"/>
  <c r="AC45" i="10"/>
  <c r="N49" i="6"/>
  <c r="AC48" i="10" l="1"/>
  <c r="AA49" i="10"/>
  <c r="AC49" i="10" s="1"/>
  <c r="K768" i="33"/>
  <c r="K769" i="33" s="1"/>
  <c r="O768" i="33"/>
  <c r="O769" i="33" s="1"/>
  <c r="R344" i="33"/>
  <c r="R346" i="33" s="1"/>
  <c r="O770" i="33" l="1"/>
</calcChain>
</file>

<file path=xl/sharedStrings.xml><?xml version="1.0" encoding="utf-8"?>
<sst xmlns="http://schemas.openxmlformats.org/spreadsheetml/2006/main" count="1231" uniqueCount="409">
  <si>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</si>
  <si>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</si>
  <si>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</si>
  <si>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</si>
  <si>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</si>
  <si>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</si>
  <si>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</si>
  <si>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</si>
  <si>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</si>
  <si>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</si>
  <si>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>¢</t>
  </si>
  <si>
    <t>In Rate</t>
  </si>
  <si>
    <t>Target</t>
  </si>
  <si>
    <t>D</t>
  </si>
  <si>
    <t>Target Change</t>
  </si>
  <si>
    <t xml:space="preserve">  Total</t>
  </si>
  <si>
    <t>Adj</t>
  </si>
  <si>
    <t xml:space="preserve">  Off-Peak kWh (May - Sept)</t>
  </si>
  <si>
    <t xml:space="preserve">  Voltage Discount</t>
  </si>
  <si>
    <t xml:space="preserve">  Seasonal Service</t>
  </si>
  <si>
    <t>Schedule No. 6 - Composite</t>
  </si>
  <si>
    <t>Schedule No. 6A - Energy Time-of-Day Option - Composite</t>
  </si>
  <si>
    <t xml:space="preserve">   7,000 Lumen</t>
  </si>
  <si>
    <t xml:space="preserve">   20,000 Lumen</t>
  </si>
  <si>
    <t xml:space="preserve">   22,000 Lumen</t>
  </si>
  <si>
    <t>Customers</t>
  </si>
  <si>
    <t>Total (kWh)</t>
  </si>
  <si>
    <t>Schedule No. 8 - Composite</t>
  </si>
  <si>
    <t xml:space="preserve">  Facilities kW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</si>
  <si>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</si>
  <si>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</si>
  <si>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</si>
  <si>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</si>
  <si>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</si>
  <si>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</si>
  <si>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</si>
  <si>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</si>
  <si>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</si>
  <si>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</si>
  <si>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</si>
  <si>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</si>
  <si>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</si>
  <si>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</si>
  <si>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</si>
  <si>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</si>
  <si>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</si>
  <si>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</si>
  <si>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</si>
  <si>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</si>
  <si>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</si>
  <si>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</si>
  <si>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</si>
  <si>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</si>
  <si>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Metal Halide Lamps</t>
  </si>
  <si>
    <t xml:space="preserve">   4,000 Lumen</t>
  </si>
  <si>
    <t xml:space="preserve">   10,000 Lumen</t>
  </si>
  <si>
    <t xml:space="preserve">   6,000 Lumen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</si>
  <si>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</si>
  <si>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</si>
  <si>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</si>
  <si>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</si>
  <si>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</si>
  <si>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</si>
  <si>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</si>
  <si>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</si>
  <si>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</si>
  <si>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</si>
  <si>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</si>
  <si>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</si>
  <si>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</si>
  <si>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</si>
  <si>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</si>
  <si>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</si>
  <si>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</si>
  <si>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</si>
  <si>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</si>
  <si>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</si>
  <si>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</si>
  <si>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</si>
  <si>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</si>
  <si>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</si>
  <si>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</si>
  <si>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</si>
  <si>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</si>
  <si>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</si>
  <si>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</si>
  <si>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</si>
  <si>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</si>
  <si>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</si>
  <si>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</si>
  <si>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</si>
  <si>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</si>
  <si>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</si>
  <si>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</si>
  <si>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</si>
  <si>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</si>
  <si>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</si>
  <si>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Customer Charge</t>
  </si>
  <si>
    <t>Schedule No. 21 - Electric Furnace Operations - Limited Service - Industrial</t>
  </si>
  <si>
    <t xml:space="preserve">  Subtotal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</si>
  <si>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</si>
  <si>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</si>
  <si>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</si>
  <si>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</si>
  <si>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</si>
  <si>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</si>
  <si>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</si>
  <si>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</si>
  <si>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</si>
  <si>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Schedule 8</t>
  </si>
  <si>
    <t xml:space="preserve">  Schedule 9</t>
  </si>
  <si>
    <t xml:space="preserve">  Total (Aggregated)</t>
  </si>
  <si>
    <t xml:space="preserve">  Total </t>
  </si>
  <si>
    <t>Energy Only Res</t>
  </si>
  <si>
    <t>Energy Only Non-Res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</si>
  <si>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</si>
  <si>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</si>
  <si>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</si>
  <si>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</si>
  <si>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</si>
  <si>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</si>
  <si>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</si>
  <si>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</si>
  <si>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</si>
  <si>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</si>
  <si>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</si>
  <si>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</si>
  <si>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</si>
  <si>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</si>
  <si>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</si>
  <si>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</si>
  <si>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</si>
  <si>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</si>
  <si>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</si>
  <si>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</si>
  <si>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</si>
  <si>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</si>
  <si>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</si>
  <si>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</si>
  <si>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</si>
  <si>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</si>
  <si>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</si>
  <si>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</si>
  <si>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</si>
  <si>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</si>
  <si>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</si>
  <si>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</si>
  <si>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</si>
  <si>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</si>
  <si>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</si>
  <si>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</si>
  <si>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</si>
  <si>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</si>
  <si>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</si>
  <si>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</si>
  <si>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</si>
  <si>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</si>
  <si>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</si>
  <si>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</si>
  <si>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</si>
  <si>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</si>
  <si>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</si>
  <si>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</si>
  <si>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</si>
  <si>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</si>
  <si>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</si>
  <si>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</si>
  <si>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</si>
  <si>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</si>
  <si>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</si>
  <si>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</si>
  <si>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</si>
  <si>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Estimated Effect of Proposed Changes</t>
  </si>
  <si>
    <t>Revenues</t>
  </si>
  <si>
    <t xml:space="preserve">  Total Customer</t>
  </si>
  <si>
    <t>Schedule No. 6B - Demand Time-of-Day Option - Composite</t>
  </si>
  <si>
    <t>Schedule No. 9A - Energy TOD - Composite</t>
  </si>
  <si>
    <t xml:space="preserve">Present </t>
  </si>
  <si>
    <t>Rate Spread</t>
  </si>
  <si>
    <t>Sch 6</t>
  </si>
  <si>
    <t>kWh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</si>
  <si>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</si>
  <si>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</si>
  <si>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</si>
  <si>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</si>
  <si>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</si>
  <si>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</si>
  <si>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</si>
  <si>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(%)</t>
  </si>
  <si>
    <t>Blocking Based on Adjusted Actuals and Forecasted Loads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</si>
  <si>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</si>
  <si>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</si>
  <si>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</si>
  <si>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</si>
  <si>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</si>
  <si>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</si>
  <si>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</si>
  <si>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</si>
  <si>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>Lighting Contract - Post Top Lighting - Composite</t>
  </si>
  <si>
    <t>Note:</t>
  </si>
  <si>
    <t>Avg %</t>
  </si>
  <si>
    <t>Res AVG</t>
  </si>
  <si>
    <t>*</t>
  </si>
  <si>
    <t xml:space="preserve">      Single Family</t>
  </si>
  <si>
    <t xml:space="preserve">      Multi Family</t>
  </si>
  <si>
    <t xml:space="preserve">  Aggregate Charge</t>
  </si>
  <si>
    <t xml:space="preserve">  Non-Standard Meter Reading Fee</t>
  </si>
  <si>
    <t xml:space="preserve">  On-Peak kWh (Jun - Sept)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</si>
  <si>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</si>
  <si>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</si>
  <si>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</si>
  <si>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</si>
  <si>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</si>
  <si>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</si>
  <si>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</si>
  <si>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</si>
  <si>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>Schedule No. 2E - Electric Vehicle Time-of-Use Pilot Option</t>
  </si>
  <si>
    <t>Rate Option 1</t>
  </si>
  <si>
    <t>Rate Option 2</t>
  </si>
  <si>
    <t>Subscriber Solar kWh</t>
  </si>
  <si>
    <t>Schedule No. 135 - Residential Service - Net Metering</t>
  </si>
  <si>
    <t>Schedule No. 136 - Residential Service - Net Metering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</si>
  <si>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</si>
  <si>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</si>
  <si>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</si>
  <si>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</si>
  <si>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</si>
  <si>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</si>
  <si>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</si>
  <si>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</si>
  <si>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</si>
  <si>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</si>
  <si>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 xml:space="preserve">  Minimum Charge</t>
  </si>
  <si>
    <t xml:space="preserve">  All kW (Jun - Sept)</t>
  </si>
  <si>
    <t xml:space="preserve">  All kW (Oct - May)</t>
  </si>
  <si>
    <t xml:space="preserve">  kWh (Jun-Sept)</t>
  </si>
  <si>
    <t xml:space="preserve">  kWh (Oct-May)</t>
  </si>
  <si>
    <t>Schedule 6-135 moving to 6A - Net Metering - Composite</t>
  </si>
  <si>
    <t>Schedule 6-136 moving to 6A - Net Metering - Commercial</t>
  </si>
  <si>
    <t>Schedule 6B moving to 6A - Composite</t>
  </si>
  <si>
    <t xml:space="preserve">  All on-peak kW (Jun - Sept)</t>
  </si>
  <si>
    <t xml:space="preserve">  All on-peak kW (Oct - May)</t>
  </si>
  <si>
    <t>Schedule No. 6-135 - Net Metering - Composite</t>
  </si>
  <si>
    <t>Schedule No. 6-136 - Net Metering - Composite</t>
  </si>
  <si>
    <t>Schedule No. 6A-135 - Composite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</si>
  <si>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</si>
  <si>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</si>
  <si>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</si>
  <si>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</si>
  <si>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</si>
  <si>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10-135 - Irrigation</t>
  </si>
  <si>
    <t>TOTAL RATE 10-135</t>
  </si>
  <si>
    <t xml:space="preserve"> 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</si>
  <si>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</si>
  <si>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</si>
  <si>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</si>
  <si>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</si>
  <si>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</si>
  <si>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</si>
  <si>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</si>
  <si>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</si>
  <si>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</si>
  <si>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</si>
  <si>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</si>
  <si>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</si>
  <si>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</si>
  <si>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</si>
  <si>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</si>
  <si>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</si>
  <si>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</si>
  <si>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</si>
  <si>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</si>
  <si>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</si>
  <si>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</si>
  <si>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</si>
  <si>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</si>
  <si>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</si>
  <si>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</si>
  <si>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 xml:space="preserve">              Jun - Sept</t>
  </si>
  <si>
    <t xml:space="preserve">              Oct - May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</si>
  <si>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</si>
  <si>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</si>
  <si>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</si>
  <si>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</si>
  <si>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</si>
  <si>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</si>
  <si>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</si>
  <si>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</si>
  <si>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</si>
  <si>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</si>
  <si>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</si>
  <si>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</si>
  <si>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</si>
  <si>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</si>
  <si>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</si>
  <si>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</si>
  <si>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</si>
  <si>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</si>
  <si>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</si>
  <si>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</si>
  <si>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</si>
  <si>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</si>
  <si>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</si>
  <si>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</si>
  <si>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</si>
  <si>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</si>
  <si>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</si>
  <si>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</si>
  <si>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</si>
  <si>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</si>
  <si>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</si>
  <si>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</si>
  <si>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Off-Peak kWh (Oct-Apr)</t>
  </si>
  <si>
    <t>Block 1</t>
  </si>
  <si>
    <t>Block 2 - Market</t>
  </si>
  <si>
    <t>Block 2 - Index</t>
  </si>
  <si>
    <t>Base Period 12 Months Ending December 2019</t>
  </si>
  <si>
    <t>Forecast Period 12 Months Ending December 2021</t>
  </si>
  <si>
    <t>Level 1 (0-5,500 LED Equivalent Lumens)</t>
  </si>
  <si>
    <t>Level 2 (5,501-12,000 LED Equivalent Lumens)</t>
  </si>
  <si>
    <t>Level 3 (12,001 and Greater LED Equivalent Lumens)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</si>
  <si>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</si>
  <si>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</si>
  <si>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</si>
  <si>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</si>
  <si>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</si>
  <si>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</si>
  <si>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Supplemental billed at Schedule 8/9 rate</t>
  </si>
  <si>
    <t>2/2E</t>
  </si>
  <si>
    <t>Functional Lighting</t>
  </si>
  <si>
    <t>Decorative Series</t>
  </si>
  <si>
    <t>Customer-Funded Conversion</t>
  </si>
  <si>
    <t>Customer-Funded Conversion Decorative Series</t>
  </si>
  <si>
    <t>Svc. From Ren. Ene. Facilities</t>
  </si>
  <si>
    <t>Ren. Ene. Pur. for Qlf. Cust &gt; 5,000 kW</t>
  </si>
  <si>
    <t>Res 1, 2, 2E, 3</t>
  </si>
  <si>
    <t>SCH 6A</t>
  </si>
  <si>
    <t>Sch9/31/32/21</t>
  </si>
  <si>
    <t>REC Revenue Spread Calculation</t>
  </si>
  <si>
    <t>2011 GRC Settlement Exhibit A</t>
  </si>
  <si>
    <t>GRC</t>
  </si>
  <si>
    <t>REC</t>
  </si>
  <si>
    <t>Proposed REC</t>
  </si>
  <si>
    <t>Present Rev</t>
  </si>
  <si>
    <t>Change*</t>
  </si>
  <si>
    <t>Customer Class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</si>
  <si>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</si>
  <si>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</si>
  <si>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</si>
  <si>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</si>
  <si>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</si>
  <si>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</si>
  <si>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</si>
  <si>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</si>
  <si>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</si>
  <si>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</si>
  <si>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</si>
  <si>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</si>
  <si>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</si>
  <si>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</si>
  <si>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</si>
  <si>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Contract Customer 3**</t>
  </si>
  <si>
    <t>Contract Customer 4**</t>
  </si>
  <si>
    <t>Total Utah</t>
  </si>
  <si>
    <t>Total Utah (excl. Customer 1, 2, &amp; AGA)</t>
  </si>
  <si>
    <t xml:space="preserve">*Effective September 21, 2011 through May 31, 2012.  </t>
  </si>
  <si>
    <t>** The actual change will be based on the terms of the contract.</t>
  </si>
  <si>
    <t>2014 GRC</t>
  </si>
  <si>
    <t>RBA</t>
  </si>
  <si>
    <t>Step 2 Spread</t>
  </si>
  <si>
    <t>* The rate spread is based on the percentage of the rate spread from 2012 REC. The zero value is due to rounding to $1,000.</t>
  </si>
  <si>
    <t>** The rate spread is based 2014 GRC Step 2 rate spread.</t>
  </si>
  <si>
    <t>2020 Deferral**</t>
  </si>
  <si>
    <t>Goal seek:M54=0 by changing K54</t>
  </si>
  <si>
    <t>Goal seek: R138=0 by changing R140</t>
  </si>
  <si>
    <t>Utah REC Balancing Account</t>
  </si>
  <si>
    <t>March 13, 2021</t>
  </si>
  <si>
    <t>Summary of REC Balancing Account (Schedule 98)</t>
  </si>
  <si>
    <t>Line No.</t>
  </si>
  <si>
    <t>Reference</t>
  </si>
  <si>
    <t>2020 REC Revenue Deferred Balance @ December 31, 2019</t>
  </si>
  <si>
    <t>Docket No. 20-035-13, RMP_(GB-2), line 16</t>
  </si>
  <si>
    <t>True Up for using actual resource allocations for Nov.19 &amp; Dec.19</t>
  </si>
  <si>
    <t>GB-2, Footnote 3</t>
  </si>
  <si>
    <t>REC Revenue Deferred Balance @ December 31, 2019 in this RBA filing</t>
  </si>
  <si>
    <t>GB-2, Line 13</t>
  </si>
  <si>
    <t>GB-2, Line 3</t>
  </si>
  <si>
    <t xml:space="preserve">10% retention incentive on incremental REC sales </t>
  </si>
  <si>
    <t>GB-2, Line 4</t>
  </si>
  <si>
    <t>GB-2, Line 6</t>
  </si>
  <si>
    <t>GB-2, Line 7</t>
  </si>
  <si>
    <t>GB-2, Line 9</t>
  </si>
  <si>
    <t>GB-2, Line 10</t>
  </si>
  <si>
    <t>Estimated Schedule 98 Surcharge/(Surcredit) January 2020 to May 2020</t>
  </si>
  <si>
    <t>GB-2, Line 17</t>
  </si>
  <si>
    <t>GB-2, Line 15</t>
  </si>
  <si>
    <t>GB-2, Line 20</t>
  </si>
  <si>
    <t>Target Rev</t>
  </si>
  <si>
    <t>Present RBA</t>
  </si>
  <si>
    <t>Proposed RBA</t>
  </si>
  <si>
    <t>2021 RBA Deferral Balance Calculation:</t>
  </si>
  <si>
    <t>2020 Actual REC Revenue</t>
  </si>
  <si>
    <t>2020 Leaning Juniper Contract Revenue</t>
  </si>
  <si>
    <t>2020 Kennecott Contract Revenue</t>
  </si>
  <si>
    <t>2020 REC Revenues in Base Rates</t>
  </si>
  <si>
    <t>2020 Schedule 98 Surcharge/(Surcredit)</t>
  </si>
  <si>
    <t>Carrying Charges for Deferral Period (January - December 2020)</t>
  </si>
  <si>
    <t>Carrying Charges for Interim Period (January 2021 - June 2021)</t>
  </si>
  <si>
    <t>Total 2021 RBA Deferral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</si>
</sst>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-* #,##0\ &quot;F&quot;_-;\-* #,##0\ &quot;F&quot;_-;_-* &quot;-&quot;\ &quot;F&quot;_-;_-@_-"/>
    <numFmt numFmtId="180" formatCode="#,##0.000;[Red]\-#,##0.000"/>
    <numFmt numFmtId="181" formatCode="_(* #,##0_);[Red]_(* \(#,##0\);_(* &quot;-&quot;_);_(@_)"/>
    <numFmt numFmtId="182" formatCode="0.0000"/>
    <numFmt numFmtId="183" formatCode="#,##0;\-#,##0;&quot;-&quot;"/>
    <numFmt numFmtId="184" formatCode="mmmm\ d\,\ yyyy"/>
    <numFmt numFmtId="185" formatCode="########\-###\-###"/>
    <numFmt numFmtId="186" formatCode="#,##0.0_);\(#,##0.0\);\-\ ;"/>
    <numFmt numFmtId="187" formatCode="0.000000"/>
    <numFmt numFmtId="188" formatCode="mmm\ dd\,\ yyyy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&quot;$&quot;#,##0.0"/>
    <numFmt numFmtId="194" formatCode="0.00000"/>
    <numFmt numFmtId="195" formatCode="_(* #,##0.0_);_(* \(#,##0.0\);_(* &quot;-&quot;??_);_(@_)"/>
  </numFmts>
  <fonts count="92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i/>
      <sz val="10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8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2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7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0" fontId="25" fillId="0" borderId="14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5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6" applyNumberFormat="0" applyProtection="0">
      <alignment vertical="center"/>
    </xf>
    <xf numFmtId="4" fontId="30" fillId="4" borderId="16" applyNumberFormat="0" applyProtection="0">
      <alignment vertical="center"/>
    </xf>
    <xf numFmtId="4" fontId="29" fillId="4" borderId="16" applyNumberFormat="0" applyProtection="0">
      <alignment vertical="center"/>
    </xf>
    <xf numFmtId="0" fontId="29" fillId="4" borderId="16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6" applyNumberFormat="0" applyProtection="0">
      <alignment horizontal="right" vertical="center"/>
    </xf>
    <xf numFmtId="4" fontId="31" fillId="7" borderId="16" applyNumberFormat="0" applyProtection="0">
      <alignment horizontal="right" vertical="center"/>
    </xf>
    <xf numFmtId="4" fontId="31" fillId="8" borderId="16" applyNumberFormat="0" applyProtection="0">
      <alignment horizontal="right" vertical="center"/>
    </xf>
    <xf numFmtId="4" fontId="31" fillId="9" borderId="16" applyNumberFormat="0" applyProtection="0">
      <alignment horizontal="right" vertical="center"/>
    </xf>
    <xf numFmtId="4" fontId="31" fillId="10" borderId="16" applyNumberFormat="0" applyProtection="0">
      <alignment horizontal="right" vertical="center"/>
    </xf>
    <xf numFmtId="4" fontId="31" fillId="11" borderId="16" applyNumberFormat="0" applyProtection="0">
      <alignment horizontal="right" vertical="center"/>
    </xf>
    <xf numFmtId="4" fontId="31" fillId="12" borderId="16" applyNumberFormat="0" applyProtection="0">
      <alignment horizontal="right" vertical="center"/>
    </xf>
    <xf numFmtId="4" fontId="31" fillId="13" borderId="16" applyNumberFormat="0" applyProtection="0">
      <alignment horizontal="right" vertical="center"/>
    </xf>
    <xf numFmtId="4" fontId="31" fillId="14" borderId="16" applyNumberFormat="0" applyProtection="0">
      <alignment horizontal="right" vertical="center"/>
    </xf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6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4" fontId="31" fillId="21" borderId="16" applyNumberFormat="0" applyProtection="0">
      <alignment vertical="center"/>
    </xf>
    <xf numFmtId="4" fontId="35" fillId="21" borderId="16" applyNumberFormat="0" applyProtection="0">
      <alignment vertical="center"/>
    </xf>
    <xf numFmtId="4" fontId="31" fillId="21" borderId="16" applyNumberFormat="0" applyProtection="0">
      <alignment horizontal="left" vertical="center" indent="1"/>
    </xf>
    <xf numFmtId="0" fontId="31" fillId="21" borderId="16" applyNumberFormat="0" applyProtection="0">
      <alignment horizontal="left" vertical="top" indent="1"/>
    </xf>
    <xf numFmtId="4" fontId="31" fillId="22" borderId="18" applyNumberFormat="0" applyProtection="0">
      <alignment horizontal="right" vertical="center"/>
    </xf>
    <xf numFmtId="4" fontId="35" fillId="16" borderId="16" applyNumberFormat="0" applyProtection="0">
      <alignment horizontal="right" vertical="center"/>
    </xf>
    <xf numFmtId="4" fontId="31" fillId="18" borderId="16" applyNumberFormat="0" applyProtection="0">
      <alignment horizontal="left" vertical="center" indent="1"/>
    </xf>
    <xf numFmtId="0" fontId="31" fillId="5" borderId="16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6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19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4" fillId="0" borderId="0"/>
    <xf numFmtId="0" fontId="28" fillId="0" borderId="22" applyNumberFormat="0" applyAlignment="0" applyProtection="0">
      <alignment horizontal="left" vertical="center"/>
    </xf>
    <xf numFmtId="0" fontId="28" fillId="0" borderId="21">
      <alignment horizontal="left" vertical="center"/>
    </xf>
    <xf numFmtId="10" fontId="25" fillId="21" borderId="20" applyNumberFormat="0" applyBorder="0" applyAlignment="0" applyProtection="0"/>
    <xf numFmtId="180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1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5" fillId="25" borderId="0" applyNumberFormat="0" applyProtection="0">
      <alignment horizontal="left"/>
    </xf>
    <xf numFmtId="0" fontId="41" fillId="0" borderId="20">
      <alignment horizontal="center" vertical="center" wrapText="1"/>
    </xf>
    <xf numFmtId="164" fontId="47" fillId="0" borderId="0"/>
    <xf numFmtId="0" fontId="48" fillId="0" borderId="0"/>
    <xf numFmtId="9" fontId="47" fillId="0" borderId="0" applyFont="0" applyFill="0" applyBorder="0" applyAlignment="0" applyProtection="0"/>
    <xf numFmtId="164" fontId="6" fillId="0" borderId="0"/>
    <xf numFmtId="0" fontId="49" fillId="3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1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39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40" borderId="0" applyNumberFormat="0" applyBorder="0" applyAlignment="0" applyProtection="0"/>
    <xf numFmtId="0" fontId="49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3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49" borderId="2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41" fillId="50" borderId="0" applyNumberFormat="0" applyBorder="0" applyAlignment="0" applyProtection="0"/>
    <xf numFmtId="183" fontId="31" fillId="0" borderId="0" applyFill="0" applyBorder="0" applyAlignment="0"/>
    <xf numFmtId="0" fontId="53" fillId="51" borderId="26" applyNumberFormat="0" applyAlignment="0" applyProtection="0"/>
    <xf numFmtId="0" fontId="53" fillId="51" borderId="26" applyNumberFormat="0" applyAlignment="0" applyProtection="0"/>
    <xf numFmtId="0" fontId="53" fillId="51" borderId="26" applyNumberFormat="0" applyAlignment="0" applyProtection="0"/>
    <xf numFmtId="0" fontId="53" fillId="51" borderId="26" applyNumberFormat="0" applyAlignment="0" applyProtection="0"/>
    <xf numFmtId="0" fontId="53" fillId="51" borderId="26" applyNumberFormat="0" applyAlignment="0" applyProtection="0"/>
    <xf numFmtId="0" fontId="54" fillId="0" borderId="0"/>
    <xf numFmtId="0" fontId="55" fillId="52" borderId="27" applyNumberFormat="0" applyAlignment="0" applyProtection="0"/>
    <xf numFmtId="0" fontId="55" fillId="52" borderId="27" applyNumberFormat="0" applyAlignment="0" applyProtection="0"/>
    <xf numFmtId="0" fontId="55" fillId="52" borderId="27" applyNumberFormat="0" applyAlignment="0" applyProtection="0"/>
    <xf numFmtId="0" fontId="55" fillId="52" borderId="27" applyNumberFormat="0" applyAlignment="0" applyProtection="0"/>
    <xf numFmtId="0" fontId="55" fillId="52" borderId="27" applyNumberFormat="0" applyAlignment="0" applyProtection="0"/>
    <xf numFmtId="0" fontId="4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" fontId="56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0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61" fillId="0" borderId="0"/>
    <xf numFmtId="0" fontId="61" fillId="0" borderId="28"/>
    <xf numFmtId="0" fontId="60" fillId="0" borderId="0"/>
    <xf numFmtId="0" fontId="60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4" fontId="12" fillId="0" borderId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3" fontId="12" fillId="0" borderId="0">
      <protection locked="0"/>
    </xf>
    <xf numFmtId="173" fontId="12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25" fillId="21" borderId="20" applyNumberFormat="0" applyBorder="0" applyAlignment="0" applyProtection="0"/>
    <xf numFmtId="10" fontId="25" fillId="21" borderId="20" applyNumberFormat="0" applyBorder="0" applyAlignment="0" applyProtection="0"/>
    <xf numFmtId="0" fontId="67" fillId="0" borderId="0" applyNumberFormat="0" applyFill="0" applyBorder="0" applyAlignment="0">
      <protection locked="0"/>
    </xf>
    <xf numFmtId="0" fontId="67" fillId="0" borderId="0" applyNumberFormat="0" applyFill="0" applyBorder="0" applyAlignment="0">
      <protection locked="0"/>
    </xf>
    <xf numFmtId="38" fontId="68" fillId="0" borderId="0">
      <alignment horizontal="left" wrapText="1"/>
    </xf>
    <xf numFmtId="38" fontId="69" fillId="0" borderId="0">
      <alignment horizontal="left" wrapText="1"/>
    </xf>
    <xf numFmtId="0" fontId="70" fillId="53" borderId="28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54" borderId="0"/>
    <xf numFmtId="0" fontId="72" fillId="55" borderId="0"/>
    <xf numFmtId="0" fontId="41" fillId="56" borderId="7" applyBorder="0"/>
    <xf numFmtId="0" fontId="12" fillId="57" borderId="8" applyNumberFormat="0" applyFont="0" applyBorder="0" applyAlignment="0" applyProtection="0"/>
    <xf numFmtId="185" fontId="12" fillId="0" borderId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37" fontId="74" fillId="0" borderId="0" applyNumberFormat="0" applyFill="0" applyBorder="0"/>
    <xf numFmtId="0" fontId="25" fillId="0" borderId="14" applyNumberFormat="0" applyBorder="0" applyAlignment="0"/>
    <xf numFmtId="0" fontId="25" fillId="0" borderId="14" applyNumberFormat="0" applyBorder="0" applyAlignment="0"/>
    <xf numFmtId="0" fontId="25" fillId="0" borderId="14" applyNumberFormat="0" applyBorder="0" applyAlignment="0"/>
    <xf numFmtId="180" fontId="12" fillId="0" borderId="0"/>
    <xf numFmtId="18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0" fillId="0" borderId="0"/>
    <xf numFmtId="0" fontId="12" fillId="58" borderId="31" applyNumberFormat="0" applyFont="0" applyAlignment="0" applyProtection="0"/>
    <xf numFmtId="0" fontId="21" fillId="26" borderId="25" applyNumberFormat="0" applyFont="0" applyAlignment="0" applyProtection="0"/>
    <xf numFmtId="0" fontId="21" fillId="26" borderId="25" applyNumberFormat="0" applyFont="0" applyAlignment="0" applyProtection="0"/>
    <xf numFmtId="0" fontId="21" fillId="26" borderId="25" applyNumberFormat="0" applyFont="0" applyAlignment="0" applyProtection="0"/>
    <xf numFmtId="0" fontId="12" fillId="58" borderId="31" applyNumberFormat="0" applyFont="0" applyAlignment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0" fontId="77" fillId="51" borderId="32" applyNumberFormat="0" applyAlignment="0" applyProtection="0"/>
    <xf numFmtId="0" fontId="77" fillId="51" borderId="32" applyNumberFormat="0" applyAlignment="0" applyProtection="0"/>
    <xf numFmtId="0" fontId="77" fillId="51" borderId="32" applyNumberFormat="0" applyAlignment="0" applyProtection="0"/>
    <xf numFmtId="0" fontId="77" fillId="51" borderId="32" applyNumberFormat="0" applyAlignment="0" applyProtection="0"/>
    <xf numFmtId="0" fontId="77" fillId="51" borderId="32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60" fillId="0" borderId="0"/>
    <xf numFmtId="0" fontId="60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/>
    <xf numFmtId="0" fontId="61" fillId="0" borderId="0"/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80" fillId="59" borderId="0" applyNumberFormat="0" applyProtection="0">
      <alignment horizontal="left" indent="1"/>
    </xf>
    <xf numFmtId="4" fontId="80" fillId="59" borderId="0" applyNumberFormat="0" applyProtection="0">
      <alignment horizontal="left" indent="1"/>
    </xf>
    <xf numFmtId="4" fontId="80" fillId="59" borderId="0" applyNumberFormat="0" applyProtection="0">
      <alignment horizontal="left" indent="1"/>
    </xf>
    <xf numFmtId="4" fontId="80" fillId="59" borderId="0" applyNumberFormat="0" applyProtection="0">
      <alignment horizontal="left" indent="1"/>
    </xf>
    <xf numFmtId="4" fontId="80" fillId="59" borderId="0" applyNumberFormat="0" applyProtection="0">
      <alignment horizontal="left" indent="1"/>
    </xf>
    <xf numFmtId="4" fontId="80" fillId="59" borderId="0" applyNumberFormat="0" applyProtection="0">
      <alignment horizontal="left" indent="1"/>
    </xf>
    <xf numFmtId="4" fontId="80" fillId="59" borderId="0" applyNumberFormat="0" applyProtection="0">
      <alignment horizontal="left" indent="1"/>
    </xf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37" fontId="26" fillId="61" borderId="0" applyNumberFormat="0" applyFont="0" applyBorder="0" applyAlignment="0" applyProtection="0"/>
    <xf numFmtId="0" fontId="81" fillId="0" borderId="0" applyNumberFormat="0" applyFill="0" applyBorder="0" applyAlignment="0" applyProtection="0"/>
    <xf numFmtId="169" fontId="12" fillId="0" borderId="23">
      <alignment horizontal="justify" vertical="top" wrapText="1"/>
    </xf>
    <xf numFmtId="169" fontId="12" fillId="0" borderId="23">
      <alignment horizontal="justify" vertical="top" wrapText="1"/>
    </xf>
    <xf numFmtId="169" fontId="12" fillId="0" borderId="23">
      <alignment horizontal="justify" vertical="top" wrapText="1"/>
    </xf>
    <xf numFmtId="0" fontId="82" fillId="62" borderId="33"/>
    <xf numFmtId="187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83" fillId="63" borderId="34" applyProtection="0">
      <alignment horizontal="right"/>
    </xf>
    <xf numFmtId="0" fontId="83" fillId="0" borderId="0" applyNumberFormat="0" applyFill="0" applyBorder="0" applyProtection="0">
      <alignment horizontal="left"/>
    </xf>
    <xf numFmtId="188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61" fillId="0" borderId="28"/>
    <xf numFmtId="38" fontId="12" fillId="0" borderId="0">
      <alignment horizontal="left" wrapText="1"/>
    </xf>
    <xf numFmtId="0" fontId="84" fillId="64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2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0" fillId="0" borderId="12"/>
    <xf numFmtId="0" fontId="70" fillId="0" borderId="35"/>
    <xf numFmtId="0" fontId="70" fillId="0" borderId="28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60" fillId="0" borderId="2"/>
    <xf numFmtId="38" fontId="31" fillId="0" borderId="24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12" fillId="0" borderId="0"/>
    <xf numFmtId="0" fontId="15" fillId="0" borderId="0"/>
    <xf numFmtId="0" fontId="1" fillId="0" borderId="0"/>
  </cellStyleXfs>
  <cellXfs count="284">
    <xf numFmtId="0" fontId="0" fillId="0" borderId="0" xfId="0"/>
    <xf numFmtId="165" fontId="10" fillId="0" borderId="12" xfId="1" applyNumberFormat="1" applyFont="1" applyFill="1" applyBorder="1"/>
    <xf numFmtId="37" fontId="8" fillId="0" borderId="0" xfId="5" quotePrefix="1" applyNumberFormat="1" applyFont="1" applyAlignment="1">
      <alignment horizontal="center"/>
    </xf>
    <xf numFmtId="172" fontId="6" fillId="0" borderId="0" xfId="1" applyNumberFormat="1" applyFont="1" applyFill="1"/>
    <xf numFmtId="5" fontId="6" fillId="0" borderId="0" xfId="2" applyNumberFormat="1" applyFont="1" applyFill="1"/>
    <xf numFmtId="5" fontId="6" fillId="0" borderId="0" xfId="2" applyNumberFormat="1" applyFont="1" applyFill="1" applyBorder="1"/>
    <xf numFmtId="176" fontId="6" fillId="0" borderId="0" xfId="2" applyNumberFormat="1" applyFont="1" applyFill="1"/>
    <xf numFmtId="5" fontId="6" fillId="0" borderId="11" xfId="2" applyNumberFormat="1" applyFont="1" applyFill="1" applyBorder="1"/>
    <xf numFmtId="166" fontId="10" fillId="0" borderId="0" xfId="6" applyNumberFormat="1" applyFont="1" applyProtection="1">
      <protection locked="0"/>
    </xf>
    <xf numFmtId="164" fontId="8" fillId="0" borderId="0" xfId="5" applyFont="1"/>
    <xf numFmtId="164" fontId="8" fillId="0" borderId="0" xfId="5" applyFont="1" applyAlignment="1">
      <alignment horizontal="centerContinuous"/>
    </xf>
    <xf numFmtId="10" fontId="10" fillId="0" borderId="0" xfId="3" applyNumberFormat="1" applyFont="1" applyFill="1"/>
    <xf numFmtId="10" fontId="10" fillId="0" borderId="0" xfId="3" applyNumberFormat="1" applyFont="1" applyFill="1" applyBorder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1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64" fontId="6" fillId="0" borderId="0" xfId="5"/>
    <xf numFmtId="164" fontId="6" fillId="0" borderId="0" xfId="5" applyAlignment="1">
      <alignment horizontal="centerContinuous"/>
    </xf>
    <xf numFmtId="164" fontId="8" fillId="0" borderId="0" xfId="5" applyFont="1" applyAlignment="1">
      <alignment horizontal="center"/>
    </xf>
    <xf numFmtId="164" fontId="6" fillId="0" borderId="0" xfId="5" applyAlignment="1">
      <alignment horizontal="right"/>
    </xf>
    <xf numFmtId="175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5" fontId="10" fillId="0" borderId="11" xfId="2" applyNumberFormat="1" applyFont="1" applyFill="1" applyBorder="1"/>
    <xf numFmtId="164" fontId="10" fillId="0" borderId="0" xfId="5" applyFont="1"/>
    <xf numFmtId="5" fontId="10" fillId="0" borderId="0" xfId="2" applyNumberFormat="1" applyFont="1" applyFill="1"/>
    <xf numFmtId="166" fontId="10" fillId="0" borderId="0" xfId="2" applyNumberFormat="1" applyFont="1" applyFill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6" fontId="6" fillId="0" borderId="0" xfId="2" applyNumberFormat="1" applyFont="1" applyFill="1"/>
    <xf numFmtId="172" fontId="6" fillId="0" borderId="0" xfId="1" applyNumberFormat="1" applyFont="1" applyFill="1" applyBorder="1"/>
    <xf numFmtId="166" fontId="6" fillId="0" borderId="0" xfId="2" applyNumberFormat="1" applyFont="1" applyFill="1" applyBorder="1"/>
    <xf numFmtId="172" fontId="6" fillId="0" borderId="11" xfId="1" applyNumberFormat="1" applyFont="1" applyFill="1" applyBorder="1"/>
    <xf numFmtId="166" fontId="6" fillId="0" borderId="11" xfId="2" applyNumberFormat="1" applyFont="1" applyFill="1" applyBorder="1"/>
    <xf numFmtId="7" fontId="6" fillId="0" borderId="0" xfId="2" applyNumberFormat="1" applyFont="1" applyFill="1"/>
    <xf numFmtId="5" fontId="10" fillId="0" borderId="0" xfId="2" applyNumberFormat="1" applyFont="1" applyFill="1" applyBorder="1"/>
    <xf numFmtId="5" fontId="14" fillId="0" borderId="0" xfId="2" applyNumberFormat="1" applyFont="1" applyFill="1" applyBorder="1"/>
    <xf numFmtId="10" fontId="14" fillId="0" borderId="0" xfId="2" applyNumberFormat="1" applyFont="1" applyFill="1" applyBorder="1"/>
    <xf numFmtId="0" fontId="11" fillId="0" borderId="21" xfId="6" applyFont="1" applyBorder="1" applyAlignment="1" applyProtection="1">
      <alignment horizontal="centerContinuous"/>
      <protection locked="0"/>
    </xf>
    <xf numFmtId="164" fontId="46" fillId="0" borderId="0" xfId="5" applyFont="1"/>
    <xf numFmtId="10" fontId="6" fillId="0" borderId="0" xfId="5" applyNumberFormat="1"/>
    <xf numFmtId="5" fontId="6" fillId="0" borderId="0" xfId="5" applyNumberFormat="1"/>
    <xf numFmtId="5" fontId="10" fillId="0" borderId="0" xfId="5" applyNumberFormat="1" applyFont="1"/>
    <xf numFmtId="5" fontId="10" fillId="0" borderId="12" xfId="1" applyNumberFormat="1" applyFont="1" applyFill="1" applyBorder="1"/>
    <xf numFmtId="166" fontId="14" fillId="0" borderId="0" xfId="2" applyNumberFormat="1" applyFont="1" applyFill="1" applyBorder="1"/>
    <xf numFmtId="6" fontId="14" fillId="0" borderId="0" xfId="2" applyNumberFormat="1" applyFont="1" applyFill="1" applyBorder="1"/>
    <xf numFmtId="3" fontId="87" fillId="0" borderId="0" xfId="0" applyNumberFormat="1" applyFont="1" applyAlignment="1">
      <alignment horizontal="centerContinuous"/>
    </xf>
    <xf numFmtId="7" fontId="10" fillId="0" borderId="12" xfId="1" applyNumberFormat="1" applyFont="1" applyFill="1" applyBorder="1"/>
    <xf numFmtId="37" fontId="10" fillId="0" borderId="0" xfId="1" applyNumberFormat="1" applyFont="1" applyFill="1"/>
    <xf numFmtId="37" fontId="10" fillId="0" borderId="11" xfId="1" applyNumberFormat="1" applyFont="1" applyFill="1" applyBorder="1"/>
    <xf numFmtId="5" fontId="14" fillId="0" borderId="0" xfId="2" applyNumberFormat="1" applyFont="1" applyFill="1"/>
    <xf numFmtId="2" fontId="6" fillId="0" borderId="0" xfId="5" applyNumberFormat="1"/>
    <xf numFmtId="0" fontId="58" fillId="0" borderId="0" xfId="0" applyFont="1"/>
    <xf numFmtId="0" fontId="58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43" fillId="0" borderId="0" xfId="0" applyFont="1"/>
    <xf numFmtId="0" fontId="43" fillId="0" borderId="0" xfId="0" applyFont="1" applyAlignment="1">
      <alignment horizontal="center"/>
    </xf>
    <xf numFmtId="172" fontId="42" fillId="0" borderId="0" xfId="1" applyNumberFormat="1" applyFont="1" applyFill="1" applyBorder="1"/>
    <xf numFmtId="172" fontId="58" fillId="0" borderId="0" xfId="1" applyNumberFormat="1" applyFont="1" applyFill="1" applyBorder="1"/>
    <xf numFmtId="172" fontId="58" fillId="0" borderId="0" xfId="0" applyNumberFormat="1" applyFont="1"/>
    <xf numFmtId="0" fontId="11" fillId="0" borderId="0" xfId="1082" applyFont="1" applyAlignment="1" applyProtection="1">
      <alignment horizontal="centerContinuous"/>
      <protection locked="0"/>
    </xf>
    <xf numFmtId="0" fontId="10" fillId="0" borderId="0" xfId="1082" applyFont="1" applyProtection="1">
      <protection locked="0"/>
    </xf>
    <xf numFmtId="0" fontId="10" fillId="0" borderId="0" xfId="1082" applyFont="1" applyAlignment="1" applyProtection="1">
      <alignment horizontal="center"/>
      <protection locked="0"/>
    </xf>
    <xf numFmtId="0" fontId="11" fillId="0" borderId="37" xfId="1082" applyFont="1" applyBorder="1" applyAlignment="1" applyProtection="1">
      <alignment horizontal="centerContinuous"/>
      <protection locked="0"/>
    </xf>
    <xf numFmtId="0" fontId="10" fillId="0" borderId="37" xfId="1082" applyFont="1" applyBorder="1" applyAlignment="1" applyProtection="1">
      <alignment horizontal="centerContinuous"/>
      <protection locked="0"/>
    </xf>
    <xf numFmtId="0" fontId="11" fillId="0" borderId="0" xfId="1082" applyFont="1" applyAlignment="1" applyProtection="1">
      <alignment horizontal="center"/>
      <protection locked="0"/>
    </xf>
    <xf numFmtId="0" fontId="11" fillId="0" borderId="0" xfId="1082" applyFont="1" applyAlignment="1" applyProtection="1">
      <alignment horizontal="left"/>
      <protection locked="0"/>
    </xf>
    <xf numFmtId="0" fontId="11" fillId="0" borderId="37" xfId="1082" applyFont="1" applyBorder="1" applyAlignment="1" applyProtection="1">
      <alignment horizontal="center"/>
      <protection locked="0"/>
    </xf>
    <xf numFmtId="0" fontId="10" fillId="0" borderId="37" xfId="1082" applyFont="1" applyBorder="1" applyAlignment="1" applyProtection="1">
      <alignment horizontal="center"/>
      <protection locked="0"/>
    </xf>
    <xf numFmtId="6" fontId="10" fillId="0" borderId="0" xfId="1082" applyNumberFormat="1" applyFont="1" applyProtection="1">
      <protection locked="0"/>
    </xf>
    <xf numFmtId="166" fontId="10" fillId="0" borderId="0" xfId="1082" applyNumberFormat="1" applyFont="1" applyProtection="1">
      <protection locked="0"/>
    </xf>
    <xf numFmtId="10" fontId="10" fillId="0" borderId="0" xfId="1082" applyNumberFormat="1" applyFont="1" applyProtection="1">
      <protection locked="0"/>
    </xf>
    <xf numFmtId="8" fontId="10" fillId="0" borderId="0" xfId="1082" applyNumberFormat="1" applyFont="1" applyProtection="1">
      <protection locked="0"/>
    </xf>
    <xf numFmtId="0" fontId="10" fillId="0" borderId="37" xfId="1082" applyFont="1" applyBorder="1" applyProtection="1">
      <protection locked="0"/>
    </xf>
    <xf numFmtId="6" fontId="10" fillId="0" borderId="37" xfId="1082" applyNumberFormat="1" applyFont="1" applyBorder="1" applyProtection="1">
      <protection locked="0"/>
    </xf>
    <xf numFmtId="166" fontId="10" fillId="0" borderId="37" xfId="1082" applyNumberFormat="1" applyFont="1" applyBorder="1" applyProtection="1">
      <protection locked="0"/>
    </xf>
    <xf numFmtId="0" fontId="11" fillId="0" borderId="36" xfId="1082" applyFont="1" applyBorder="1" applyProtection="1">
      <protection locked="0"/>
    </xf>
    <xf numFmtId="0" fontId="10" fillId="0" borderId="36" xfId="1082" applyFont="1" applyBorder="1" applyProtection="1">
      <protection locked="0"/>
    </xf>
    <xf numFmtId="6" fontId="10" fillId="0" borderId="36" xfId="1082" applyNumberFormat="1" applyFont="1" applyBorder="1" applyProtection="1">
      <protection locked="0"/>
    </xf>
    <xf numFmtId="10" fontId="10" fillId="0" borderId="36" xfId="1082" applyNumberFormat="1" applyFont="1" applyBorder="1" applyProtection="1">
      <protection locked="0"/>
    </xf>
    <xf numFmtId="0" fontId="11" fillId="0" borderId="39" xfId="1082" applyFont="1" applyBorder="1" applyProtection="1">
      <protection locked="0"/>
    </xf>
    <xf numFmtId="0" fontId="10" fillId="0" borderId="39" xfId="1082" applyFont="1" applyBorder="1" applyProtection="1">
      <protection locked="0"/>
    </xf>
    <xf numFmtId="6" fontId="10" fillId="0" borderId="39" xfId="1082" applyNumberFormat="1" applyFont="1" applyBorder="1" applyProtection="1">
      <protection locked="0"/>
    </xf>
    <xf numFmtId="166" fontId="10" fillId="0" borderId="39" xfId="1082" applyNumberFormat="1" applyFont="1" applyBorder="1" applyProtection="1">
      <protection locked="0"/>
    </xf>
    <xf numFmtId="0" fontId="0" fillId="0" borderId="0" xfId="1082" applyFont="1" applyProtection="1">
      <protection locked="0"/>
    </xf>
    <xf numFmtId="0" fontId="6" fillId="0" borderId="0" xfId="7"/>
    <xf numFmtId="164" fontId="11" fillId="0" borderId="0" xfId="5" applyFont="1" applyAlignment="1">
      <alignment horizontal="centerContinuous"/>
    </xf>
    <xf numFmtId="164" fontId="8" fillId="0" borderId="37" xfId="5" applyFont="1" applyBorder="1" applyAlignment="1">
      <alignment horizontal="centerContinuous"/>
    </xf>
    <xf numFmtId="15" fontId="58" fillId="0" borderId="0" xfId="0" quotePrefix="1" applyNumberFormat="1" applyFont="1"/>
    <xf numFmtId="0" fontId="91" fillId="0" borderId="0" xfId="0" applyFont="1"/>
    <xf numFmtId="0" fontId="58" fillId="0" borderId="0" xfId="0" applyFont="1" applyAlignment="1">
      <alignment horizontal="left" indent="1"/>
    </xf>
    <xf numFmtId="176" fontId="12" fillId="0" borderId="0" xfId="2" applyNumberFormat="1" applyFont="1" applyFill="1"/>
    <xf numFmtId="172" fontId="58" fillId="0" borderId="37" xfId="1" applyNumberFormat="1" applyFont="1" applyFill="1" applyBorder="1"/>
    <xf numFmtId="172" fontId="58" fillId="0" borderId="0" xfId="1" applyNumberFormat="1" applyFont="1" applyFill="1"/>
    <xf numFmtId="176" fontId="43" fillId="0" borderId="40" xfId="2" applyNumberFormat="1" applyFont="1" applyFill="1" applyBorder="1"/>
    <xf numFmtId="44" fontId="58" fillId="0" borderId="0" xfId="0" applyNumberFormat="1" applyFont="1"/>
    <xf numFmtId="43" fontId="0" fillId="0" borderId="0" xfId="1" applyFont="1"/>
    <xf numFmtId="43" fontId="58" fillId="0" borderId="0" xfId="1" applyFont="1" applyFill="1" applyBorder="1"/>
    <xf numFmtId="10" fontId="6" fillId="0" borderId="10" xfId="3" applyNumberFormat="1" applyFont="1" applyFill="1" applyBorder="1"/>
    <xf numFmtId="10" fontId="14" fillId="0" borderId="0" xfId="3" applyNumberFormat="1" applyFont="1" applyFill="1" applyBorder="1"/>
    <xf numFmtId="10" fontId="6" fillId="0" borderId="0" xfId="3" applyNumberFormat="1" applyFont="1" applyFill="1" applyBorder="1"/>
    <xf numFmtId="6" fontId="6" fillId="0" borderId="0" xfId="3" applyNumberFormat="1" applyFont="1" applyFill="1" applyAlignment="1">
      <alignment horizontal="right"/>
    </xf>
    <xf numFmtId="10" fontId="10" fillId="0" borderId="37" xfId="3" applyNumberFormat="1" applyFont="1" applyFill="1" applyBorder="1"/>
    <xf numFmtId="10" fontId="6" fillId="0" borderId="10" xfId="3" applyNumberFormat="1" applyFont="1" applyFill="1" applyBorder="1" applyAlignment="1">
      <alignment horizontal="right"/>
    </xf>
    <xf numFmtId="166" fontId="6" fillId="0" borderId="0" xfId="5" applyNumberFormat="1" applyAlignment="1">
      <alignment horizontal="centerContinuous"/>
    </xf>
    <xf numFmtId="166" fontId="8" fillId="0" borderId="0" xfId="5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164" fontId="8" fillId="0" borderId="0" xfId="5" applyFont="1" applyAlignment="1">
      <alignment horizontal="left"/>
    </xf>
    <xf numFmtId="166" fontId="6" fillId="0" borderId="0" xfId="5" applyNumberFormat="1"/>
    <xf numFmtId="166" fontId="8" fillId="0" borderId="37" xfId="5" applyNumberFormat="1" applyFont="1" applyBorder="1" applyAlignment="1">
      <alignment horizontal="centerContinuous"/>
    </xf>
    <xf numFmtId="164" fontId="8" fillId="0" borderId="37" xfId="5" applyFont="1" applyBorder="1" applyAlignment="1">
      <alignment horizontal="center"/>
    </xf>
    <xf numFmtId="164" fontId="8" fillId="0" borderId="37" xfId="5" quotePrefix="1" applyFont="1" applyBorder="1" applyAlignment="1">
      <alignment horizontal="center"/>
    </xf>
    <xf numFmtId="166" fontId="8" fillId="0" borderId="37" xfId="5" applyNumberFormat="1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164" fontId="6" fillId="0" borderId="37" xfId="5" applyBorder="1" applyAlignment="1">
      <alignment horizontal="right"/>
    </xf>
    <xf numFmtId="5" fontId="6" fillId="0" borderId="37" xfId="2" applyNumberFormat="1" applyFont="1" applyFill="1" applyBorder="1"/>
    <xf numFmtId="166" fontId="6" fillId="0" borderId="37" xfId="2" applyNumberFormat="1" applyFont="1" applyFill="1" applyBorder="1"/>
    <xf numFmtId="164" fontId="6" fillId="0" borderId="0" xfId="5" applyAlignment="1">
      <alignment horizontal="center"/>
    </xf>
    <xf numFmtId="172" fontId="6" fillId="0" borderId="37" xfId="1" applyNumberFormat="1" applyFont="1" applyFill="1" applyBorder="1"/>
    <xf numFmtId="3" fontId="6" fillId="0" borderId="0" xfId="5" applyNumberFormat="1"/>
    <xf numFmtId="176" fontId="6" fillId="0" borderId="0" xfId="5" applyNumberFormat="1"/>
    <xf numFmtId="172" fontId="6" fillId="0" borderId="37" xfId="1" applyNumberFormat="1" applyFont="1" applyFill="1" applyBorder="1" applyAlignment="1">
      <alignment horizontal="right"/>
    </xf>
    <xf numFmtId="9" fontId="6" fillId="0" borderId="0" xfId="5" applyNumberFormat="1" applyAlignment="1">
      <alignment horizontal="center"/>
    </xf>
    <xf numFmtId="0" fontId="6" fillId="0" borderId="0" xfId="5" applyNumberFormat="1"/>
    <xf numFmtId="164" fontId="10" fillId="0" borderId="0" xfId="5" applyFont="1" applyAlignment="1">
      <alignment horizontal="centerContinuous"/>
    </xf>
    <xf numFmtId="164" fontId="8" fillId="0" borderId="21" xfId="5" quotePrefix="1" applyFont="1" applyBorder="1" applyAlignment="1">
      <alignment horizontal="center"/>
    </xf>
    <xf numFmtId="164" fontId="8" fillId="0" borderId="21" xfId="5" quotePrefix="1" applyFont="1" applyBorder="1" applyAlignment="1">
      <alignment horizontal="centerContinuous"/>
    </xf>
    <xf numFmtId="164" fontId="8" fillId="0" borderId="37" xfId="5" applyFont="1" applyBorder="1"/>
    <xf numFmtId="164" fontId="11" fillId="0" borderId="37" xfId="5" quotePrefix="1" applyFont="1" applyBorder="1" applyAlignment="1">
      <alignment horizontal="center"/>
    </xf>
    <xf numFmtId="164" fontId="11" fillId="0" borderId="0" xfId="5" quotePrefix="1" applyFont="1" applyAlignment="1">
      <alignment horizontal="center"/>
    </xf>
    <xf numFmtId="0" fontId="10" fillId="0" borderId="37" xfId="6" applyFont="1" applyBorder="1" applyAlignment="1" applyProtection="1">
      <alignment horizontal="center"/>
      <protection locked="0"/>
    </xf>
    <xf numFmtId="164" fontId="11" fillId="0" borderId="0" xfId="5" applyFont="1" applyAlignment="1">
      <alignment horizontal="center"/>
    </xf>
    <xf numFmtId="5" fontId="10" fillId="0" borderId="37" xfId="2" applyNumberFormat="1" applyFont="1" applyFill="1" applyBorder="1"/>
    <xf numFmtId="166" fontId="10" fillId="0" borderId="37" xfId="2" applyNumberFormat="1" applyFont="1" applyFill="1" applyBorder="1"/>
    <xf numFmtId="164" fontId="6" fillId="0" borderId="37" xfId="5" applyBorder="1"/>
    <xf numFmtId="164" fontId="14" fillId="0" borderId="0" xfId="5" applyFont="1"/>
    <xf numFmtId="164" fontId="14" fillId="0" borderId="0" xfId="5" applyFont="1" applyAlignment="1">
      <alignment horizontal="right"/>
    </xf>
    <xf numFmtId="5" fontId="14" fillId="0" borderId="0" xfId="5" applyNumberFormat="1" applyFont="1" applyAlignment="1">
      <alignment horizontal="center"/>
    </xf>
    <xf numFmtId="164" fontId="14" fillId="0" borderId="0" xfId="5" applyFont="1" applyAlignment="1">
      <alignment horizontal="center"/>
    </xf>
    <xf numFmtId="166" fontId="14" fillId="0" borderId="0" xfId="5" applyNumberFormat="1" applyFont="1" applyAlignment="1">
      <alignment horizontal="right"/>
    </xf>
    <xf numFmtId="174" fontId="14" fillId="0" borderId="0" xfId="5" applyNumberFormat="1" applyFont="1"/>
    <xf numFmtId="165" fontId="14" fillId="0" borderId="0" xfId="5" applyNumberFormat="1" applyFont="1"/>
    <xf numFmtId="166" fontId="14" fillId="0" borderId="0" xfId="5" applyNumberFormat="1" applyFont="1"/>
    <xf numFmtId="164" fontId="14" fillId="0" borderId="0" xfId="5" applyFont="1" applyAlignment="1">
      <alignment horizontal="centerContinuous"/>
    </xf>
    <xf numFmtId="193" fontId="14" fillId="0" borderId="0" xfId="5" applyNumberFormat="1" applyFont="1"/>
    <xf numFmtId="164" fontId="7" fillId="0" borderId="0" xfId="4" applyFont="1" applyAlignment="1">
      <alignment horizontal="centerContinuous"/>
    </xf>
    <xf numFmtId="37" fontId="7" fillId="0" borderId="0" xfId="4" applyNumberFormat="1" applyFont="1" applyAlignment="1">
      <alignment horizontal="centerContinuous"/>
    </xf>
    <xf numFmtId="5" fontId="7" fillId="0" borderId="0" xfId="4" applyNumberFormat="1" applyFont="1" applyAlignment="1">
      <alignment horizontal="centerContinuous"/>
    </xf>
    <xf numFmtId="164" fontId="10" fillId="0" borderId="0" xfId="4" applyFont="1" applyAlignment="1">
      <alignment horizontal="centerContinuous"/>
    </xf>
    <xf numFmtId="10" fontId="7" fillId="0" borderId="0" xfId="4" applyNumberFormat="1" applyFont="1" applyAlignment="1">
      <alignment horizontal="centerContinuous"/>
    </xf>
    <xf numFmtId="5" fontId="10" fillId="0" borderId="0" xfId="4" applyNumberFormat="1" applyFont="1" applyAlignment="1">
      <alignment horizontal="centerContinuous"/>
    </xf>
    <xf numFmtId="164" fontId="10" fillId="0" borderId="0" xfId="4" applyFont="1"/>
    <xf numFmtId="164" fontId="6" fillId="0" borderId="0" xfId="4"/>
    <xf numFmtId="37" fontId="10" fillId="0" borderId="0" xfId="4" applyNumberFormat="1" applyFont="1"/>
    <xf numFmtId="5" fontId="10" fillId="0" borderId="0" xfId="4" applyNumberFormat="1" applyFont="1"/>
    <xf numFmtId="37" fontId="11" fillId="0" borderId="0" xfId="4" applyNumberFormat="1" applyFont="1" applyAlignment="1">
      <alignment horizontal="center"/>
    </xf>
    <xf numFmtId="164" fontId="11" fillId="0" borderId="0" xfId="4" applyFont="1" applyAlignment="1">
      <alignment horizontal="center"/>
    </xf>
    <xf numFmtId="10" fontId="11" fillId="0" borderId="37" xfId="4" applyNumberFormat="1" applyFont="1" applyBorder="1" applyAlignment="1">
      <alignment horizontal="centerContinuous"/>
    </xf>
    <xf numFmtId="164" fontId="11" fillId="0" borderId="37" xfId="4" applyFont="1" applyBorder="1" applyAlignment="1">
      <alignment horizontal="centerContinuous"/>
    </xf>
    <xf numFmtId="5" fontId="11" fillId="0" borderId="37" xfId="4" applyNumberFormat="1" applyFont="1" applyBorder="1" applyAlignment="1">
      <alignment horizontal="centerContinuous"/>
    </xf>
    <xf numFmtId="37" fontId="11" fillId="0" borderId="37" xfId="4" quotePrefix="1" applyNumberFormat="1" applyFont="1" applyBorder="1" applyAlignment="1">
      <alignment horizontal="center"/>
    </xf>
    <xf numFmtId="164" fontId="11" fillId="0" borderId="2" xfId="4" quotePrefix="1" applyFont="1" applyBorder="1" applyAlignment="1">
      <alignment horizontal="center"/>
    </xf>
    <xf numFmtId="164" fontId="11" fillId="0" borderId="2" xfId="4" applyFont="1" applyBorder="1" applyAlignment="1">
      <alignment horizontal="center"/>
    </xf>
    <xf numFmtId="10" fontId="11" fillId="0" borderId="2" xfId="4" applyNumberFormat="1" applyFont="1" applyBorder="1" applyAlignment="1">
      <alignment horizontal="center"/>
    </xf>
    <xf numFmtId="164" fontId="11" fillId="0" borderId="0" xfId="4" applyFont="1" applyAlignment="1">
      <alignment horizontal="left"/>
    </xf>
    <xf numFmtId="10" fontId="10" fillId="0" borderId="0" xfId="4" applyNumberFormat="1" applyFont="1"/>
    <xf numFmtId="10" fontId="10" fillId="0" borderId="3" xfId="4" applyNumberFormat="1" applyFont="1" applyBorder="1" applyAlignment="1">
      <alignment horizontal="right"/>
    </xf>
    <xf numFmtId="164" fontId="14" fillId="0" borderId="4" xfId="4" applyFont="1" applyBorder="1"/>
    <xf numFmtId="164" fontId="10" fillId="0" borderId="0" xfId="4" applyFont="1" applyAlignment="1">
      <alignment horizontal="left"/>
    </xf>
    <xf numFmtId="7" fontId="10" fillId="0" borderId="0" xfId="4" applyNumberFormat="1" applyFont="1" applyProtection="1">
      <protection locked="0"/>
    </xf>
    <xf numFmtId="5" fontId="6" fillId="0" borderId="0" xfId="4" applyNumberFormat="1"/>
    <xf numFmtId="7" fontId="14" fillId="0" borderId="0" xfId="4" applyNumberFormat="1" applyFont="1" applyProtection="1">
      <protection locked="0"/>
    </xf>
    <xf numFmtId="10" fontId="10" fillId="0" borderId="0" xfId="4" applyNumberFormat="1" applyFont="1" applyProtection="1">
      <protection locked="0"/>
    </xf>
    <xf numFmtId="164" fontId="10" fillId="0" borderId="3" xfId="4" applyFont="1" applyBorder="1"/>
    <xf numFmtId="164" fontId="6" fillId="0" borderId="4" xfId="4" applyBorder="1"/>
    <xf numFmtId="164" fontId="10" fillId="0" borderId="8" xfId="4" applyFont="1" applyBorder="1"/>
    <xf numFmtId="5" fontId="6" fillId="0" borderId="7" xfId="4" applyNumberFormat="1" applyBorder="1"/>
    <xf numFmtId="164" fontId="39" fillId="0" borderId="9" xfId="4" applyFont="1" applyBorder="1"/>
    <xf numFmtId="5" fontId="6" fillId="0" borderId="10" xfId="4" applyNumberFormat="1" applyBorder="1"/>
    <xf numFmtId="0" fontId="10" fillId="0" borderId="0" xfId="0" applyFont="1"/>
    <xf numFmtId="164" fontId="10" fillId="0" borderId="9" xfId="4" applyFont="1" applyBorder="1"/>
    <xf numFmtId="170" fontId="10" fillId="0" borderId="0" xfId="4" applyNumberFormat="1" applyFont="1" applyProtection="1">
      <protection locked="0"/>
    </xf>
    <xf numFmtId="5" fontId="40" fillId="0" borderId="0" xfId="4" applyNumberFormat="1" applyFont="1"/>
    <xf numFmtId="167" fontId="10" fillId="0" borderId="0" xfId="4" applyNumberFormat="1" applyFont="1" applyProtection="1">
      <protection locked="0"/>
    </xf>
    <xf numFmtId="164" fontId="40" fillId="0" borderId="0" xfId="4" applyFont="1"/>
    <xf numFmtId="168" fontId="10" fillId="0" borderId="0" xfId="4" applyNumberFormat="1" applyFont="1" applyProtection="1">
      <protection locked="0"/>
    </xf>
    <xf numFmtId="164" fontId="10" fillId="0" borderId="0" xfId="216" applyFont="1" applyAlignment="1">
      <alignment horizontal="left"/>
    </xf>
    <xf numFmtId="164" fontId="40" fillId="0" borderId="0" xfId="216" applyFont="1"/>
    <xf numFmtId="168" fontId="10" fillId="0" borderId="0" xfId="216" applyNumberFormat="1" applyFont="1" applyProtection="1">
      <protection locked="0"/>
    </xf>
    <xf numFmtId="0" fontId="10" fillId="0" borderId="0" xfId="576" applyFont="1"/>
    <xf numFmtId="7" fontId="10" fillId="0" borderId="0" xfId="4" applyNumberFormat="1" applyFont="1"/>
    <xf numFmtId="37" fontId="10" fillId="0" borderId="11" xfId="4" applyNumberFormat="1" applyFont="1" applyBorder="1"/>
    <xf numFmtId="164" fontId="10" fillId="0" borderId="11" xfId="4" applyFont="1" applyBorder="1"/>
    <xf numFmtId="5" fontId="10" fillId="0" borderId="11" xfId="4" applyNumberFormat="1" applyFont="1" applyBorder="1"/>
    <xf numFmtId="10" fontId="10" fillId="0" borderId="11" xfId="4" applyNumberFormat="1" applyFont="1" applyBorder="1"/>
    <xf numFmtId="164" fontId="16" fillId="0" borderId="0" xfId="4" applyFont="1"/>
    <xf numFmtId="5" fontId="10" fillId="0" borderId="2" xfId="4" applyNumberFormat="1" applyFont="1" applyBorder="1"/>
    <xf numFmtId="164" fontId="10" fillId="0" borderId="12" xfId="4" applyFont="1" applyBorder="1"/>
    <xf numFmtId="164" fontId="11" fillId="0" borderId="0" xfId="216" applyFont="1" applyAlignment="1">
      <alignment horizontal="left"/>
    </xf>
    <xf numFmtId="164" fontId="10" fillId="0" borderId="0" xfId="216" applyFont="1"/>
    <xf numFmtId="37" fontId="10" fillId="0" borderId="0" xfId="216" applyNumberFormat="1" applyFont="1"/>
    <xf numFmtId="5" fontId="10" fillId="0" borderId="0" xfId="216" applyNumberFormat="1" applyFont="1"/>
    <xf numFmtId="7" fontId="10" fillId="0" borderId="0" xfId="216" applyNumberFormat="1" applyFont="1" applyProtection="1">
      <protection locked="0"/>
    </xf>
    <xf numFmtId="170" fontId="10" fillId="0" borderId="0" xfId="216" applyNumberFormat="1" applyFont="1" applyProtection="1">
      <protection locked="0"/>
    </xf>
    <xf numFmtId="37" fontId="10" fillId="0" borderId="11" xfId="216" applyNumberFormat="1" applyFont="1" applyBorder="1"/>
    <xf numFmtId="5" fontId="10" fillId="0" borderId="12" xfId="4" applyNumberFormat="1" applyFont="1" applyBorder="1"/>
    <xf numFmtId="168" fontId="10" fillId="0" borderId="0" xfId="4" applyNumberFormat="1" applyFont="1"/>
    <xf numFmtId="164" fontId="39" fillId="0" borderId="0" xfId="4" applyFont="1"/>
    <xf numFmtId="10" fontId="10" fillId="0" borderId="12" xfId="4" applyNumberFormat="1" applyFont="1" applyBorder="1"/>
    <xf numFmtId="164" fontId="9" fillId="0" borderId="0" xfId="4" applyFont="1"/>
    <xf numFmtId="7" fontId="10" fillId="0" borderId="5" xfId="4" applyNumberFormat="1" applyFont="1" applyBorder="1" applyProtection="1">
      <protection locked="0"/>
    </xf>
    <xf numFmtId="164" fontId="6" fillId="0" borderId="6" xfId="4" applyBorder="1"/>
    <xf numFmtId="164" fontId="10" fillId="0" borderId="5" xfId="4" applyFont="1" applyBorder="1"/>
    <xf numFmtId="5" fontId="6" fillId="0" borderId="6" xfId="4" applyNumberFormat="1" applyBorder="1"/>
    <xf numFmtId="10" fontId="14" fillId="0" borderId="0" xfId="4" applyNumberFormat="1" applyFont="1" applyProtection="1">
      <protection locked="0"/>
    </xf>
    <xf numFmtId="168" fontId="13" fillId="0" borderId="0" xfId="4" applyNumberFormat="1" applyFont="1" applyAlignment="1">
      <alignment horizontal="right"/>
    </xf>
    <xf numFmtId="10" fontId="13" fillId="0" borderId="0" xfId="4" applyNumberFormat="1" applyFont="1" applyAlignment="1">
      <alignment horizontal="right"/>
    </xf>
    <xf numFmtId="164" fontId="14" fillId="0" borderId="0" xfId="4" applyFont="1" applyAlignment="1">
      <alignment horizontal="left"/>
    </xf>
    <xf numFmtId="37" fontId="10" fillId="0" borderId="12" xfId="4" applyNumberFormat="1" applyFont="1" applyBorder="1"/>
    <xf numFmtId="170" fontId="10" fillId="0" borderId="0" xfId="4" applyNumberFormat="1" applyFont="1"/>
    <xf numFmtId="5" fontId="10" fillId="0" borderId="37" xfId="4" applyNumberFormat="1" applyFont="1" applyBorder="1"/>
    <xf numFmtId="170" fontId="14" fillId="0" borderId="0" xfId="4" applyNumberFormat="1" applyFont="1"/>
    <xf numFmtId="5" fontId="6" fillId="0" borderId="3" xfId="4" applyNumberFormat="1" applyBorder="1"/>
    <xf numFmtId="0" fontId="2" fillId="0" borderId="0" xfId="804"/>
    <xf numFmtId="165" fontId="10" fillId="0" borderId="0" xfId="0" applyNumberFormat="1" applyFont="1"/>
    <xf numFmtId="37" fontId="10" fillId="0" borderId="11" xfId="4" applyNumberFormat="1" applyFont="1" applyBorder="1" applyProtection="1">
      <protection locked="0"/>
    </xf>
    <xf numFmtId="0" fontId="88" fillId="0" borderId="0" xfId="1081" applyFont="1"/>
    <xf numFmtId="37" fontId="88" fillId="0" borderId="0" xfId="1081" applyNumberFormat="1" applyFont="1"/>
    <xf numFmtId="5" fontId="88" fillId="0" borderId="0" xfId="1081" applyNumberFormat="1" applyFont="1"/>
    <xf numFmtId="164" fontId="6" fillId="0" borderId="0" xfId="4" applyAlignment="1">
      <alignment horizontal="right"/>
    </xf>
    <xf numFmtId="173" fontId="13" fillId="0" borderId="0" xfId="4" applyNumberFormat="1" applyFont="1" applyAlignment="1">
      <alignment horizontal="right"/>
    </xf>
    <xf numFmtId="174" fontId="9" fillId="0" borderId="0" xfId="4" applyNumberFormat="1" applyFont="1"/>
    <xf numFmtId="37" fontId="10" fillId="0" borderId="2" xfId="4" applyNumberFormat="1" applyFont="1" applyBorder="1"/>
    <xf numFmtId="0" fontId="9" fillId="0" borderId="0" xfId="0" applyFont="1"/>
    <xf numFmtId="164" fontId="10" fillId="0" borderId="2" xfId="4" applyFont="1" applyBorder="1"/>
    <xf numFmtId="9" fontId="6" fillId="0" borderId="0" xfId="3" applyFont="1" applyFill="1"/>
    <xf numFmtId="9" fontId="6" fillId="0" borderId="0" xfId="4" applyNumberFormat="1"/>
    <xf numFmtId="0" fontId="10" fillId="0" borderId="0" xfId="0" applyFont="1" applyAlignment="1">
      <alignment horizontal="center"/>
    </xf>
    <xf numFmtId="37" fontId="10" fillId="0" borderId="0" xfId="4" applyNumberFormat="1" applyFont="1" applyProtection="1">
      <protection locked="0"/>
    </xf>
    <xf numFmtId="37" fontId="10" fillId="0" borderId="12" xfId="4" applyNumberFormat="1" applyFont="1" applyBorder="1" applyProtection="1">
      <protection locked="0"/>
    </xf>
    <xf numFmtId="164" fontId="89" fillId="0" borderId="0" xfId="4" applyFont="1" applyAlignment="1">
      <alignment horizontal="left"/>
    </xf>
    <xf numFmtId="164" fontId="40" fillId="0" borderId="0" xfId="4" applyFont="1" applyAlignment="1">
      <alignment horizontal="left"/>
    </xf>
    <xf numFmtId="49" fontId="11" fillId="0" borderId="0" xfId="4" applyNumberFormat="1" applyFont="1"/>
    <xf numFmtId="10" fontId="14" fillId="0" borderId="0" xfId="4" applyNumberFormat="1" applyFont="1"/>
    <xf numFmtId="175" fontId="10" fillId="0" borderId="0" xfId="4" applyNumberFormat="1" applyFont="1"/>
    <xf numFmtId="182" fontId="10" fillId="0" borderId="0" xfId="4" applyNumberFormat="1" applyFont="1" applyProtection="1">
      <protection locked="0"/>
    </xf>
    <xf numFmtId="175" fontId="10" fillId="0" borderId="0" xfId="4" applyNumberFormat="1" applyFont="1" applyProtection="1">
      <protection locked="0"/>
    </xf>
    <xf numFmtId="164" fontId="10" fillId="0" borderId="0" xfId="4" applyFont="1" applyAlignment="1">
      <alignment vertical="center"/>
    </xf>
    <xf numFmtId="5" fontId="10" fillId="0" borderId="0" xfId="4" applyNumberFormat="1" applyFont="1" applyProtection="1">
      <protection locked="0"/>
    </xf>
    <xf numFmtId="10" fontId="10" fillId="0" borderId="37" xfId="4" applyNumberFormat="1" applyFont="1" applyBorder="1"/>
    <xf numFmtId="177" fontId="10" fillId="0" borderId="0" xfId="4" applyNumberFormat="1" applyFont="1" applyProtection="1">
      <protection locked="0"/>
    </xf>
    <xf numFmtId="177" fontId="10" fillId="0" borderId="0" xfId="4" applyNumberFormat="1" applyFont="1"/>
    <xf numFmtId="164" fontId="90" fillId="0" borderId="0" xfId="4" applyFont="1" applyAlignment="1">
      <alignment horizontal="left"/>
    </xf>
    <xf numFmtId="37" fontId="10" fillId="0" borderId="2" xfId="4" applyNumberFormat="1" applyFont="1" applyBorder="1" applyProtection="1">
      <protection locked="0"/>
    </xf>
    <xf numFmtId="37" fontId="10" fillId="0" borderId="37" xfId="4" applyNumberFormat="1" applyFont="1" applyBorder="1"/>
    <xf numFmtId="170" fontId="10" fillId="0" borderId="37" xfId="4" applyNumberFormat="1" applyFont="1" applyBorder="1"/>
    <xf numFmtId="0" fontId="7" fillId="0" borderId="38" xfId="0" applyFont="1" applyBorder="1" applyAlignment="1">
      <alignment horizontal="left"/>
    </xf>
    <xf numFmtId="177" fontId="10" fillId="0" borderId="0" xfId="216" applyNumberFormat="1" applyFont="1" applyProtection="1">
      <protection locked="0"/>
    </xf>
    <xf numFmtId="194" fontId="10" fillId="0" borderId="0" xfId="216" applyNumberFormat="1" applyFont="1"/>
    <xf numFmtId="177" fontId="10" fillId="0" borderId="0" xfId="216" applyNumberFormat="1" applyFont="1"/>
    <xf numFmtId="170" fontId="10" fillId="0" borderId="0" xfId="216" applyNumberFormat="1" applyFont="1"/>
    <xf numFmtId="0" fontId="10" fillId="0" borderId="0" xfId="184" applyFont="1"/>
    <xf numFmtId="37" fontId="10" fillId="0" borderId="2" xfId="216" applyNumberFormat="1" applyFont="1" applyBorder="1" applyProtection="1">
      <protection locked="0"/>
    </xf>
    <xf numFmtId="37" fontId="10" fillId="0" borderId="0" xfId="216" applyNumberFormat="1" applyFont="1" applyProtection="1">
      <protection locked="0"/>
    </xf>
    <xf numFmtId="5" fontId="10" fillId="0" borderId="2" xfId="216" applyNumberFormat="1" applyFont="1" applyBorder="1"/>
    <xf numFmtId="164" fontId="90" fillId="0" borderId="0" xfId="216" applyFont="1" applyAlignment="1">
      <alignment horizontal="left"/>
    </xf>
    <xf numFmtId="7" fontId="10" fillId="0" borderId="0" xfId="216" applyNumberFormat="1" applyFont="1"/>
    <xf numFmtId="5" fontId="10" fillId="0" borderId="0" xfId="216" quotePrefix="1" applyNumberFormat="1" applyFont="1"/>
    <xf numFmtId="170" fontId="10" fillId="0" borderId="1" xfId="216" applyNumberFormat="1" applyFont="1" applyBorder="1"/>
    <xf numFmtId="37" fontId="10" fillId="0" borderId="12" xfId="216" applyNumberFormat="1" applyFont="1" applyBorder="1"/>
    <xf numFmtId="5" fontId="10" fillId="0" borderId="12" xfId="216" applyNumberFormat="1" applyFont="1" applyBorder="1"/>
    <xf numFmtId="5" fontId="10" fillId="0" borderId="11" xfId="216" applyNumberFormat="1" applyFont="1" applyBorder="1"/>
    <xf numFmtId="37" fontId="10" fillId="0" borderId="1" xfId="4" applyNumberFormat="1" applyFont="1" applyBorder="1"/>
    <xf numFmtId="168" fontId="10" fillId="0" borderId="12" xfId="4" applyNumberFormat="1" applyFont="1" applyBorder="1"/>
    <xf numFmtId="37" fontId="10" fillId="0" borderId="13" xfId="4" applyNumberFormat="1" applyFont="1" applyBorder="1"/>
    <xf numFmtId="168" fontId="10" fillId="0" borderId="11" xfId="4" applyNumberFormat="1" applyFont="1" applyBorder="1"/>
    <xf numFmtId="170" fontId="10" fillId="0" borderId="1" xfId="4" applyNumberFormat="1" applyFont="1" applyBorder="1"/>
    <xf numFmtId="5" fontId="10" fillId="0" borderId="1" xfId="4" applyNumberFormat="1" applyFont="1" applyBorder="1"/>
    <xf numFmtId="164" fontId="10" fillId="0" borderId="0" xfId="4" applyFont="1" applyAlignment="1">
      <alignment horizontal="right"/>
    </xf>
    <xf numFmtId="9" fontId="10" fillId="0" borderId="0" xfId="4" applyNumberFormat="1" applyFont="1"/>
    <xf numFmtId="195" fontId="58" fillId="0" borderId="0" xfId="0" applyNumberFormat="1" applyFont="1"/>
  </cellXfs>
  <cellStyles count="1083">
    <cellStyle name="20% - Accent1 2" xfId="217"/>
    <cellStyle name="20% - Accent1 3" xfId="218"/>
    <cellStyle name="20% - Accent1 4" xfId="219"/>
    <cellStyle name="20% - Accent1 5" xfId="220"/>
    <cellStyle name="20% - Accent1 6" xfId="221"/>
    <cellStyle name="20% - Accent2 2" xfId="222"/>
    <cellStyle name="20% - Accent2 3" xfId="223"/>
    <cellStyle name="20% - Accent2 4" xfId="224"/>
    <cellStyle name="20% - Accent2 5" xfId="225"/>
    <cellStyle name="20% - Accent2 6" xfId="226"/>
    <cellStyle name="20% - Accent3 2" xfId="227"/>
    <cellStyle name="20% - Accent3 3" xfId="228"/>
    <cellStyle name="20% - Accent3 4" xfId="229"/>
    <cellStyle name="20% - Accent3 5" xfId="230"/>
    <cellStyle name="20% - Accent3 6" xfId="231"/>
    <cellStyle name="20% - Accent4 2" xfId="232"/>
    <cellStyle name="20% - Accent4 3" xfId="233"/>
    <cellStyle name="20% - Accent4 4" xfId="234"/>
    <cellStyle name="20% - Accent4 5" xfId="235"/>
    <cellStyle name="20% - Accent4 6" xfId="236"/>
    <cellStyle name="20% - Accent5 2" xfId="237"/>
    <cellStyle name="20% - Accent5 3" xfId="238"/>
    <cellStyle name="20% - Accent5 4" xfId="239"/>
    <cellStyle name="20% - Accent5 5" xfId="240"/>
    <cellStyle name="20% - Accent5 6" xfId="241"/>
    <cellStyle name="20% - Accent6 2" xfId="242"/>
    <cellStyle name="20% - Accent6 3" xfId="243"/>
    <cellStyle name="20% - Accent6 4" xfId="244"/>
    <cellStyle name="20% - Accent6 5" xfId="245"/>
    <cellStyle name="20% - Accent6 6" xfId="246"/>
    <cellStyle name="40% - Accent1 2" xfId="247"/>
    <cellStyle name="40% - Accent1 3" xfId="248"/>
    <cellStyle name="40% - Accent1 4" xfId="249"/>
    <cellStyle name="40% - Accent1 5" xfId="250"/>
    <cellStyle name="40% - Accent1 6" xfId="251"/>
    <cellStyle name="40% - Accent2 2" xfId="252"/>
    <cellStyle name="40% - Accent2 3" xfId="253"/>
    <cellStyle name="40% - Accent2 4" xfId="254"/>
    <cellStyle name="40% - Accent2 5" xfId="255"/>
    <cellStyle name="40% - Accent2 6" xfId="256"/>
    <cellStyle name="40% - Accent3 2" xfId="257"/>
    <cellStyle name="40% - Accent3 3" xfId="258"/>
    <cellStyle name="40% - Accent3 4" xfId="259"/>
    <cellStyle name="40% - Accent3 5" xfId="260"/>
    <cellStyle name="40% - Accent3 6" xfId="261"/>
    <cellStyle name="40% - Accent4 2" xfId="262"/>
    <cellStyle name="40% - Accent4 3" xfId="263"/>
    <cellStyle name="40% - Accent4 4" xfId="264"/>
    <cellStyle name="40% - Accent4 5" xfId="265"/>
    <cellStyle name="40% - Accent4 6" xfId="266"/>
    <cellStyle name="40% - Accent5 2" xfId="267"/>
    <cellStyle name="40% - Accent5 3" xfId="268"/>
    <cellStyle name="40% - Accent5 4" xfId="269"/>
    <cellStyle name="40% - Accent5 5" xfId="270"/>
    <cellStyle name="40% - Accent5 6" xfId="271"/>
    <cellStyle name="40% - Accent6 2" xfId="272"/>
    <cellStyle name="40% - Accent6 3" xfId="273"/>
    <cellStyle name="40% - Accent6 4" xfId="274"/>
    <cellStyle name="40% - Accent6 5" xfId="275"/>
    <cellStyle name="40% - Accent6 6" xfId="276"/>
    <cellStyle name="60% - Accent1 2" xfId="277"/>
    <cellStyle name="60% - Accent1 3" xfId="278"/>
    <cellStyle name="60% - Accent1 4" xfId="279"/>
    <cellStyle name="60% - Accent1 5" xfId="280"/>
    <cellStyle name="60% - Accent1 6" xfId="281"/>
    <cellStyle name="60% - Accent2 2" xfId="282"/>
    <cellStyle name="60% - Accent2 3" xfId="283"/>
    <cellStyle name="60% - Accent2 4" xfId="284"/>
    <cellStyle name="60% - Accent2 5" xfId="285"/>
    <cellStyle name="60% - Accent2 6" xfId="286"/>
    <cellStyle name="60% - Accent3 2" xfId="287"/>
    <cellStyle name="60% - Accent3 3" xfId="288"/>
    <cellStyle name="60% - Accent3 4" xfId="289"/>
    <cellStyle name="60% - Accent3 5" xfId="290"/>
    <cellStyle name="60% - Accent3 6" xfId="291"/>
    <cellStyle name="60% - Accent4 2" xfId="292"/>
    <cellStyle name="60% - Accent4 3" xfId="293"/>
    <cellStyle name="60% - Accent4 4" xfId="294"/>
    <cellStyle name="60% - Accent4 5" xfId="295"/>
    <cellStyle name="60% - Accent4 6" xfId="296"/>
    <cellStyle name="60% - Accent5 2" xfId="297"/>
    <cellStyle name="60% - Accent5 3" xfId="298"/>
    <cellStyle name="60% - Accent5 4" xfId="299"/>
    <cellStyle name="60% - Accent5 5" xfId="300"/>
    <cellStyle name="60% - Accent5 6" xfId="301"/>
    <cellStyle name="60% - Accent6 2" xfId="302"/>
    <cellStyle name="60% - Accent6 3" xfId="303"/>
    <cellStyle name="60% - Accent6 4" xfId="304"/>
    <cellStyle name="60% - Accent6 5" xfId="305"/>
    <cellStyle name="60% - Accent6 6" xfId="306"/>
    <cellStyle name="Accent1 - 20%" xfId="307"/>
    <cellStyle name="Accent1 - 40%" xfId="308"/>
    <cellStyle name="Accent1 - 60%" xfId="309"/>
    <cellStyle name="Accent1 2" xfId="310"/>
    <cellStyle name="Accent1 3" xfId="311"/>
    <cellStyle name="Accent1 4" xfId="312"/>
    <cellStyle name="Accent1 5" xfId="313"/>
    <cellStyle name="Accent1 6" xfId="314"/>
    <cellStyle name="Accent2 - 20%" xfId="315"/>
    <cellStyle name="Accent2 - 40%" xfId="316"/>
    <cellStyle name="Accent2 - 60%" xfId="317"/>
    <cellStyle name="Accent2 2" xfId="318"/>
    <cellStyle name="Accent2 3" xfId="319"/>
    <cellStyle name="Accent2 4" xfId="320"/>
    <cellStyle name="Accent2 5" xfId="321"/>
    <cellStyle name="Accent2 6" xfId="322"/>
    <cellStyle name="Accent3 - 20%" xfId="323"/>
    <cellStyle name="Accent3 - 40%" xfId="324"/>
    <cellStyle name="Accent3 - 60%" xfId="325"/>
    <cellStyle name="Accent3 2" xfId="326"/>
    <cellStyle name="Accent3 3" xfId="327"/>
    <cellStyle name="Accent3 4" xfId="328"/>
    <cellStyle name="Accent3 5" xfId="329"/>
    <cellStyle name="Accent3 6" xfId="330"/>
    <cellStyle name="Accent4 - 20%" xfId="331"/>
    <cellStyle name="Accent4 - 40%" xfId="332"/>
    <cellStyle name="Accent4 - 60%" xfId="333"/>
    <cellStyle name="Accent4 2" xfId="334"/>
    <cellStyle name="Accent4 3" xfId="335"/>
    <cellStyle name="Accent4 4" xfId="336"/>
    <cellStyle name="Accent4 5" xfId="337"/>
    <cellStyle name="Accent4 6" xfId="338"/>
    <cellStyle name="Accent5 - 20%" xfId="339"/>
    <cellStyle name="Accent5 - 40%" xfId="340"/>
    <cellStyle name="Accent5 - 60%" xfId="341"/>
    <cellStyle name="Accent5 2" xfId="342"/>
    <cellStyle name="Accent5 3" xfId="343"/>
    <cellStyle name="Accent5 4" xfId="344"/>
    <cellStyle name="Accent5 5" xfId="345"/>
    <cellStyle name="Accent5 6" xfId="346"/>
    <cellStyle name="Accent6 - 20%" xfId="347"/>
    <cellStyle name="Accent6 - 40%" xfId="348"/>
    <cellStyle name="Accent6 - 60%" xfId="349"/>
    <cellStyle name="Accent6 2" xfId="350"/>
    <cellStyle name="Accent6 3" xfId="351"/>
    <cellStyle name="Accent6 4" xfId="352"/>
    <cellStyle name="Accent6 5" xfId="353"/>
    <cellStyle name="Accent6 6" xfId="354"/>
    <cellStyle name="ArrayHeading" xfId="355"/>
    <cellStyle name="Bad 2" xfId="356"/>
    <cellStyle name="Bad 3" xfId="357"/>
    <cellStyle name="Bad 4" xfId="358"/>
    <cellStyle name="Bad 5" xfId="359"/>
    <cellStyle name="Bad 6" xfId="360"/>
    <cellStyle name="BetweenMacros" xfId="361"/>
    <cellStyle name="Calc Currency (0)" xfId="362"/>
    <cellStyle name="Calculation 2" xfId="363"/>
    <cellStyle name="Calculation 3" xfId="364"/>
    <cellStyle name="Calculation 4" xfId="365"/>
    <cellStyle name="Calculation 5" xfId="366"/>
    <cellStyle name="Calculation 6" xfId="367"/>
    <cellStyle name="Cancel" xfId="368"/>
    <cellStyle name="Check Cell 2" xfId="369"/>
    <cellStyle name="Check Cell 3" xfId="370"/>
    <cellStyle name="Check Cell 4" xfId="371"/>
    <cellStyle name="Check Cell 5" xfId="372"/>
    <cellStyle name="Check Cell 6" xfId="373"/>
    <cellStyle name="Column total in dollars" xfId="374"/>
    <cellStyle name="Comma" xfId="1" builtinId="3"/>
    <cellStyle name="Comma  - Style1" xfId="189"/>
    <cellStyle name="Comma  - Style1 2" xfId="375"/>
    <cellStyle name="Comma  - Style1 3" xfId="376"/>
    <cellStyle name="Comma  - Style2" xfId="190"/>
    <cellStyle name="Comma  - Style2 2" xfId="377"/>
    <cellStyle name="Comma  - Style2 3" xfId="378"/>
    <cellStyle name="Comma  - Style3" xfId="191"/>
    <cellStyle name="Comma  - Style3 2" xfId="379"/>
    <cellStyle name="Comma  - Style3 3" xfId="380"/>
    <cellStyle name="Comma  - Style4" xfId="192"/>
    <cellStyle name="Comma  - Style4 2" xfId="381"/>
    <cellStyle name="Comma  - Style4 3" xfId="382"/>
    <cellStyle name="Comma  - Style5" xfId="193"/>
    <cellStyle name="Comma  - Style5 2" xfId="383"/>
    <cellStyle name="Comma  - Style5 3" xfId="384"/>
    <cellStyle name="Comma  - Style6" xfId="194"/>
    <cellStyle name="Comma  - Style6 2" xfId="385"/>
    <cellStyle name="Comma  - Style6 3" xfId="386"/>
    <cellStyle name="Comma  - Style7" xfId="195"/>
    <cellStyle name="Comma  - Style7 2" xfId="387"/>
    <cellStyle name="Comma  - Style7 3" xfId="388"/>
    <cellStyle name="Comma  - Style8" xfId="196"/>
    <cellStyle name="Comma  - Style8 2" xfId="389"/>
    <cellStyle name="Comma  - Style8 3" xfId="390"/>
    <cellStyle name="Comma (0)" xfId="391"/>
    <cellStyle name="Comma [0] 2" xfId="392"/>
    <cellStyle name="Comma 10" xfId="393"/>
    <cellStyle name="Comma 10 2" xfId="394"/>
    <cellStyle name="Comma 11" xfId="26"/>
    <cellStyle name="Comma 12" xfId="395"/>
    <cellStyle name="Comma 13" xfId="396"/>
    <cellStyle name="Comma 13 2" xfId="397"/>
    <cellStyle name="Comma 13 2 2" xfId="398"/>
    <cellStyle name="Comma 14" xfId="399"/>
    <cellStyle name="Comma 15" xfId="400"/>
    <cellStyle name="Comma 16" xfId="401"/>
    <cellStyle name="Comma 17" xfId="402"/>
    <cellStyle name="Comma 17 2" xfId="403"/>
    <cellStyle name="Comma 18" xfId="404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5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6"/>
    <cellStyle name="Comma 21" xfId="49"/>
    <cellStyle name="Comma 22" xfId="50"/>
    <cellStyle name="Comma 23" xfId="407"/>
    <cellStyle name="Comma 24" xfId="408"/>
    <cellStyle name="Comma 25" xfId="409"/>
    <cellStyle name="Comma 26" xfId="410"/>
    <cellStyle name="Comma 27" xfId="411"/>
    <cellStyle name="Comma 28" xfId="412"/>
    <cellStyle name="Comma 29" xfId="413"/>
    <cellStyle name="Comma 3" xfId="51"/>
    <cellStyle name="Comma 3 2" xfId="197"/>
    <cellStyle name="Comma 3 3" xfId="414"/>
    <cellStyle name="Comma 3 4" xfId="415"/>
    <cellStyle name="Comma 30" xfId="416"/>
    <cellStyle name="Comma 31" xfId="417"/>
    <cellStyle name="Comma 32" xfId="418"/>
    <cellStyle name="Comma 33" xfId="419"/>
    <cellStyle name="Comma 34" xfId="420"/>
    <cellStyle name="Comma 35" xfId="421"/>
    <cellStyle name="Comma 36" xfId="422"/>
    <cellStyle name="Comma 37" xfId="423"/>
    <cellStyle name="Comma 38" xfId="424"/>
    <cellStyle name="Comma 4" xfId="52"/>
    <cellStyle name="Comma 4 2" xfId="425"/>
    <cellStyle name="Comma 4 2 2" xfId="426"/>
    <cellStyle name="Comma 4 3" xfId="427"/>
    <cellStyle name="Comma 4 3 2" xfId="428"/>
    <cellStyle name="Comma 4 3 3" xfId="429"/>
    <cellStyle name="Comma 4 3 4" xfId="430"/>
    <cellStyle name="Comma 4 4" xfId="431"/>
    <cellStyle name="Comma 4 5" xfId="432"/>
    <cellStyle name="Comma 5" xfId="53"/>
    <cellStyle name="Comma 5 2" xfId="433"/>
    <cellStyle name="Comma 6" xfId="186"/>
    <cellStyle name="Comma 6 2" xfId="434"/>
    <cellStyle name="Comma 6 2 2" xfId="435"/>
    <cellStyle name="Comma 6 3" xfId="436"/>
    <cellStyle name="Comma 7" xfId="437"/>
    <cellStyle name="Comma 7 2" xfId="438"/>
    <cellStyle name="Comma 7 2 2" xfId="439"/>
    <cellStyle name="Comma 7 2 2 2" xfId="440"/>
    <cellStyle name="Comma 7 2 2 2 2" xfId="441"/>
    <cellStyle name="Comma 7 2 2 2 3" xfId="442"/>
    <cellStyle name="Comma 7 2 2 3" xfId="443"/>
    <cellStyle name="Comma 8" xfId="444"/>
    <cellStyle name="Comma 9" xfId="445"/>
    <cellStyle name="Comma0" xfId="54"/>
    <cellStyle name="Comma0 - Style1" xfId="446"/>
    <cellStyle name="Comma0 - Style2" xfId="447"/>
    <cellStyle name="Comma0 - Style3" xfId="448"/>
    <cellStyle name="Comma0 - Style4" xfId="449"/>
    <cellStyle name="Comma0 2" xfId="450"/>
    <cellStyle name="Comma0 2 2" xfId="451"/>
    <cellStyle name="Comma0 3" xfId="452"/>
    <cellStyle name="Comma0 4" xfId="453"/>
    <cellStyle name="Comma0_1st Qtr 2009 Global Insight Factors" xfId="454"/>
    <cellStyle name="Comma1 - Style1" xfId="455"/>
    <cellStyle name="Curren - Style2" xfId="456"/>
    <cellStyle name="Curren - Style3" xfId="457"/>
    <cellStyle name="Currency" xfId="2" builtinId="4"/>
    <cellStyle name="Currency 10" xfId="458"/>
    <cellStyle name="Currency 10 2" xfId="459"/>
    <cellStyle name="Currency 10 3" xfId="460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1"/>
    <cellStyle name="Currency 4" xfId="462"/>
    <cellStyle name="Currency 4 2" xfId="463"/>
    <cellStyle name="Currency 5" xfId="464"/>
    <cellStyle name="Currency 6" xfId="465"/>
    <cellStyle name="Currency 7" xfId="466"/>
    <cellStyle name="Currency 7 2" xfId="467"/>
    <cellStyle name="Currency 7 2 2" xfId="468"/>
    <cellStyle name="Currency 8" xfId="469"/>
    <cellStyle name="Currency 9" xfId="470"/>
    <cellStyle name="Currency No Comma" xfId="76"/>
    <cellStyle name="Currency(0)" xfId="471"/>
    <cellStyle name="Currency0" xfId="77"/>
    <cellStyle name="Currency0 2" xfId="472"/>
    <cellStyle name="Currency0 2 2" xfId="473"/>
    <cellStyle name="Currency0 3" xfId="474"/>
    <cellStyle name="Currency0 4" xfId="475"/>
    <cellStyle name="Custom - Style8" xfId="476"/>
    <cellStyle name="Data   - Style2" xfId="477"/>
    <cellStyle name="Date" xfId="78"/>
    <cellStyle name="Date - Style1" xfId="478"/>
    <cellStyle name="Date - Style3" xfId="479"/>
    <cellStyle name="Date 2" xfId="480"/>
    <cellStyle name="Date 2 2" xfId="481"/>
    <cellStyle name="Date 3" xfId="482"/>
    <cellStyle name="Date 4" xfId="483"/>
    <cellStyle name="Date_1st Qtr 2009 Global Insight Factors" xfId="484"/>
    <cellStyle name="Explanatory Text 2" xfId="485"/>
    <cellStyle name="Explanatory Text 3" xfId="486"/>
    <cellStyle name="Explanatory Text 4" xfId="487"/>
    <cellStyle name="Explanatory Text 5" xfId="488"/>
    <cellStyle name="Explanatory Text 6" xfId="489"/>
    <cellStyle name="Fixed" xfId="79"/>
    <cellStyle name="Fixed 2" xfId="490"/>
    <cellStyle name="Fixed 2 2" xfId="491"/>
    <cellStyle name="Fixed 3" xfId="492"/>
    <cellStyle name="Fixed 4" xfId="493"/>
    <cellStyle name="Fixed2 - Style2" xfId="494"/>
    <cellStyle name="General" xfId="10"/>
    <cellStyle name="Good 2" xfId="495"/>
    <cellStyle name="Good 3" xfId="496"/>
    <cellStyle name="Good 4" xfId="497"/>
    <cellStyle name="Good 5" xfId="498"/>
    <cellStyle name="Good 6" xfId="499"/>
    <cellStyle name="Grey" xfId="199"/>
    <cellStyle name="Grey 2" xfId="500"/>
    <cellStyle name="Grey 3" xfId="501"/>
    <cellStyle name="header" xfId="200"/>
    <cellStyle name="Header1" xfId="201"/>
    <cellStyle name="Header2" xfId="202"/>
    <cellStyle name="Heading 1 2" xfId="502"/>
    <cellStyle name="Heading 2 2" xfId="503"/>
    <cellStyle name="Heading 2 2 2" xfId="504"/>
    <cellStyle name="Heading 2 3" xfId="505"/>
    <cellStyle name="Heading 2 4" xfId="506"/>
    <cellStyle name="Heading 2 5" xfId="507"/>
    <cellStyle name="Heading 3 2" xfId="508"/>
    <cellStyle name="Heading 3 3" xfId="509"/>
    <cellStyle name="Heading 3 4" xfId="510"/>
    <cellStyle name="Heading 3 5" xfId="511"/>
    <cellStyle name="Heading 3 6" xfId="512"/>
    <cellStyle name="Heading 4 2" xfId="513"/>
    <cellStyle name="Heading 4 3" xfId="514"/>
    <cellStyle name="Heading 4 4" xfId="515"/>
    <cellStyle name="Heading 4 5" xfId="516"/>
    <cellStyle name="Heading 4 6" xfId="517"/>
    <cellStyle name="Heading1" xfId="518"/>
    <cellStyle name="Heading2" xfId="519"/>
    <cellStyle name="Hyperlink 2" xfId="520"/>
    <cellStyle name="Hyperlink 2 2" xfId="521"/>
    <cellStyle name="Hyperlink 2 3" xfId="522"/>
    <cellStyle name="Hyperlink 3" xfId="523"/>
    <cellStyle name="Hyperlink 4" xfId="524"/>
    <cellStyle name="Input [yellow]" xfId="203"/>
    <cellStyle name="Input [yellow] 2" xfId="525"/>
    <cellStyle name="Input [yellow] 3" xfId="526"/>
    <cellStyle name="Input 2" xfId="527"/>
    <cellStyle name="Input 2 2" xfId="528"/>
    <cellStyle name="Inst. Sections" xfId="529"/>
    <cellStyle name="Inst. Subheading" xfId="530"/>
    <cellStyle name="Labels - Style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Macro" xfId="537"/>
    <cellStyle name="macro descr" xfId="538"/>
    <cellStyle name="Macro_Comments" xfId="539"/>
    <cellStyle name="MacroText" xfId="540"/>
    <cellStyle name="Marathon" xfId="541"/>
    <cellStyle name="MCP" xfId="80"/>
    <cellStyle name="Neutral 2" xfId="542"/>
    <cellStyle name="Neutral 3" xfId="543"/>
    <cellStyle name="Neutral 4" xfId="544"/>
    <cellStyle name="Neutral 5" xfId="545"/>
    <cellStyle name="Neutral 6" xfId="546"/>
    <cellStyle name="nONE" xfId="11"/>
    <cellStyle name="nONE 2" xfId="547"/>
    <cellStyle name="noninput" xfId="81"/>
    <cellStyle name="noninput 2" xfId="548"/>
    <cellStyle name="noninput 3" xfId="549"/>
    <cellStyle name="noninput 4" xfId="550"/>
    <cellStyle name="Normal" xfId="0" builtinId="0"/>
    <cellStyle name="Normal - Style1" xfId="204"/>
    <cellStyle name="Normal - Style1 2" xfId="551"/>
    <cellStyle name="Normal - Style1 3" xfId="552"/>
    <cellStyle name="Normal - Style2" xfId="553"/>
    <cellStyle name="Normal - Style3" xfId="554"/>
    <cellStyle name="Normal - Style4" xfId="555"/>
    <cellStyle name="Normal - Style5" xfId="556"/>
    <cellStyle name="Normal - Style6" xfId="557"/>
    <cellStyle name="Normal - Style7" xfId="558"/>
    <cellStyle name="Normal - Style8" xfId="559"/>
    <cellStyle name="Normal 10" xfId="82"/>
    <cellStyle name="Normal 10 2" xfId="560"/>
    <cellStyle name="Normal 10 2 2" xfId="561"/>
    <cellStyle name="Normal 10 3" xfId="562"/>
    <cellStyle name="Normal 10 4" xfId="563"/>
    <cellStyle name="Normal 10 5" xfId="564"/>
    <cellStyle name="Normal 10 6" xfId="565"/>
    <cellStyle name="Normal 100" xfId="566"/>
    <cellStyle name="Normal 101" xfId="567"/>
    <cellStyle name="Normal 102" xfId="568"/>
    <cellStyle name="Normal 103" xfId="569"/>
    <cellStyle name="Normal 104" xfId="570"/>
    <cellStyle name="Normal 105" xfId="571"/>
    <cellStyle name="Normal 106" xfId="572"/>
    <cellStyle name="Normal 107" xfId="573"/>
    <cellStyle name="Normal 108" xfId="574"/>
    <cellStyle name="Normal 109" xfId="575"/>
    <cellStyle name="Normal 11" xfId="83"/>
    <cellStyle name="Normal 11 2" xfId="576"/>
    <cellStyle name="Normal 11 2 2" xfId="577"/>
    <cellStyle name="Normal 110" xfId="578"/>
    <cellStyle name="Normal 111" xfId="579"/>
    <cellStyle name="Normal 112" xfId="580"/>
    <cellStyle name="Normal 113" xfId="581"/>
    <cellStyle name="Normal 114" xfId="582"/>
    <cellStyle name="Normal 115" xfId="583"/>
    <cellStyle name="Normal 116" xfId="584"/>
    <cellStyle name="Normal 117" xfId="585"/>
    <cellStyle name="Normal 118" xfId="586"/>
    <cellStyle name="Normal 119" xfId="587"/>
    <cellStyle name="Normal 12" xfId="84"/>
    <cellStyle name="Normal 12 2" xfId="588"/>
    <cellStyle name="Normal 120" xfId="589"/>
    <cellStyle name="Normal 121" xfId="590"/>
    <cellStyle name="Normal 122" xfId="591"/>
    <cellStyle name="Normal 123" xfId="592"/>
    <cellStyle name="Normal 124" xfId="593"/>
    <cellStyle name="Normal 125" xfId="594"/>
    <cellStyle name="Normal 126" xfId="595"/>
    <cellStyle name="Normal 127" xfId="596"/>
    <cellStyle name="Normal 128" xfId="597"/>
    <cellStyle name="Normal 129" xfId="598"/>
    <cellStyle name="Normal 13" xfId="85"/>
    <cellStyle name="Normal 130" xfId="599"/>
    <cellStyle name="Normal 131" xfId="600"/>
    <cellStyle name="Normal 132" xfId="601"/>
    <cellStyle name="Normal 133" xfId="602"/>
    <cellStyle name="Normal 134" xfId="603"/>
    <cellStyle name="Normal 135" xfId="604"/>
    <cellStyle name="Normal 136" xfId="605"/>
    <cellStyle name="Normal 137" xfId="606"/>
    <cellStyle name="Normal 138" xfId="607"/>
    <cellStyle name="Normal 139" xfId="608"/>
    <cellStyle name="Normal 14" xfId="86"/>
    <cellStyle name="Normal 14 2" xfId="609"/>
    <cellStyle name="Normal 140" xfId="610"/>
    <cellStyle name="Normal 141" xfId="611"/>
    <cellStyle name="Normal 142" xfId="612"/>
    <cellStyle name="Normal 143" xfId="613"/>
    <cellStyle name="Normal 144" xfId="614"/>
    <cellStyle name="Normal 145" xfId="615"/>
    <cellStyle name="Normal 146" xfId="616"/>
    <cellStyle name="Normal 147" xfId="617"/>
    <cellStyle name="Normal 148" xfId="618"/>
    <cellStyle name="Normal 149" xfId="619"/>
    <cellStyle name="Normal 15" xfId="184"/>
    <cellStyle name="Normal 15 2" xfId="620"/>
    <cellStyle name="Normal 15 2 2" xfId="621"/>
    <cellStyle name="Normal 150" xfId="622"/>
    <cellStyle name="Normal 151" xfId="623"/>
    <cellStyle name="Normal 152" xfId="624"/>
    <cellStyle name="Normal 153" xfId="625"/>
    <cellStyle name="Normal 154" xfId="626"/>
    <cellStyle name="Normal 155" xfId="627"/>
    <cellStyle name="Normal 156" xfId="628"/>
    <cellStyle name="Normal 157" xfId="629"/>
    <cellStyle name="Normal 158" xfId="630"/>
    <cellStyle name="Normal 159" xfId="631"/>
    <cellStyle name="Normal 16" xfId="87"/>
    <cellStyle name="Normal 16 2" xfId="632"/>
    <cellStyle name="Normal 160" xfId="633"/>
    <cellStyle name="Normal 161" xfId="634"/>
    <cellStyle name="Normal 162" xfId="635"/>
    <cellStyle name="Normal 163" xfId="636"/>
    <cellStyle name="Normal 164" xfId="637"/>
    <cellStyle name="Normal 165" xfId="638"/>
    <cellStyle name="Normal 166" xfId="639"/>
    <cellStyle name="Normal 167" xfId="640"/>
    <cellStyle name="Normal 168" xfId="641"/>
    <cellStyle name="Normal 169" xfId="642"/>
    <cellStyle name="Normal 17" xfId="88"/>
    <cellStyle name="Normal 170" xfId="643"/>
    <cellStyle name="Normal 171" xfId="644"/>
    <cellStyle name="Normal 172" xfId="645"/>
    <cellStyle name="Normal 173" xfId="646"/>
    <cellStyle name="Normal 174" xfId="647"/>
    <cellStyle name="Normal 175" xfId="648"/>
    <cellStyle name="Normal 176" xfId="649"/>
    <cellStyle name="Normal 177" xfId="650"/>
    <cellStyle name="Normal 178" xfId="651"/>
    <cellStyle name="Normal 179" xfId="652"/>
    <cellStyle name="Normal 18" xfId="89"/>
    <cellStyle name="Normal 18 2" xfId="653"/>
    <cellStyle name="Normal 180" xfId="654"/>
    <cellStyle name="Normal 181" xfId="655"/>
    <cellStyle name="Normal 182" xfId="656"/>
    <cellStyle name="Normal 183" xfId="657"/>
    <cellStyle name="Normal 184" xfId="658"/>
    <cellStyle name="Normal 185" xfId="659"/>
    <cellStyle name="Normal 186" xfId="660"/>
    <cellStyle name="Normal 187" xfId="661"/>
    <cellStyle name="Normal 188" xfId="662"/>
    <cellStyle name="Normal 189" xfId="663"/>
    <cellStyle name="Normal 19" xfId="90"/>
    <cellStyle name="Normal 190" xfId="664"/>
    <cellStyle name="Normal 191" xfId="665"/>
    <cellStyle name="Normal 192" xfId="666"/>
    <cellStyle name="Normal 193" xfId="667"/>
    <cellStyle name="Normal 194" xfId="668"/>
    <cellStyle name="Normal 195" xfId="669"/>
    <cellStyle name="Normal 196" xfId="670"/>
    <cellStyle name="Normal 197" xfId="671"/>
    <cellStyle name="Normal 198" xfId="672"/>
    <cellStyle name="Normal 199" xfId="673"/>
    <cellStyle name="Normal 2" xfId="12"/>
    <cellStyle name="Normal 2 10" xfId="91"/>
    <cellStyle name="Normal 2 10 2" xfId="674"/>
    <cellStyle name="Normal 2 10 2 2 2 3" xfId="1080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5"/>
    <cellStyle name="Normal 2 2 2 2" xfId="676"/>
    <cellStyle name="Normal 2 2 3" xfId="677"/>
    <cellStyle name="Normal 2 2 4" xfId="678"/>
    <cellStyle name="Normal 2 2 4 2" xfId="1082"/>
    <cellStyle name="Normal 2 2 5" xfId="679"/>
    <cellStyle name="Normal 2 20" xfId="101"/>
    <cellStyle name="Normal 2 21" xfId="102"/>
    <cellStyle name="Normal 2 22" xfId="103"/>
    <cellStyle name="Normal 2 23" xfId="680"/>
    <cellStyle name="Normal 2 3" xfId="104"/>
    <cellStyle name="Normal 2 3 2" xfId="105"/>
    <cellStyle name="Normal 2 3 2 2" xfId="681"/>
    <cellStyle name="Normal 2 3 3" xfId="682"/>
    <cellStyle name="Normal 2 3 4" xfId="683"/>
    <cellStyle name="Normal 2 3 5" xfId="684"/>
    <cellStyle name="Normal 2 3 6" xfId="685"/>
    <cellStyle name="Normal 2 4" xfId="106"/>
    <cellStyle name="Normal 2 4 2" xfId="686"/>
    <cellStyle name="Normal 2 5" xfId="107"/>
    <cellStyle name="Normal 2 5 2" xfId="687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8"/>
    <cellStyle name="Normal 200" xfId="689"/>
    <cellStyle name="Normal 201" xfId="690"/>
    <cellStyle name="Normal 202" xfId="691"/>
    <cellStyle name="Normal 203" xfId="692"/>
    <cellStyle name="Normal 204" xfId="693"/>
    <cellStyle name="Normal 205" xfId="694"/>
    <cellStyle name="Normal 206" xfId="695"/>
    <cellStyle name="Normal 207" xfId="696"/>
    <cellStyle name="Normal 208" xfId="697"/>
    <cellStyle name="Normal 209" xfId="698"/>
    <cellStyle name="Normal 21" xfId="114"/>
    <cellStyle name="Normal 210" xfId="699"/>
    <cellStyle name="Normal 211" xfId="700"/>
    <cellStyle name="Normal 212" xfId="701"/>
    <cellStyle name="Normal 213" xfId="702"/>
    <cellStyle name="Normal 214" xfId="703"/>
    <cellStyle name="Normal 215" xfId="704"/>
    <cellStyle name="Normal 216" xfId="705"/>
    <cellStyle name="Normal 217" xfId="706"/>
    <cellStyle name="Normal 218" xfId="707"/>
    <cellStyle name="Normal 219" xfId="708"/>
    <cellStyle name="Normal 22" xfId="115"/>
    <cellStyle name="Normal 22 2" xfId="709"/>
    <cellStyle name="Normal 22 3" xfId="710"/>
    <cellStyle name="Normal 220" xfId="711"/>
    <cellStyle name="Normal 221" xfId="712"/>
    <cellStyle name="Normal 222" xfId="713"/>
    <cellStyle name="Normal 223" xfId="714"/>
    <cellStyle name="Normal 224" xfId="715"/>
    <cellStyle name="Normal 225" xfId="716"/>
    <cellStyle name="Normal 226" xfId="717"/>
    <cellStyle name="Normal 227" xfId="718"/>
    <cellStyle name="Normal 228" xfId="719"/>
    <cellStyle name="Normal 229" xfId="720"/>
    <cellStyle name="Normal 23" xfId="116"/>
    <cellStyle name="Normal 23 2" xfId="721"/>
    <cellStyle name="Normal 230" xfId="722"/>
    <cellStyle name="Normal 231" xfId="723"/>
    <cellStyle name="Normal 232" xfId="724"/>
    <cellStyle name="Normal 233" xfId="725"/>
    <cellStyle name="Normal 234" xfId="726"/>
    <cellStyle name="Normal 235" xfId="727"/>
    <cellStyle name="Normal 236" xfId="728"/>
    <cellStyle name="Normal 237" xfId="729"/>
    <cellStyle name="Normal 238" xfId="730"/>
    <cellStyle name="Normal 239" xfId="731"/>
    <cellStyle name="Normal 24" xfId="117"/>
    <cellStyle name="Normal 24 2" xfId="732"/>
    <cellStyle name="Normal 24 3" xfId="733"/>
    <cellStyle name="Normal 240" xfId="734"/>
    <cellStyle name="Normal 240 2" xfId="735"/>
    <cellStyle name="Normal 241" xfId="736"/>
    <cellStyle name="Normal 241 2" xfId="737"/>
    <cellStyle name="Normal 241 3" xfId="738"/>
    <cellStyle name="Normal 242" xfId="739"/>
    <cellStyle name="Normal 243" xfId="740"/>
    <cellStyle name="Normal 243 2" xfId="741"/>
    <cellStyle name="Normal 244" xfId="742"/>
    <cellStyle name="Normal 245" xfId="743"/>
    <cellStyle name="Normal 246" xfId="744"/>
    <cellStyle name="Normal 247" xfId="745"/>
    <cellStyle name="Normal 248" xfId="746"/>
    <cellStyle name="Normal 249" xfId="747"/>
    <cellStyle name="Normal 25" xfId="187"/>
    <cellStyle name="Normal 250" xfId="748"/>
    <cellStyle name="Normal 251" xfId="749"/>
    <cellStyle name="Normal 252" xfId="750"/>
    <cellStyle name="Normal 253" xfId="751"/>
    <cellStyle name="Normal 254" xfId="752"/>
    <cellStyle name="Normal 255" xfId="753"/>
    <cellStyle name="Normal 256" xfId="754"/>
    <cellStyle name="Normal 257" xfId="755"/>
    <cellStyle name="Normal 258" xfId="756"/>
    <cellStyle name="Normal 259" xfId="757"/>
    <cellStyle name="Normal 26" xfId="213"/>
    <cellStyle name="Normal 26 2" xfId="758"/>
    <cellStyle name="Normal 260" xfId="759"/>
    <cellStyle name="Normal 261" xfId="760"/>
    <cellStyle name="Normal 262" xfId="761"/>
    <cellStyle name="Normal 263" xfId="762"/>
    <cellStyle name="Normal 264" xfId="763"/>
    <cellStyle name="Normal 265" xfId="764"/>
    <cellStyle name="Normal 266" xfId="765"/>
    <cellStyle name="Normal 267" xfId="766"/>
    <cellStyle name="Normal 268" xfId="767"/>
    <cellStyle name="Normal 269" xfId="768"/>
    <cellStyle name="Normal 27" xfId="214"/>
    <cellStyle name="Normal 270" xfId="769"/>
    <cellStyle name="Normal 270 2" xfId="770"/>
    <cellStyle name="Normal 271" xfId="1079"/>
    <cellStyle name="Normal 28" xfId="771"/>
    <cellStyle name="Normal 29" xfId="772"/>
    <cellStyle name="Normal 3" xfId="7"/>
    <cellStyle name="Normal 3 2" xfId="13"/>
    <cellStyle name="Normal 3 2 2" xfId="205"/>
    <cellStyle name="Normal 3 2 2 2" xfId="773"/>
    <cellStyle name="Normal 3 2 3" xfId="774"/>
    <cellStyle name="Normal 3 2 4" xfId="775"/>
    <cellStyle name="Normal 3 2 5" xfId="776"/>
    <cellStyle name="Normal 3 2 6" xfId="777"/>
    <cellStyle name="Normal 3 3" xfId="206"/>
    <cellStyle name="Normal 3 3 2" xfId="778"/>
    <cellStyle name="Normal 3 4" xfId="779"/>
    <cellStyle name="Normal 3 5" xfId="780"/>
    <cellStyle name="Normal 3 5 2" xfId="781"/>
    <cellStyle name="Normal 3 6" xfId="782"/>
    <cellStyle name="Normal 3 7" xfId="783"/>
    <cellStyle name="Normal 3 8" xfId="784"/>
    <cellStyle name="Normal 30" xfId="785"/>
    <cellStyle name="Normal 31" xfId="786"/>
    <cellStyle name="Normal 32" xfId="787"/>
    <cellStyle name="Normal 33" xfId="788"/>
    <cellStyle name="Normal 34" xfId="789"/>
    <cellStyle name="Normal 35" xfId="790"/>
    <cellStyle name="Normal 36" xfId="791"/>
    <cellStyle name="Normal 37" xfId="792"/>
    <cellStyle name="Normal 38" xfId="793"/>
    <cellStyle name="Normal 39" xfId="794"/>
    <cellStyle name="Normal 4" xfId="14"/>
    <cellStyle name="Normal 4 2" xfId="207"/>
    <cellStyle name="Normal 4 3" xfId="795"/>
    <cellStyle name="Normal 4 3 2" xfId="796"/>
    <cellStyle name="Normal 4 3 3" xfId="797"/>
    <cellStyle name="Normal 4 3 4" xfId="798"/>
    <cellStyle name="Normal 4 4" xfId="799"/>
    <cellStyle name="Normal 4 5" xfId="800"/>
    <cellStyle name="Normal 4 6" xfId="801"/>
    <cellStyle name="Normal 4 7" xfId="802"/>
    <cellStyle name="Normal 40" xfId="803"/>
    <cellStyle name="Normal 41" xfId="804"/>
    <cellStyle name="Normal 42" xfId="805"/>
    <cellStyle name="Normal 43" xfId="806"/>
    <cellStyle name="Normal 44" xfId="807"/>
    <cellStyle name="Normal 45" xfId="808"/>
    <cellStyle name="Normal 46" xfId="809"/>
    <cellStyle name="Normal 47" xfId="810"/>
    <cellStyle name="Normal 48" xfId="811"/>
    <cellStyle name="Normal 49" xfId="812"/>
    <cellStyle name="Normal 5" xfId="15"/>
    <cellStyle name="Normal 5 2" xfId="813"/>
    <cellStyle name="Normal 5 2 2" xfId="814"/>
    <cellStyle name="Normal 5 2 3" xfId="815"/>
    <cellStyle name="Normal 5 3" xfId="816"/>
    <cellStyle name="Normal 50" xfId="817"/>
    <cellStyle name="Normal 51" xfId="818"/>
    <cellStyle name="Normal 52" xfId="819"/>
    <cellStyle name="Normal 53" xfId="820"/>
    <cellStyle name="Normal 54" xfId="821"/>
    <cellStyle name="Normal 55" xfId="822"/>
    <cellStyle name="Normal 56" xfId="823"/>
    <cellStyle name="Normal 57" xfId="824"/>
    <cellStyle name="Normal 58" xfId="825"/>
    <cellStyle name="Normal 59" xfId="826"/>
    <cellStyle name="Normal 6" xfId="16"/>
    <cellStyle name="Normal 6 2" xfId="208"/>
    <cellStyle name="Normal 6 2 2" xfId="827"/>
    <cellStyle name="Normal 6 3" xfId="828"/>
    <cellStyle name="Normal 6 4" xfId="829"/>
    <cellStyle name="Normal 6 4 2" xfId="830"/>
    <cellStyle name="Normal 6 4 2 2" xfId="831"/>
    <cellStyle name="Normal 6 5" xfId="832"/>
    <cellStyle name="Normal 60" xfId="833"/>
    <cellStyle name="Normal 61" xfId="834"/>
    <cellStyle name="Normal 62" xfId="835"/>
    <cellStyle name="Normal 63" xfId="836"/>
    <cellStyle name="Normal 64" xfId="837"/>
    <cellStyle name="Normal 65" xfId="838"/>
    <cellStyle name="Normal 66" xfId="839"/>
    <cellStyle name="Normal 67" xfId="840"/>
    <cellStyle name="Normal 68" xfId="841"/>
    <cellStyle name="Normal 69" xfId="842"/>
    <cellStyle name="Normal 7" xfId="17"/>
    <cellStyle name="Normal 7 2" xfId="843"/>
    <cellStyle name="Normal 70" xfId="844"/>
    <cellStyle name="Normal 71" xfId="845"/>
    <cellStyle name="Normal 72" xfId="846"/>
    <cellStyle name="Normal 73" xfId="847"/>
    <cellStyle name="Normal 74" xfId="848"/>
    <cellStyle name="Normal 75" xfId="849"/>
    <cellStyle name="Normal 76" xfId="850"/>
    <cellStyle name="Normal 77" xfId="851"/>
    <cellStyle name="Normal 78" xfId="852"/>
    <cellStyle name="Normal 79" xfId="853"/>
    <cellStyle name="Normal 8" xfId="18"/>
    <cellStyle name="Normal 8 2" xfId="854"/>
    <cellStyle name="Normal 8 3" xfId="855"/>
    <cellStyle name="Normal 80" xfId="856"/>
    <cellStyle name="Normal 81" xfId="857"/>
    <cellStyle name="Normal 82" xfId="858"/>
    <cellStyle name="Normal 83" xfId="859"/>
    <cellStyle name="Normal 84" xfId="860"/>
    <cellStyle name="Normal 85" xfId="861"/>
    <cellStyle name="Normal 86" xfId="862"/>
    <cellStyle name="Normal 87" xfId="863"/>
    <cellStyle name="Normal 88" xfId="864"/>
    <cellStyle name="Normal 89" xfId="865"/>
    <cellStyle name="Normal 9" xfId="118"/>
    <cellStyle name="Normal 9 2" xfId="866"/>
    <cellStyle name="Normal 90" xfId="867"/>
    <cellStyle name="Normal 91" xfId="868"/>
    <cellStyle name="Normal 92" xfId="869"/>
    <cellStyle name="Normal 93" xfId="870"/>
    <cellStyle name="Normal 94" xfId="871"/>
    <cellStyle name="Normal 95" xfId="872"/>
    <cellStyle name="Normal 96" xfId="873"/>
    <cellStyle name="Normal 97" xfId="874"/>
    <cellStyle name="Normal 98" xfId="875"/>
    <cellStyle name="Normal 99" xfId="876"/>
    <cellStyle name="Normal(0)" xfId="877"/>
    <cellStyle name="Normal_Blocking 03-01" xfId="5"/>
    <cellStyle name="Normal_Blocking 09-00" xfId="4"/>
    <cellStyle name="Normal_Blocking 09-00 2" xfId="216"/>
    <cellStyle name="Normal_Book4" xfId="1081"/>
    <cellStyle name="Note 2" xfId="878"/>
    <cellStyle name="Note 3" xfId="879"/>
    <cellStyle name="Note 4" xfId="880"/>
    <cellStyle name="Note 5" xfId="881"/>
    <cellStyle name="Note 6" xfId="882"/>
    <cellStyle name="Number" xfId="883"/>
    <cellStyle name="Number 10" xfId="884"/>
    <cellStyle name="Number 11" xfId="885"/>
    <cellStyle name="Number 12" xfId="886"/>
    <cellStyle name="Number 13" xfId="887"/>
    <cellStyle name="Number 14" xfId="888"/>
    <cellStyle name="Number 2" xfId="889"/>
    <cellStyle name="Number 3" xfId="890"/>
    <cellStyle name="Number 4" xfId="891"/>
    <cellStyle name="Number 5" xfId="892"/>
    <cellStyle name="Number 6" xfId="893"/>
    <cellStyle name="Number 7" xfId="894"/>
    <cellStyle name="Number 8" xfId="895"/>
    <cellStyle name="Number 9" xfId="896"/>
    <cellStyle name="Output 2" xfId="897"/>
    <cellStyle name="Output 3" xfId="898"/>
    <cellStyle name="Output 4" xfId="899"/>
    <cellStyle name="Output 5" xfId="900"/>
    <cellStyle name="Output 6" xfId="901"/>
    <cellStyle name="Output Amounts" xfId="902"/>
    <cellStyle name="Output Line Items" xfId="903"/>
    <cellStyle name="Password" xfId="119"/>
    <cellStyle name="Percen - Style1" xfId="904"/>
    <cellStyle name="Percen - Style2" xfId="905"/>
    <cellStyle name="Percent" xfId="3" builtinId="5"/>
    <cellStyle name="Percent [2]" xfId="209"/>
    <cellStyle name="Percent [2] 2" xfId="906"/>
    <cellStyle name="Percent [2] 3" xfId="907"/>
    <cellStyle name="Percent 10" xfId="908"/>
    <cellStyle name="Percent 11" xfId="909"/>
    <cellStyle name="Percent 12" xfId="910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1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2"/>
    <cellStyle name="Percent 3 3" xfId="913"/>
    <cellStyle name="Percent 3 4" xfId="914"/>
    <cellStyle name="Percent 3 5" xfId="915"/>
    <cellStyle name="Percent 3 6" xfId="916"/>
    <cellStyle name="Percent 3 7" xfId="917"/>
    <cellStyle name="Percent 3 8" xfId="918"/>
    <cellStyle name="Percent 3 9" xfId="919"/>
    <cellStyle name="Percent 4" xfId="22"/>
    <cellStyle name="Percent 4 2" xfId="920"/>
    <cellStyle name="Percent 4 2 2" xfId="921"/>
    <cellStyle name="Percent 4 3" xfId="922"/>
    <cellStyle name="Percent 5" xfId="23"/>
    <cellStyle name="Percent 6" xfId="24"/>
    <cellStyle name="Percent 6 2" xfId="923"/>
    <cellStyle name="Percent 6 2 2" xfId="924"/>
    <cellStyle name="Percent 7" xfId="185"/>
    <cellStyle name="Percent 7 2" xfId="925"/>
    <cellStyle name="Percent 8" xfId="188"/>
    <cellStyle name="Percent 9" xfId="215"/>
    <cellStyle name="Percent(0)" xfId="926"/>
    <cellStyle name="Reset  - Style7" xfId="927"/>
    <cellStyle name="SAPBEXaggData" xfId="143"/>
    <cellStyle name="SAPBEXaggDataEmph" xfId="144"/>
    <cellStyle name="SAPBEXaggItem" xfId="145"/>
    <cellStyle name="SAPBEXaggItem 2" xfId="928"/>
    <cellStyle name="SAPBEXaggItem 3" xfId="929"/>
    <cellStyle name="SAPBEXaggItem 4" xfId="930"/>
    <cellStyle name="SAPBEXaggItem 5" xfId="931"/>
    <cellStyle name="SAPBEXaggItem 6" xfId="932"/>
    <cellStyle name="SAPBEXaggItem_Copy of xSAPtemp5457" xfId="933"/>
    <cellStyle name="SAPBEXaggItemX" xfId="146"/>
    <cellStyle name="SAPBEXchaText" xfId="147"/>
    <cellStyle name="SAPBEXchaText 2" xfId="934"/>
    <cellStyle name="SAPBEXchaText 3" xfId="935"/>
    <cellStyle name="SAPBEXchaText 4" xfId="936"/>
    <cellStyle name="SAPBEXchaText 5" xfId="937"/>
    <cellStyle name="SAPBEXchaText 6" xfId="938"/>
    <cellStyle name="SAPBEXchaText_Copy of xSAPtemp5457" xfId="939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0"/>
    <cellStyle name="SAPBEXfilterItem" xfId="158"/>
    <cellStyle name="SAPBEXfilterItem 2" xfId="941"/>
    <cellStyle name="SAPBEXfilterItem 3" xfId="942"/>
    <cellStyle name="SAPBEXfilterItem 4" xfId="943"/>
    <cellStyle name="SAPBEXfilterItem 5" xfId="944"/>
    <cellStyle name="SAPBEXfilterItem 6" xfId="945"/>
    <cellStyle name="SAPBEXfilterItem_Copy of xSAPtemp5457" xfId="946"/>
    <cellStyle name="SAPBEXfilterText" xfId="159"/>
    <cellStyle name="SAPBEXfilterText 2" xfId="947"/>
    <cellStyle name="SAPBEXfilterText 3" xfId="948"/>
    <cellStyle name="SAPBEXfilterText 4" xfId="949"/>
    <cellStyle name="SAPBEXfilterText 5" xfId="950"/>
    <cellStyle name="SAPBEXformats" xfId="160"/>
    <cellStyle name="SAPBEXheaderItem" xfId="161"/>
    <cellStyle name="SAPBEXheaderItem 2" xfId="951"/>
    <cellStyle name="SAPBEXheaderItem 3" xfId="952"/>
    <cellStyle name="SAPBEXheaderItem 4" xfId="953"/>
    <cellStyle name="SAPBEXheaderItem 5" xfId="954"/>
    <cellStyle name="SAPBEXheaderItem 6" xfId="955"/>
    <cellStyle name="SAPBEXheaderItem 7" xfId="956"/>
    <cellStyle name="SAPBEXheaderItem_Copy of xSAPtemp5457" xfId="957"/>
    <cellStyle name="SAPBEXheaderText" xfId="162"/>
    <cellStyle name="SAPBEXheaderText 2" xfId="958"/>
    <cellStyle name="SAPBEXheaderText 3" xfId="959"/>
    <cellStyle name="SAPBEXheaderText 4" xfId="960"/>
    <cellStyle name="SAPBEXheaderText 5" xfId="961"/>
    <cellStyle name="SAPBEXheaderText 6" xfId="962"/>
    <cellStyle name="SAPBEXheaderText 7" xfId="963"/>
    <cellStyle name="SAPBEXheaderText_Copy of xSAPtemp5457" xfId="964"/>
    <cellStyle name="SAPBEXHLevel0" xfId="163"/>
    <cellStyle name="SAPBEXHLevel0 2" xfId="965"/>
    <cellStyle name="SAPBEXHLevel0 3" xfId="966"/>
    <cellStyle name="SAPBEXHLevel0 4" xfId="967"/>
    <cellStyle name="SAPBEXHLevel0 5" xfId="968"/>
    <cellStyle name="SAPBEXHLevel0 6" xfId="969"/>
    <cellStyle name="SAPBEXHLevel0X" xfId="164"/>
    <cellStyle name="SAPBEXHLevel0X 2" xfId="970"/>
    <cellStyle name="SAPBEXHLevel0X 3" xfId="971"/>
    <cellStyle name="SAPBEXHLevel0X 4" xfId="972"/>
    <cellStyle name="SAPBEXHLevel0X 5" xfId="973"/>
    <cellStyle name="SAPBEXHLevel0X 6" xfId="974"/>
    <cellStyle name="SAPBEXHLevel1" xfId="165"/>
    <cellStyle name="SAPBEXHLevel1 2" xfId="975"/>
    <cellStyle name="SAPBEXHLevel1 3" xfId="976"/>
    <cellStyle name="SAPBEXHLevel1 4" xfId="977"/>
    <cellStyle name="SAPBEXHLevel1 5" xfId="978"/>
    <cellStyle name="SAPBEXHLevel1 6" xfId="979"/>
    <cellStyle name="SAPBEXHLevel1X" xfId="166"/>
    <cellStyle name="SAPBEXHLevel1X 2" xfId="980"/>
    <cellStyle name="SAPBEXHLevel1X 3" xfId="981"/>
    <cellStyle name="SAPBEXHLevel1X 4" xfId="982"/>
    <cellStyle name="SAPBEXHLevel1X 5" xfId="983"/>
    <cellStyle name="SAPBEXHLevel1X 6" xfId="984"/>
    <cellStyle name="SAPBEXHLevel2" xfId="167"/>
    <cellStyle name="SAPBEXHLevel2 2" xfId="985"/>
    <cellStyle name="SAPBEXHLevel2 3" xfId="986"/>
    <cellStyle name="SAPBEXHLevel2 4" xfId="987"/>
    <cellStyle name="SAPBEXHLevel2 5" xfId="988"/>
    <cellStyle name="SAPBEXHLevel2 6" xfId="989"/>
    <cellStyle name="SAPBEXHLevel2X" xfId="168"/>
    <cellStyle name="SAPBEXHLevel2X 2" xfId="990"/>
    <cellStyle name="SAPBEXHLevel2X 3" xfId="991"/>
    <cellStyle name="SAPBEXHLevel2X 4" xfId="992"/>
    <cellStyle name="SAPBEXHLevel2X 5" xfId="993"/>
    <cellStyle name="SAPBEXHLevel2X 6" xfId="994"/>
    <cellStyle name="SAPBEXHLevel3" xfId="169"/>
    <cellStyle name="SAPBEXHLevel3 2" xfId="995"/>
    <cellStyle name="SAPBEXHLevel3 3" xfId="996"/>
    <cellStyle name="SAPBEXHLevel3 4" xfId="997"/>
    <cellStyle name="SAPBEXHLevel3 5" xfId="998"/>
    <cellStyle name="SAPBEXHLevel3 6" xfId="999"/>
    <cellStyle name="SAPBEXHLevel3X" xfId="170"/>
    <cellStyle name="SAPBEXHLevel3X 2" xfId="1000"/>
    <cellStyle name="SAPBEXHLevel3X 3" xfId="1001"/>
    <cellStyle name="SAPBEXHLevel3X 4" xfId="1002"/>
    <cellStyle name="SAPBEXHLevel3X 5" xfId="1003"/>
    <cellStyle name="SAPBEXHLevel3X 6" xfId="1004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5"/>
    <cellStyle name="SAPBEXstdData 3" xfId="1006"/>
    <cellStyle name="SAPBEXstdData 4" xfId="1007"/>
    <cellStyle name="SAPBEXstdData 5" xfId="1008"/>
    <cellStyle name="SAPBEXstdData 6" xfId="1009"/>
    <cellStyle name="SAPBEXstdData_Copy of xSAPtemp5457" xfId="1010"/>
    <cellStyle name="SAPBEXstdDataEmph" xfId="176"/>
    <cellStyle name="SAPBEXstdItem" xfId="177"/>
    <cellStyle name="SAPBEXstdItem 2" xfId="1011"/>
    <cellStyle name="SAPBEXstdItem 3" xfId="1012"/>
    <cellStyle name="SAPBEXstdItem 4" xfId="1013"/>
    <cellStyle name="SAPBEXstdItem 5" xfId="1014"/>
    <cellStyle name="SAPBEXstdItem 6" xfId="1015"/>
    <cellStyle name="SAPBEXstdItem_Copy of xSAPtemp5457" xfId="1016"/>
    <cellStyle name="SAPBEXstdItemX" xfId="178"/>
    <cellStyle name="SAPBEXstdItemX 2" xfId="1017"/>
    <cellStyle name="SAPBEXstdItemX 3" xfId="1018"/>
    <cellStyle name="SAPBEXstdItemX 4" xfId="1019"/>
    <cellStyle name="SAPBEXstdItemX 5" xfId="1020"/>
    <cellStyle name="SAPBEXstdItemX 6" xfId="1021"/>
    <cellStyle name="SAPBEXstdItemX_Copy of xSAPtemp5457" xfId="1022"/>
    <cellStyle name="SAPBEXtitle" xfId="179"/>
    <cellStyle name="SAPBEXtitle 2" xfId="211"/>
    <cellStyle name="SAPBEXtitle 3" xfId="1023"/>
    <cellStyle name="SAPBEXtitle 4" xfId="1024"/>
    <cellStyle name="SAPBEXtitle 5" xfId="1025"/>
    <cellStyle name="SAPBEXtitle 6" xfId="1026"/>
    <cellStyle name="SAPBEXtitle 7" xfId="1027"/>
    <cellStyle name="SAPBEXtitle_Copy of xSAPtemp5457" xfId="1028"/>
    <cellStyle name="SAPBEXundefined" xfId="180"/>
    <cellStyle name="Shade" xfId="1029"/>
    <cellStyle name="Sheet Title" xfId="1030"/>
    <cellStyle name="Special" xfId="1031"/>
    <cellStyle name="Special 2" xfId="1032"/>
    <cellStyle name="Special 3" xfId="1033"/>
    <cellStyle name="STYL1 - Style1" xfId="1034"/>
    <cellStyle name="Style 1" xfId="1035"/>
    <cellStyle name="Style 21" xfId="1036"/>
    <cellStyle name="Style 22" xfId="1037"/>
    <cellStyle name="Style 24" xfId="1038"/>
    <cellStyle name="Style 27" xfId="1039"/>
    <cellStyle name="Style 35" xfId="1040"/>
    <cellStyle name="Style 35 2" xfId="1041"/>
    <cellStyle name="Style 36" xfId="1042"/>
    <cellStyle name="Style 36 2" xfId="1043"/>
    <cellStyle name="Table  - Style6" xfId="1044"/>
    <cellStyle name="Text" xfId="1045"/>
    <cellStyle name="Title  - Style1" xfId="1046"/>
    <cellStyle name="Title 2" xfId="1047"/>
    <cellStyle name="Title 3" xfId="1048"/>
    <cellStyle name="Title 4" xfId="1049"/>
    <cellStyle name="Title 5" xfId="1050"/>
    <cellStyle name="Title 6" xfId="1051"/>
    <cellStyle name="Titles" xfId="212"/>
    <cellStyle name="Titles 2" xfId="1052"/>
    <cellStyle name="Total 2" xfId="1053"/>
    <cellStyle name="Total 2 2" xfId="1054"/>
    <cellStyle name="Total 3" xfId="1055"/>
    <cellStyle name="Total 4" xfId="1056"/>
    <cellStyle name="Total 5" xfId="1057"/>
    <cellStyle name="Total2 - Style2" xfId="1058"/>
    <cellStyle name="TotCol - Style5" xfId="1059"/>
    <cellStyle name="TotRow - Style4" xfId="1060"/>
    <cellStyle name="TRANSMISSION RELIABILITY PORTION OF PROJECT" xfId="25"/>
    <cellStyle name="Tusental (0)_pldt" xfId="1061"/>
    <cellStyle name="Tusental_pldt" xfId="1062"/>
    <cellStyle name="Underl - Style4" xfId="1063"/>
    <cellStyle name="UNLocked" xfId="1064"/>
    <cellStyle name="Unprot" xfId="181"/>
    <cellStyle name="Unprot 2" xfId="1065"/>
    <cellStyle name="Unprot 3" xfId="1066"/>
    <cellStyle name="Unprot 4" xfId="1067"/>
    <cellStyle name="Unprot$" xfId="182"/>
    <cellStyle name="Unprot$ 2" xfId="1068"/>
    <cellStyle name="Unprot$ 3" xfId="1069"/>
    <cellStyle name="Unprot$ 4" xfId="1070"/>
    <cellStyle name="Unprot_Book4 (11) (2)" xfId="1071"/>
    <cellStyle name="Unprotect" xfId="183"/>
    <cellStyle name="Valuta (0)_pldt" xfId="1072"/>
    <cellStyle name="Valuta_pldt" xfId="1073"/>
    <cellStyle name="Warning Text 2" xfId="1074"/>
    <cellStyle name="Warning Text 3" xfId="1075"/>
    <cellStyle name="Warning Text 4" xfId="1076"/>
    <cellStyle name="Warning Text 5" xfId="1077"/>
    <cellStyle name="Warning Text 6" xfId="107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1"/>
  <sheetViews>
    <sheetView view="pageBreakPreview" topLeftCell="A25" zoomScale="70" zoomScaleNormal="75" zoomScaleSheetLayoutView="70" workbookViewId="0">
      <selection activeCell="AC49" sqref="AC49"/>
    </sheetView>
  </sheetViews>
  <sheetFormatPr defaultColWidth="9" defaultRowHeight="15.75"/>
  <cols>
    <col min="1" max="1" width="4.625" style="17" customWidth="1"/>
    <col min="2" max="2" width="0.75" style="17" customWidth="1"/>
    <col min="3" max="3" width="39.375" style="17" customWidth="1"/>
    <col min="4" max="4" width="0.75" style="17" customWidth="1"/>
    <col min="5" max="5" width="7.125" style="17" bestFit="1" customWidth="1"/>
    <col min="6" max="6" width="0.75" style="17" customWidth="1"/>
    <col min="7" max="7" width="10.625" style="17" bestFit="1" customWidth="1"/>
    <col min="8" max="8" width="0.75" style="17" customWidth="1"/>
    <col min="9" max="9" width="12" style="17" bestFit="1" customWidth="1"/>
    <col min="10" max="10" width="0.75" style="17" customWidth="1"/>
    <col min="11" max="11" width="11.25" style="17" bestFit="1" customWidth="1"/>
    <col min="12" max="12" width="0.75" style="17" customWidth="1"/>
    <col min="13" max="13" width="8.25" style="17" bestFit="1" customWidth="1"/>
    <col min="14" max="14" width="0.75" style="17" customWidth="1"/>
    <col min="15" max="15" width="11.25" style="17" bestFit="1" customWidth="1"/>
    <col min="16" max="16" width="0.75" style="17" customWidth="1"/>
    <col min="17" max="17" width="11.25" style="17" bestFit="1" customWidth="1"/>
    <col min="18" max="18" width="0.75" style="17" customWidth="1"/>
    <col min="19" max="19" width="8.25" style="17" bestFit="1" customWidth="1"/>
    <col min="20" max="20" width="0.75" style="17" customWidth="1"/>
    <col min="21" max="21" width="11.25" style="17" bestFit="1" customWidth="1"/>
    <col min="22" max="22" width="0.75" style="17" customWidth="1"/>
    <col min="23" max="23" width="6.75" style="17" bestFit="1" customWidth="1"/>
    <col min="24" max="24" width="0.75" style="17" customWidth="1"/>
    <col min="25" max="25" width="5.25" style="111" bestFit="1" customWidth="1"/>
    <col min="26" max="26" width="0.75" style="17" customWidth="1"/>
    <col min="27" max="27" width="6.75" style="17" bestFit="1" customWidth="1"/>
    <col min="28" max="28" width="0.75" style="17" customWidth="1"/>
    <col min="29" max="29" width="8.25" style="111" bestFit="1" customWidth="1"/>
    <col min="30" max="30" width="9" style="17"/>
    <col min="31" max="31" width="13.125" style="17" bestFit="1" customWidth="1"/>
    <col min="32" max="16384" width="9" style="17"/>
  </cols>
  <sheetData>
    <row r="1" spans="1:31">
      <c r="A1" s="10" t="s">
        <v>181</v>
      </c>
      <c r="B1" s="10"/>
      <c r="C1" s="10"/>
      <c r="D1" s="10"/>
      <c r="E1" s="10"/>
      <c r="F1" s="10"/>
      <c r="G1" s="10"/>
      <c r="H1" s="10"/>
      <c r="I1" s="10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105"/>
      <c r="Z1" s="10"/>
      <c r="AA1" s="18"/>
      <c r="AB1" s="10"/>
      <c r="AC1" s="106"/>
    </row>
    <row r="2" spans="1:31" customFormat="1">
      <c r="A2" s="10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  <c r="Z2" s="107"/>
      <c r="AA2" s="107"/>
      <c r="AB2" s="107"/>
      <c r="AC2" s="109"/>
    </row>
    <row r="3" spans="1:31" customFormat="1">
      <c r="A3" s="10" t="s">
        <v>172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107"/>
      <c r="AA3" s="107"/>
      <c r="AB3" s="107"/>
      <c r="AC3" s="109"/>
    </row>
    <row r="4" spans="1:31" customFormat="1">
      <c r="A4" s="10" t="s">
        <v>124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  <c r="Z4" s="107"/>
      <c r="AA4" s="107"/>
      <c r="AB4" s="107"/>
      <c r="AC4" s="109"/>
    </row>
    <row r="5" spans="1:31" customFormat="1" ht="16.5">
      <c r="A5" s="47" t="s">
        <v>316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8"/>
      <c r="Z5" s="107"/>
      <c r="AA5" s="107"/>
      <c r="AB5" s="107"/>
      <c r="AC5" s="108"/>
    </row>
    <row r="6" spans="1:31">
      <c r="A6" s="10" t="s">
        <v>317</v>
      </c>
      <c r="B6" s="107"/>
      <c r="C6" s="107"/>
      <c r="D6" s="107"/>
      <c r="E6" s="107"/>
      <c r="F6" s="107"/>
      <c r="G6" s="107"/>
      <c r="H6" s="107"/>
      <c r="I6" s="107"/>
      <c r="J6" s="18"/>
      <c r="K6" s="18"/>
      <c r="L6" s="18"/>
      <c r="M6" s="18"/>
      <c r="N6" s="18"/>
      <c r="O6" s="18"/>
      <c r="P6" s="18"/>
      <c r="Q6" s="18"/>
      <c r="R6" s="107"/>
      <c r="S6" s="18"/>
      <c r="T6" s="18"/>
      <c r="U6" s="18"/>
      <c r="V6" s="18"/>
      <c r="W6" s="18"/>
      <c r="X6" s="18"/>
      <c r="Y6" s="105"/>
      <c r="Z6" s="18"/>
      <c r="AA6" s="18"/>
      <c r="AB6" s="18"/>
      <c r="AC6" s="105"/>
    </row>
    <row r="7" spans="1:31" ht="10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8"/>
      <c r="L7" s="10"/>
      <c r="M7" s="18"/>
      <c r="N7" s="10"/>
      <c r="O7" s="18"/>
      <c r="P7" s="10"/>
      <c r="Q7" s="18"/>
      <c r="R7" s="10"/>
      <c r="S7" s="18"/>
      <c r="T7" s="10"/>
      <c r="U7" s="18"/>
      <c r="V7" s="10"/>
      <c r="W7" s="18"/>
      <c r="X7" s="10"/>
      <c r="Y7" s="105"/>
      <c r="Z7" s="10"/>
      <c r="AA7" s="18"/>
      <c r="AB7" s="10"/>
      <c r="AC7" s="105"/>
    </row>
    <row r="8" spans="1:31">
      <c r="D8" s="110"/>
      <c r="F8" s="110"/>
      <c r="G8" s="19"/>
      <c r="H8" s="110"/>
      <c r="J8" s="110"/>
      <c r="L8" s="110"/>
      <c r="N8" s="110"/>
      <c r="P8" s="110"/>
      <c r="R8" s="110"/>
      <c r="T8" s="110"/>
      <c r="V8" s="110"/>
      <c r="Z8" s="110"/>
    </row>
    <row r="9" spans="1:31">
      <c r="D9" s="19"/>
      <c r="E9" s="19"/>
      <c r="F9" s="19"/>
      <c r="G9" s="19" t="s">
        <v>182</v>
      </c>
      <c r="H9" s="19"/>
      <c r="I9" s="19"/>
      <c r="J9" s="19"/>
      <c r="K9" s="19"/>
      <c r="L9" s="19"/>
      <c r="M9" s="10"/>
      <c r="N9" s="19"/>
      <c r="O9" s="10"/>
      <c r="P9" s="19"/>
      <c r="Q9" s="19"/>
      <c r="R9" s="19"/>
      <c r="S9" s="10"/>
      <c r="T9" s="19"/>
      <c r="U9" s="10"/>
      <c r="V9" s="19"/>
      <c r="W9" s="88" t="s">
        <v>127</v>
      </c>
      <c r="X9" s="88"/>
      <c r="Y9" s="112"/>
      <c r="Z9" s="88"/>
      <c r="AA9" s="88"/>
      <c r="AB9" s="88"/>
      <c r="AC9" s="112"/>
    </row>
    <row r="10" spans="1:31" s="9" customFormat="1">
      <c r="A10" s="9" t="s">
        <v>125</v>
      </c>
      <c r="D10" s="19"/>
      <c r="E10" s="19" t="s">
        <v>126</v>
      </c>
      <c r="F10" s="19"/>
      <c r="G10" s="19" t="s">
        <v>25</v>
      </c>
      <c r="H10" s="19"/>
      <c r="I10" s="19" t="s">
        <v>183</v>
      </c>
      <c r="J10" s="19"/>
      <c r="K10" s="88" t="s">
        <v>184</v>
      </c>
      <c r="L10" s="88"/>
      <c r="M10" s="88"/>
      <c r="N10" s="88"/>
      <c r="O10" s="88"/>
      <c r="P10" s="19"/>
      <c r="Q10" s="88" t="s">
        <v>185</v>
      </c>
      <c r="R10" s="10"/>
      <c r="S10" s="88"/>
      <c r="T10" s="88"/>
      <c r="U10" s="88"/>
      <c r="V10" s="19"/>
      <c r="W10" s="88" t="s">
        <v>186</v>
      </c>
      <c r="X10" s="88"/>
      <c r="Y10" s="112"/>
      <c r="Z10" s="19"/>
      <c r="AA10" s="88" t="s">
        <v>187</v>
      </c>
      <c r="AB10" s="88"/>
      <c r="AC10" s="112"/>
    </row>
    <row r="11" spans="1:31" s="9" customFormat="1">
      <c r="A11" s="9" t="s">
        <v>128</v>
      </c>
      <c r="C11" s="19" t="s">
        <v>129</v>
      </c>
      <c r="E11" s="113" t="s">
        <v>128</v>
      </c>
      <c r="G11" s="113" t="s">
        <v>130</v>
      </c>
      <c r="I11" s="113" t="s">
        <v>130</v>
      </c>
      <c r="K11" s="114" t="s">
        <v>186</v>
      </c>
      <c r="M11" s="114" t="s">
        <v>368</v>
      </c>
      <c r="O11" s="114" t="s">
        <v>187</v>
      </c>
      <c r="Q11" s="114" t="s">
        <v>186</v>
      </c>
      <c r="S11" s="114" t="s">
        <v>368</v>
      </c>
      <c r="U11" s="114" t="s">
        <v>187</v>
      </c>
      <c r="W11" s="114" t="s">
        <v>131</v>
      </c>
      <c r="Y11" s="115" t="s">
        <v>188</v>
      </c>
      <c r="AA11" s="114" t="s">
        <v>131</v>
      </c>
      <c r="AC11" s="115" t="s">
        <v>188</v>
      </c>
    </row>
    <row r="12" spans="1:31" s="9" customFormat="1">
      <c r="C12" s="2">
        <v>-1</v>
      </c>
      <c r="D12" s="2"/>
      <c r="E12" s="2">
        <f>MIN($A12:D12)-1</f>
        <v>-2</v>
      </c>
      <c r="F12" s="2"/>
      <c r="G12" s="2">
        <f>MIN($A12:F12)-1</f>
        <v>-3</v>
      </c>
      <c r="H12" s="2"/>
      <c r="I12" s="2">
        <f>MIN($A12:H12)-1</f>
        <v>-4</v>
      </c>
      <c r="J12" s="2"/>
      <c r="K12" s="2">
        <f>MIN($A12:J12)-1</f>
        <v>-5</v>
      </c>
      <c r="L12" s="2"/>
      <c r="M12" s="2">
        <f>MIN($A12:L12)-1</f>
        <v>-6</v>
      </c>
      <c r="N12" s="2"/>
      <c r="O12" s="2">
        <f>MIN($A12:N12)-1</f>
        <v>-7</v>
      </c>
      <c r="P12" s="2"/>
      <c r="Q12" s="2">
        <f>MIN($A12:P12)-1</f>
        <v>-8</v>
      </c>
      <c r="R12" s="2"/>
      <c r="S12" s="2">
        <f>MIN($A12:R12)-1</f>
        <v>-9</v>
      </c>
      <c r="T12" s="2"/>
      <c r="U12" s="2">
        <f>MIN($A12:T12)-1</f>
        <v>-10</v>
      </c>
      <c r="V12" s="2"/>
      <c r="W12" s="2">
        <f>MIN($A12:V12)-1</f>
        <v>-11</v>
      </c>
      <c r="X12" s="2"/>
      <c r="Y12" s="2">
        <f>MIN($A12:X12)-1</f>
        <v>-12</v>
      </c>
      <c r="Z12" s="2"/>
      <c r="AA12" s="2">
        <f>MIN($A12:Z12)-1</f>
        <v>-13</v>
      </c>
      <c r="AB12" s="2"/>
      <c r="AC12" s="2">
        <f>MIN($A12:AB12)-1</f>
        <v>-14</v>
      </c>
    </row>
    <row r="13" spans="1:31" s="9" customFormat="1">
      <c r="Y13" s="116"/>
      <c r="AC13" s="116"/>
    </row>
    <row r="14" spans="1:31">
      <c r="C14" s="9" t="s">
        <v>132</v>
      </c>
    </row>
    <row r="15" spans="1:31">
      <c r="A15" s="17">
        <v>1</v>
      </c>
      <c r="C15" s="17" t="s">
        <v>132</v>
      </c>
      <c r="E15" s="20" t="s">
        <v>133</v>
      </c>
      <c r="G15" s="3">
        <v>857245</v>
      </c>
      <c r="I15" s="3">
        <v>6776607.1933199447</v>
      </c>
      <c r="J15" s="42"/>
      <c r="K15" s="4">
        <f>SUM('Exhibit-RMP(RMM-2)'!G28,'Exhibit-RMP(RMM-2)'!G90,'Exhibit-RMP(RMM-2)'!G111,'Exhibit-RMP(RMM-2)'!G132)/1000</f>
        <v>749393.10800000001</v>
      </c>
      <c r="L15" s="42"/>
      <c r="M15" s="4">
        <f>SUM('Exhibit-RMP(RMM-2)'!K28,'Exhibit-RMP(RMM-2)'!K90,'Exhibit-RMP(RMM-2)'!K111,'Exhibit-RMP(RMM-2)'!K132)/1000</f>
        <v>-401.80208519999996</v>
      </c>
      <c r="N15" s="42"/>
      <c r="O15" s="4">
        <f>K15+M15</f>
        <v>748991.30591480003</v>
      </c>
      <c r="P15" s="42"/>
      <c r="Q15" s="4">
        <f>K15</f>
        <v>749393.10800000001</v>
      </c>
      <c r="S15" s="4">
        <f>SUM('Exhibit-RMP(RMM-2)'!O28,'Exhibit-RMP(RMM-2)'!O90,'Exhibit-RMP(RMM-2)'!O111,'Exhibit-RMP(RMM-2)'!O132)/1000</f>
        <v>-401.80208519999996</v>
      </c>
      <c r="T15" s="42"/>
      <c r="U15" s="4">
        <f>Q15+S15</f>
        <v>748991.30591480003</v>
      </c>
      <c r="V15" s="42"/>
      <c r="W15" s="4">
        <f>Q15-K15</f>
        <v>0</v>
      </c>
      <c r="X15" s="42"/>
      <c r="Y15" s="30">
        <f>W15/K15</f>
        <v>0</v>
      </c>
      <c r="Z15" s="42"/>
      <c r="AA15" s="4">
        <f>U15-O15</f>
        <v>0</v>
      </c>
      <c r="AB15" s="42"/>
      <c r="AC15" s="30">
        <f>AA15/O15</f>
        <v>0</v>
      </c>
    </row>
    <row r="16" spans="1:31">
      <c r="A16" s="17">
        <f>MAX(A$14:A15)+1</f>
        <v>2</v>
      </c>
      <c r="C16" s="17" t="s">
        <v>134</v>
      </c>
      <c r="E16" s="20" t="s">
        <v>328</v>
      </c>
      <c r="G16" s="3">
        <v>623</v>
      </c>
      <c r="I16" s="3">
        <v>6392.1840452160832</v>
      </c>
      <c r="J16" s="42"/>
      <c r="K16" s="4">
        <f>SUM('Exhibit-RMP(RMM-2)'!G49,'Exhibit-RMP(RMM-2)'!G69)/1000</f>
        <v>612.09</v>
      </c>
      <c r="L16" s="42"/>
      <c r="M16" s="4">
        <f>SUM('Exhibit-RMP(RMM-2)'!K49,'Exhibit-RMP(RMM-2)'!K69)/1000</f>
        <v>-0.33410400000000001</v>
      </c>
      <c r="N16" s="42"/>
      <c r="O16" s="4">
        <f t="shared" ref="O16:O17" si="0">K16+M16</f>
        <v>611.75589600000001</v>
      </c>
      <c r="P16" s="42"/>
      <c r="Q16" s="4">
        <f t="shared" ref="Q16:Q17" si="1">K16</f>
        <v>612.09</v>
      </c>
      <c r="S16" s="4">
        <f>SUM('Exhibit-RMP(RMM-2)'!O49,'Exhibit-RMP(RMM-2)'!O69)/1000</f>
        <v>-0.33410400000000001</v>
      </c>
      <c r="T16" s="42"/>
      <c r="U16" s="4">
        <f t="shared" ref="U16:U17" si="2">Q16+S16</f>
        <v>611.75589600000001</v>
      </c>
      <c r="V16" s="42"/>
      <c r="W16" s="4">
        <f t="shared" ref="W16:W17" si="3">Q16-K16</f>
        <v>0</v>
      </c>
      <c r="X16" s="42"/>
      <c r="Y16" s="30">
        <f t="shared" ref="Y16:Y18" si="4">W16/K16</f>
        <v>0</v>
      </c>
      <c r="Z16" s="42"/>
      <c r="AA16" s="4">
        <f t="shared" ref="AA16:AA17" si="5">U16-O16</f>
        <v>0</v>
      </c>
      <c r="AB16" s="42"/>
      <c r="AC16" s="30">
        <f t="shared" ref="AC16:AC17" si="6">AA16/O16</f>
        <v>0</v>
      </c>
      <c r="AD16" s="18" t="s">
        <v>201</v>
      </c>
      <c r="AE16" s="18"/>
    </row>
    <row r="17" spans="1:31">
      <c r="A17" s="17">
        <f>MAX(A$14:A16)+1</f>
        <v>3</v>
      </c>
      <c r="C17" s="17" t="s">
        <v>135</v>
      </c>
      <c r="E17" s="20" t="s">
        <v>136</v>
      </c>
      <c r="G17" s="117"/>
      <c r="I17" s="117"/>
      <c r="J17" s="42"/>
      <c r="K17" s="118">
        <f>'Exhibit-RMP(RMM-2)'!G761/1000</f>
        <v>6.7950900000000622</v>
      </c>
      <c r="L17" s="42"/>
      <c r="M17" s="118"/>
      <c r="N17" s="42"/>
      <c r="O17" s="118">
        <f t="shared" si="0"/>
        <v>6.7950900000000622</v>
      </c>
      <c r="P17" s="42"/>
      <c r="Q17" s="118">
        <f t="shared" si="1"/>
        <v>6.7950900000000622</v>
      </c>
      <c r="S17" s="118"/>
      <c r="T17" s="42"/>
      <c r="U17" s="118">
        <f t="shared" si="2"/>
        <v>6.7950900000000622</v>
      </c>
      <c r="V17" s="42"/>
      <c r="W17" s="118">
        <f t="shared" si="3"/>
        <v>0</v>
      </c>
      <c r="X17" s="42"/>
      <c r="Y17" s="119">
        <f t="shared" si="4"/>
        <v>0</v>
      </c>
      <c r="Z17" s="42"/>
      <c r="AA17" s="118">
        <f t="shared" si="5"/>
        <v>0</v>
      </c>
      <c r="AB17" s="42"/>
      <c r="AC17" s="119">
        <f t="shared" si="6"/>
        <v>0</v>
      </c>
      <c r="AD17" s="120" t="s">
        <v>180</v>
      </c>
      <c r="AE17" s="120" t="s">
        <v>127</v>
      </c>
    </row>
    <row r="18" spans="1:31">
      <c r="A18" s="17">
        <f>MAX(A$14:A17)+1</f>
        <v>4</v>
      </c>
      <c r="C18" s="9" t="s">
        <v>137</v>
      </c>
      <c r="G18" s="3">
        <v>857868</v>
      </c>
      <c r="I18" s="3">
        <v>6782999.3773651607</v>
      </c>
      <c r="J18" s="42"/>
      <c r="K18" s="4">
        <f>SUM(K15:K17)</f>
        <v>750011.99309</v>
      </c>
      <c r="L18" s="42"/>
      <c r="M18" s="4">
        <f>SUM(M15:M17)</f>
        <v>-402.13618919999999</v>
      </c>
      <c r="N18" s="42"/>
      <c r="O18" s="4">
        <f>SUM(O15:O17)</f>
        <v>749609.85690080002</v>
      </c>
      <c r="P18" s="42"/>
      <c r="Q18" s="4">
        <f>SUM(Q15:Q17)</f>
        <v>750011.99309</v>
      </c>
      <c r="S18" s="4">
        <f>SUM(S15:S17)</f>
        <v>-402.13618919999999</v>
      </c>
      <c r="T18" s="42"/>
      <c r="U18" s="4">
        <f>SUM(U15:U17)</f>
        <v>749609.85690080002</v>
      </c>
      <c r="V18" s="42"/>
      <c r="W18" s="4">
        <f>SUM(W15:W17)</f>
        <v>0</v>
      </c>
      <c r="X18" s="42"/>
      <c r="Y18" s="30">
        <f t="shared" si="4"/>
        <v>0</v>
      </c>
      <c r="Z18" s="42"/>
      <c r="AA18" s="4">
        <f>SUM(AA15:AA17)</f>
        <v>0</v>
      </c>
      <c r="AB18" s="42"/>
      <c r="AC18" s="30">
        <f>AA18/O18</f>
        <v>0</v>
      </c>
      <c r="AD18" s="3">
        <f>I18/G18/12*1000</f>
        <v>658.90084268647786</v>
      </c>
      <c r="AE18" s="35">
        <f>AA18/(G18*12)*1000</f>
        <v>0</v>
      </c>
    </row>
    <row r="19" spans="1:31" ht="24.95" customHeight="1">
      <c r="C19" s="9" t="s">
        <v>138</v>
      </c>
      <c r="G19" s="3"/>
      <c r="I19" s="3"/>
      <c r="J19" s="42"/>
      <c r="K19" s="4"/>
      <c r="L19" s="42"/>
      <c r="M19" s="4"/>
      <c r="N19" s="42"/>
      <c r="O19" s="4"/>
      <c r="P19" s="42"/>
      <c r="Q19" s="4"/>
      <c r="S19" s="4"/>
      <c r="T19" s="42"/>
      <c r="U19" s="4"/>
      <c r="V19" s="42"/>
      <c r="W19" s="4"/>
      <c r="X19" s="42"/>
      <c r="Y19" s="30"/>
      <c r="Z19" s="42"/>
      <c r="AA19" s="4"/>
      <c r="AB19" s="42"/>
      <c r="AC19" s="30"/>
    </row>
    <row r="20" spans="1:31">
      <c r="A20" s="17">
        <f>MAX(A$14:A19)+1</f>
        <v>5</v>
      </c>
      <c r="C20" s="17" t="s">
        <v>139</v>
      </c>
      <c r="E20" s="22">
        <v>6</v>
      </c>
      <c r="G20" s="3">
        <f>13514+16</f>
        <v>13530</v>
      </c>
      <c r="I20" s="3">
        <f>5786326.15829769+3380.691</f>
        <v>5789706.8492976893</v>
      </c>
      <c r="J20" s="42"/>
      <c r="K20" s="4">
        <f>SUM('Exhibit-RMP(RMM-2)'!G195,-'Exhibit-RMP(RMM-2)'!G207,'Exhibit-RMP(RMM-2)'!G221,-'Exhibit-RMP(RMM-2)'!G232,'Exhibit-RMP(RMM-2)'!G246,-'Exhibit-RMP(RMM-2)'!G257,'Exhibit-RMP(RMM-2)'!G146,'Exhibit-RMP(RMM-2)'!G158,'Exhibit-RMP(RMM-2)'!G170)/1000+SUM('Exhibit-RMP(RMM-2)'!G271,-'Exhibit-RMP(RMM-2)'!G281,'Exhibit-RMP(RMM-2)'!G181)/1000</f>
        <v>476830.033</v>
      </c>
      <c r="L20" s="42"/>
      <c r="M20" s="4">
        <f>SUM('Exhibit-RMP(RMM-2)'!K195,-'Exhibit-RMP(RMM-2)'!K207,'Exhibit-RMP(RMM-2)'!K221,-'Exhibit-RMP(RMM-2)'!K232,'Exhibit-RMP(RMM-2)'!K246,-'Exhibit-RMP(RMM-2)'!K257,'Exhibit-RMP(RMM-2)'!K146,'Exhibit-RMP(RMM-2)'!K158,'Exhibit-RMP(RMM-2)'!K170)/1000+SUM('Exhibit-RMP(RMM-2)'!K271,-'Exhibit-RMP(RMM-2)'!K281,'Exhibit-RMP(RMM-2)'!K181)/1000</f>
        <v>-291.42353799999995</v>
      </c>
      <c r="N20" s="42"/>
      <c r="O20" s="4">
        <f t="shared" ref="O20:O21" si="7">K20+M20</f>
        <v>476538.60946200002</v>
      </c>
      <c r="P20" s="42"/>
      <c r="Q20" s="4">
        <f t="shared" ref="Q20:Q21" si="8">K20</f>
        <v>476830.033</v>
      </c>
      <c r="S20" s="4">
        <f>SUM('Exhibit-RMP(RMM-2)'!O195,-'Exhibit-RMP(RMM-2)'!O207,'Exhibit-RMP(RMM-2)'!O221,-'Exhibit-RMP(RMM-2)'!O232,'Exhibit-RMP(RMM-2)'!O246,-'Exhibit-RMP(RMM-2)'!O257,'Exhibit-RMP(RMM-2)'!O146,'Exhibit-RMP(RMM-2)'!O158,'Exhibit-RMP(RMM-2)'!O170)/1000+SUM('Exhibit-RMP(RMM-2)'!O271,-'Exhibit-RMP(RMM-2)'!O281,'Exhibit-RMP(RMM-2)'!O181)/1000</f>
        <v>-281.75278879999996</v>
      </c>
      <c r="T20" s="42"/>
      <c r="U20" s="4">
        <f t="shared" ref="U20:U21" si="9">Q20+S20</f>
        <v>476548.28021120001</v>
      </c>
      <c r="V20" s="42"/>
      <c r="W20" s="4">
        <f t="shared" ref="W20:W21" si="10">Q20-K20</f>
        <v>0</v>
      </c>
      <c r="X20" s="42"/>
      <c r="Y20" s="30">
        <f t="shared" ref="Y20:Y38" si="11">W20/K20</f>
        <v>0</v>
      </c>
      <c r="Z20" s="42"/>
      <c r="AA20" s="4">
        <f t="shared" ref="AA20:AA21" si="12">U20-O20</f>
        <v>9.6707491999841295</v>
      </c>
      <c r="AB20" s="42"/>
      <c r="AC20" s="30">
        <f t="shared" ref="AC20:AC38" si="13">AA20/O20</f>
        <v>2.0293736977371382E-5</v>
      </c>
    </row>
    <row r="21" spans="1:31">
      <c r="A21" s="17">
        <f>MAX(A$14:A20)+1</f>
        <v>6</v>
      </c>
      <c r="C21" s="17" t="s">
        <v>140</v>
      </c>
      <c r="E21" s="20" t="s">
        <v>141</v>
      </c>
      <c r="G21" s="121">
        <f>2806+ROUND('Exhibit-RMP(RMM-2)'!C516/12,0)</f>
        <v>2807</v>
      </c>
      <c r="I21" s="121">
        <f>404017.650225809+'Exhibit-RMP(RMM-2)'!C526/1000</f>
        <v>404256.108225809</v>
      </c>
      <c r="J21" s="42"/>
      <c r="K21" s="118">
        <f>SUM('Exhibit-RMP(RMM-2)'!G296,'Exhibit-RMP(RMM-2)'!G309,'Exhibit-RMP(RMM-2)'!G526)/1000</f>
        <v>47103.563999999998</v>
      </c>
      <c r="L21" s="42"/>
      <c r="M21" s="118">
        <f>SUM('Exhibit-RMP(RMM-2)'!K296,'Exhibit-RMP(RMM-2)'!K309,'Exhibit-RMP(RMM-2)'!K526)/1000</f>
        <v>-39.011014799999998</v>
      </c>
      <c r="N21" s="42"/>
      <c r="O21" s="118">
        <f t="shared" si="7"/>
        <v>47064.552985199996</v>
      </c>
      <c r="P21" s="42"/>
      <c r="Q21" s="118">
        <f t="shared" si="8"/>
        <v>47103.563999999998</v>
      </c>
      <c r="S21" s="118">
        <f>SUM('Exhibit-RMP(RMM-2)'!O296,'Exhibit-RMP(RMM-2)'!O309,'Exhibit-RMP(RMM-2)'!O526)/1000</f>
        <v>-21.672785999999995</v>
      </c>
      <c r="T21" s="42"/>
      <c r="U21" s="118">
        <f t="shared" si="9"/>
        <v>47081.891213999996</v>
      </c>
      <c r="V21" s="42"/>
      <c r="W21" s="118">
        <f t="shared" si="10"/>
        <v>0</v>
      </c>
      <c r="X21" s="42"/>
      <c r="Y21" s="119">
        <f t="shared" si="11"/>
        <v>0</v>
      </c>
      <c r="Z21" s="42"/>
      <c r="AA21" s="118">
        <f t="shared" si="12"/>
        <v>17.338228799999342</v>
      </c>
      <c r="AB21" s="42"/>
      <c r="AC21" s="119">
        <f t="shared" si="13"/>
        <v>3.6839250986727854E-4</v>
      </c>
    </row>
    <row r="22" spans="1:31">
      <c r="A22" s="17">
        <f>MAX(A$14:A21)+1</f>
        <v>7</v>
      </c>
      <c r="C22" s="23" t="s">
        <v>142</v>
      </c>
      <c r="G22" s="3">
        <f>SUM(G20:G21)</f>
        <v>16337</v>
      </c>
      <c r="I22" s="3">
        <f>SUM(I20:I21)</f>
        <v>6193962.9575234987</v>
      </c>
      <c r="J22" s="42"/>
      <c r="K22" s="4">
        <f>SUM(K20:K21)</f>
        <v>523933.59700000001</v>
      </c>
      <c r="L22" s="42"/>
      <c r="M22" s="4">
        <f>SUM(M20:M21)</f>
        <v>-330.43455279999995</v>
      </c>
      <c r="N22" s="42"/>
      <c r="O22" s="4">
        <f>SUM(O20:O21)</f>
        <v>523603.16244720004</v>
      </c>
      <c r="P22" s="42"/>
      <c r="Q22" s="4">
        <f>SUM(Q20:Q21)</f>
        <v>523933.59700000001</v>
      </c>
      <c r="S22" s="4">
        <f>SUM(S20:S21)</f>
        <v>-303.42557479999994</v>
      </c>
      <c r="T22" s="42"/>
      <c r="U22" s="4">
        <f>SUM(U20:U21)</f>
        <v>523630.17142520001</v>
      </c>
      <c r="V22" s="42"/>
      <c r="W22" s="4">
        <f>SUM(W20:W21)</f>
        <v>0</v>
      </c>
      <c r="X22" s="42"/>
      <c r="Y22" s="30">
        <f t="shared" si="11"/>
        <v>0</v>
      </c>
      <c r="Z22" s="42"/>
      <c r="AA22" s="4">
        <f>SUM(AA20:AA21)</f>
        <v>27.008977999983472</v>
      </c>
      <c r="AB22" s="42"/>
      <c r="AC22" s="30">
        <f t="shared" si="13"/>
        <v>5.1582916103389744E-5</v>
      </c>
    </row>
    <row r="23" spans="1:31" ht="21.95" customHeight="1">
      <c r="A23" s="17">
        <f>MAX(A$14:A22)+1</f>
        <v>8</v>
      </c>
      <c r="C23" s="17" t="s">
        <v>143</v>
      </c>
      <c r="E23" s="20">
        <v>8</v>
      </c>
      <c r="F23" s="3"/>
      <c r="G23" s="3">
        <v>249</v>
      </c>
      <c r="I23" s="3">
        <v>2020703.4442505348</v>
      </c>
      <c r="J23" s="42"/>
      <c r="K23" s="5">
        <f>SUM('Exhibit-RMP(RMM-2)'!G328,'Exhibit-RMP(RMM-2)'!G340)/1000</f>
        <v>148125.87700000001</v>
      </c>
      <c r="L23" s="42"/>
      <c r="M23" s="5">
        <f>SUM('Exhibit-RMP(RMM-2)'!K328,'Exhibit-RMP(RMM-2)'!K340)/1000</f>
        <v>-77.387200199999995</v>
      </c>
      <c r="N23" s="42"/>
      <c r="O23" s="4">
        <f t="shared" ref="O23:O25" si="14">K23+M23</f>
        <v>148048.48979980001</v>
      </c>
      <c r="P23" s="42"/>
      <c r="Q23" s="4">
        <f t="shared" ref="Q23:Q25" si="15">K23</f>
        <v>148125.87700000001</v>
      </c>
      <c r="S23" s="5">
        <f>SUM('Exhibit-RMP(RMM-2)'!O328,'Exhibit-RMP(RMM-2)'!O340)/1000</f>
        <v>-103.1829336</v>
      </c>
      <c r="T23" s="42"/>
      <c r="U23" s="4">
        <f t="shared" ref="U23:U25" si="16">Q23+S23</f>
        <v>148022.6940664</v>
      </c>
      <c r="V23" s="42"/>
      <c r="W23" s="4">
        <f t="shared" ref="W23:W25" si="17">Q23-K23</f>
        <v>0</v>
      </c>
      <c r="X23" s="42"/>
      <c r="Y23" s="30">
        <f t="shared" si="11"/>
        <v>0</v>
      </c>
      <c r="Z23" s="42"/>
      <c r="AA23" s="4">
        <f t="shared" ref="AA23:AA25" si="18">U23-O23</f>
        <v>-25.79573340000934</v>
      </c>
      <c r="AB23" s="42"/>
      <c r="AC23" s="30">
        <f t="shared" si="13"/>
        <v>-1.7423840955684092E-4</v>
      </c>
    </row>
    <row r="24" spans="1:31" ht="21.95" customHeight="1">
      <c r="A24" s="17">
        <f>MAX(A$14:A23)+1</f>
        <v>9</v>
      </c>
      <c r="C24" s="17" t="s">
        <v>144</v>
      </c>
      <c r="E24" s="17">
        <v>9</v>
      </c>
      <c r="G24" s="3">
        <f>156+ROUND('Exhibit-RMP(RMM-2)'!C528/12,0)</f>
        <v>158</v>
      </c>
      <c r="I24" s="3">
        <f>4847331.95430513+'Exhibit-RMP(RMM-2)'!C536/1000</f>
        <v>4848930.6083051302</v>
      </c>
      <c r="J24" s="42"/>
      <c r="K24" s="5">
        <f>SUM('Exhibit-RMP(RMM-2)'!G351,'Exhibit-RMP(RMM-2)'!G536)/1000</f>
        <v>273346.62900000002</v>
      </c>
      <c r="L24" s="42"/>
      <c r="M24" s="5">
        <f>SUM('Exhibit-RMP(RMM-2)'!K351,'Exhibit-RMP(RMM-2)'!K536)/1000</f>
        <v>-227.46378060000001</v>
      </c>
      <c r="N24" s="42"/>
      <c r="O24" s="4">
        <f t="shared" si="14"/>
        <v>273119.16521940002</v>
      </c>
      <c r="P24" s="42"/>
      <c r="Q24" s="4">
        <f t="shared" si="15"/>
        <v>273346.62900000002</v>
      </c>
      <c r="S24" s="5">
        <f>SUM('Exhibit-RMP(RMM-2)'!O351,'Exhibit-RMP(RMM-2)'!O536)/1000</f>
        <v>-252.73753399999998</v>
      </c>
      <c r="T24" s="42"/>
      <c r="U24" s="4">
        <f t="shared" si="16"/>
        <v>273093.891466</v>
      </c>
      <c r="V24" s="42"/>
      <c r="W24" s="4">
        <f t="shared" si="17"/>
        <v>0</v>
      </c>
      <c r="X24" s="42"/>
      <c r="Y24" s="30">
        <f t="shared" si="11"/>
        <v>0</v>
      </c>
      <c r="Z24" s="42"/>
      <c r="AA24" s="4">
        <f t="shared" si="18"/>
        <v>-25.273753400018904</v>
      </c>
      <c r="AB24" s="42"/>
      <c r="AC24" s="30">
        <f t="shared" si="13"/>
        <v>-9.2537458437661027E-5</v>
      </c>
    </row>
    <row r="25" spans="1:31">
      <c r="A25" s="17">
        <f>MAX(A$14:A24)+1</f>
        <v>10</v>
      </c>
      <c r="C25" s="17" t="s">
        <v>145</v>
      </c>
      <c r="E25" s="20" t="s">
        <v>146</v>
      </c>
      <c r="G25" s="121">
        <v>9</v>
      </c>
      <c r="I25" s="121">
        <v>41940.288</v>
      </c>
      <c r="J25" s="42"/>
      <c r="K25" s="118">
        <f>'Exhibit-RMP(RMM-2)'!G362/1000</f>
        <v>2993.1880000000001</v>
      </c>
      <c r="L25" s="42"/>
      <c r="M25" s="118">
        <f>'Exhibit-RMP(RMM-2)'!K362/1000</f>
        <v>-2.4102220000000001</v>
      </c>
      <c r="N25" s="42"/>
      <c r="O25" s="118">
        <f t="shared" si="14"/>
        <v>2990.7777780000001</v>
      </c>
      <c r="P25" s="42"/>
      <c r="Q25" s="118">
        <f t="shared" si="15"/>
        <v>2993.1880000000001</v>
      </c>
      <c r="S25" s="118">
        <f>'Exhibit-RMP(RMM-2)'!O362/1000</f>
        <v>-2.6512442000000003</v>
      </c>
      <c r="T25" s="42"/>
      <c r="U25" s="118">
        <f t="shared" si="16"/>
        <v>2990.5367558000003</v>
      </c>
      <c r="V25" s="42"/>
      <c r="W25" s="118">
        <f t="shared" si="17"/>
        <v>0</v>
      </c>
      <c r="X25" s="42"/>
      <c r="Y25" s="119">
        <f t="shared" si="11"/>
        <v>0</v>
      </c>
      <c r="Z25" s="42"/>
      <c r="AA25" s="118">
        <f t="shared" si="18"/>
        <v>-0.24102219999986119</v>
      </c>
      <c r="AB25" s="42"/>
      <c r="AC25" s="119">
        <f t="shared" si="13"/>
        <v>-8.058846824822876E-5</v>
      </c>
    </row>
    <row r="26" spans="1:31">
      <c r="A26" s="17">
        <f>MAX(A$14:A25)+1</f>
        <v>11</v>
      </c>
      <c r="C26" s="23" t="s">
        <v>147</v>
      </c>
      <c r="G26" s="3">
        <f>SUM(G24:G25)</f>
        <v>167</v>
      </c>
      <c r="I26" s="3">
        <f>SUM(I24:I25)</f>
        <v>4890870.8963051299</v>
      </c>
      <c r="J26" s="42"/>
      <c r="K26" s="4">
        <f>SUM(K24:K25)</f>
        <v>276339.81700000004</v>
      </c>
      <c r="L26" s="42"/>
      <c r="M26" s="4">
        <f>SUM(M24:M25)</f>
        <v>-229.87400260000001</v>
      </c>
      <c r="N26" s="42"/>
      <c r="O26" s="4">
        <f>SUM(O24:O25)</f>
        <v>276109.94299740001</v>
      </c>
      <c r="P26" s="42"/>
      <c r="Q26" s="4">
        <f>SUM(Q24:Q25)</f>
        <v>276339.81700000004</v>
      </c>
      <c r="S26" s="4">
        <f>SUM(S24:S25)</f>
        <v>-255.38877819999999</v>
      </c>
      <c r="T26" s="42"/>
      <c r="U26" s="4">
        <f>SUM(U24:U25)</f>
        <v>276084.42822180002</v>
      </c>
      <c r="V26" s="42"/>
      <c r="W26" s="4">
        <f>SUM(W24:W25)</f>
        <v>0</v>
      </c>
      <c r="X26" s="42"/>
      <c r="Y26" s="30">
        <f t="shared" si="11"/>
        <v>0</v>
      </c>
      <c r="Z26" s="42"/>
      <c r="AA26" s="4">
        <f>SUM(AA24:AA25)</f>
        <v>-25.514775600018766</v>
      </c>
      <c r="AB26" s="42"/>
      <c r="AC26" s="30">
        <f t="shared" si="13"/>
        <v>-9.2408028928748232E-5</v>
      </c>
    </row>
    <row r="27" spans="1:31" ht="21.95" customHeight="1">
      <c r="A27" s="17">
        <f>MAX(A$14:A26)+1</f>
        <v>12</v>
      </c>
      <c r="C27" s="17" t="s">
        <v>148</v>
      </c>
      <c r="E27" s="20">
        <v>10</v>
      </c>
      <c r="G27" s="3">
        <v>3339</v>
      </c>
      <c r="I27" s="3">
        <v>206134.08558220015</v>
      </c>
      <c r="J27" s="42"/>
      <c r="K27" s="5">
        <f>SUM('Exhibit-RMP(RMM-2)'!G377,'Exhibit-RMP(RMM-2)'!G394)/1000</f>
        <v>16042.852000000001</v>
      </c>
      <c r="L27" s="42"/>
      <c r="M27" s="5">
        <f>SUM('Exhibit-RMP(RMM-2)'!K377,'Exhibit-RMP(RMM-2)'!K394)/1000</f>
        <v>-9.3706458000000001</v>
      </c>
      <c r="N27" s="42"/>
      <c r="O27" s="4">
        <f t="shared" ref="O27:O28" si="19">K27+M27</f>
        <v>16033.481354200001</v>
      </c>
      <c r="P27" s="42"/>
      <c r="Q27" s="4">
        <f t="shared" ref="Q27:Q28" si="20">K27</f>
        <v>16042.852000000001</v>
      </c>
      <c r="S27" s="5">
        <f>SUM('Exhibit-RMP(RMM-2)'!O377,'Exhibit-RMP(RMM-2)'!O394)/1000</f>
        <v>-7.8088715000000013</v>
      </c>
      <c r="T27" s="42"/>
      <c r="U27" s="4">
        <f t="shared" ref="U27:U28" si="21">Q27+S27</f>
        <v>16035.043128500001</v>
      </c>
      <c r="V27" s="42"/>
      <c r="W27" s="4">
        <f t="shared" ref="W27:W28" si="22">Q27-K27</f>
        <v>0</v>
      </c>
      <c r="X27" s="42"/>
      <c r="Y27" s="30">
        <f t="shared" si="11"/>
        <v>0</v>
      </c>
      <c r="Z27" s="42"/>
      <c r="AA27" s="4">
        <f t="shared" ref="AA27:AA28" si="23">U27-O27</f>
        <v>1.561774300000252</v>
      </c>
      <c r="AB27" s="42"/>
      <c r="AC27" s="30">
        <f t="shared" si="13"/>
        <v>9.7407061230101607E-5</v>
      </c>
    </row>
    <row r="28" spans="1:31">
      <c r="A28" s="17">
        <f>MAX(A$14:A27)+1</f>
        <v>13</v>
      </c>
      <c r="C28" s="17" t="s">
        <v>149</v>
      </c>
      <c r="E28" s="20" t="s">
        <v>150</v>
      </c>
      <c r="G28" s="121">
        <v>269</v>
      </c>
      <c r="I28" s="121">
        <v>24258.38713714117</v>
      </c>
      <c r="J28" s="42"/>
      <c r="K28" s="118">
        <f>'Exhibit-RMP(RMM-2)'!G409/1000</f>
        <v>1947.394</v>
      </c>
      <c r="L28" s="42"/>
      <c r="M28" s="118">
        <f>'Exhibit-RMP(RMM-2)'!K409/1000</f>
        <v>-1.1551205999999998</v>
      </c>
      <c r="N28" s="42"/>
      <c r="O28" s="118">
        <f t="shared" si="19"/>
        <v>1946.2388794000001</v>
      </c>
      <c r="P28" s="42"/>
      <c r="Q28" s="118">
        <f t="shared" si="20"/>
        <v>1947.394</v>
      </c>
      <c r="S28" s="118">
        <f>'Exhibit-RMP(RMM-2)'!O409/1000</f>
        <v>-0.96260049999999997</v>
      </c>
      <c r="T28" s="42"/>
      <c r="U28" s="118">
        <f t="shared" si="21"/>
        <v>1946.4313995</v>
      </c>
      <c r="V28" s="42"/>
      <c r="W28" s="118">
        <f t="shared" si="22"/>
        <v>0</v>
      </c>
      <c r="X28" s="42"/>
      <c r="Y28" s="119">
        <f t="shared" si="11"/>
        <v>0</v>
      </c>
      <c r="Z28" s="42"/>
      <c r="AA28" s="118">
        <f t="shared" si="23"/>
        <v>0.1925200999999106</v>
      </c>
      <c r="AB28" s="42"/>
      <c r="AC28" s="119">
        <f t="shared" si="13"/>
        <v>9.8919049474164246E-5</v>
      </c>
    </row>
    <row r="29" spans="1:31">
      <c r="A29" s="17">
        <f>MAX(A$14:A28)+1</f>
        <v>14</v>
      </c>
      <c r="C29" s="23" t="s">
        <v>151</v>
      </c>
      <c r="G29" s="3">
        <v>3608</v>
      </c>
      <c r="I29" s="3">
        <v>230392.47271934131</v>
      </c>
      <c r="J29" s="42"/>
      <c r="K29" s="4">
        <f>SUM(K27:K28)</f>
        <v>17990.245999999999</v>
      </c>
      <c r="L29" s="42"/>
      <c r="M29" s="4">
        <f>SUM(M27:M28)</f>
        <v>-10.5257664</v>
      </c>
      <c r="N29" s="42"/>
      <c r="O29" s="4">
        <f>SUM(O27:O28)</f>
        <v>17979.720233600001</v>
      </c>
      <c r="P29" s="42"/>
      <c r="Q29" s="4">
        <f>SUM(Q27:Q28)</f>
        <v>17990.245999999999</v>
      </c>
      <c r="S29" s="4">
        <f>SUM(S27:S28)</f>
        <v>-8.771472000000001</v>
      </c>
      <c r="T29" s="42"/>
      <c r="U29" s="4">
        <f>SUM(U27:U28)</f>
        <v>17981.474528000002</v>
      </c>
      <c r="V29" s="42"/>
      <c r="W29" s="4">
        <f>SUM(W27:W28)</f>
        <v>0</v>
      </c>
      <c r="X29" s="42"/>
      <c r="Y29" s="30">
        <f t="shared" si="11"/>
        <v>0</v>
      </c>
      <c r="Z29" s="42"/>
      <c r="AA29" s="4">
        <f>SUM(AA27:AA28)</f>
        <v>1.7542944000001626</v>
      </c>
      <c r="AB29" s="42"/>
      <c r="AC29" s="30">
        <f t="shared" si="13"/>
        <v>9.7570728421112249E-5</v>
      </c>
    </row>
    <row r="30" spans="1:31">
      <c r="A30" s="17">
        <f>MAX(A$14:A29)+1</f>
        <v>15</v>
      </c>
      <c r="C30" s="17" t="s">
        <v>152</v>
      </c>
      <c r="E30" s="22">
        <v>23</v>
      </c>
      <c r="G30" s="3">
        <v>96230</v>
      </c>
      <c r="I30" s="3">
        <v>1404451.8584710199</v>
      </c>
      <c r="J30" s="42"/>
      <c r="K30" s="5">
        <f>SUM('Exhibit-RMP(RMM-2)'!G589,'Exhibit-RMP(RMM-2)'!G602,'Exhibit-RMP(RMM-2)'!G616)/1000</f>
        <v>138041.82800000001</v>
      </c>
      <c r="L30" s="42"/>
      <c r="M30" s="5">
        <f>SUM('Exhibit-RMP(RMM-2)'!K589,'Exhibit-RMP(RMM-2)'!K602,'Exhibit-RMP(RMM-2)'!K616)/1000</f>
        <v>0</v>
      </c>
      <c r="N30" s="42"/>
      <c r="O30" s="4">
        <f t="shared" ref="O30:O37" si="24">K30+M30</f>
        <v>138041.82800000001</v>
      </c>
      <c r="P30" s="42"/>
      <c r="Q30" s="4">
        <f t="shared" ref="Q30:Q37" si="25">K30</f>
        <v>138041.82800000001</v>
      </c>
      <c r="S30" s="5">
        <f>SUM('Exhibit-RMP(RMM-2)'!O589,'Exhibit-RMP(RMM-2)'!O602,'Exhibit-RMP(RMM-2)'!O616)/1000</f>
        <v>0</v>
      </c>
      <c r="T30" s="42"/>
      <c r="U30" s="4">
        <f t="shared" ref="U30:U37" si="26">Q30+S30</f>
        <v>138041.82800000001</v>
      </c>
      <c r="V30" s="42"/>
      <c r="W30" s="4">
        <f t="shared" ref="W30:W37" si="27">Q30-K30</f>
        <v>0</v>
      </c>
      <c r="X30" s="42"/>
      <c r="Y30" s="30">
        <f t="shared" si="11"/>
        <v>0</v>
      </c>
      <c r="Z30" s="42"/>
      <c r="AA30" s="4">
        <f t="shared" ref="AA30:AA37" si="28">U30-O30</f>
        <v>0</v>
      </c>
      <c r="AB30" s="42"/>
      <c r="AC30" s="30">
        <f t="shared" si="13"/>
        <v>0</v>
      </c>
    </row>
    <row r="31" spans="1:31">
      <c r="A31" s="17">
        <f>MAX(A$14:A30)+1</f>
        <v>16</v>
      </c>
      <c r="C31" s="17" t="s">
        <v>153</v>
      </c>
      <c r="E31" s="17">
        <v>31</v>
      </c>
      <c r="G31" s="3">
        <v>7</v>
      </c>
      <c r="I31" s="3">
        <v>189259.14266666665</v>
      </c>
      <c r="J31" s="42"/>
      <c r="K31" s="5">
        <f>'Exhibit-RMP(RMM-2)'!G678/1000</f>
        <v>12590.477000000001</v>
      </c>
      <c r="L31" s="42"/>
      <c r="M31" s="5">
        <f>'Exhibit-RMP(RMM-2)'!K678/1000</f>
        <v>-8.4356954999999996</v>
      </c>
      <c r="N31" s="42"/>
      <c r="O31" s="4">
        <f t="shared" si="24"/>
        <v>12582.0413045</v>
      </c>
      <c r="P31" s="42"/>
      <c r="Q31" s="4">
        <f t="shared" si="25"/>
        <v>12590.477000000001</v>
      </c>
      <c r="S31" s="5">
        <f>'Exhibit-RMP(RMM-2)'!O678/1000</f>
        <v>-9.4953714000000016</v>
      </c>
      <c r="T31" s="42"/>
      <c r="U31" s="4">
        <f t="shared" si="26"/>
        <v>12580.9816286</v>
      </c>
      <c r="V31" s="42"/>
      <c r="W31" s="4">
        <f t="shared" si="27"/>
        <v>0</v>
      </c>
      <c r="X31" s="42"/>
      <c r="Y31" s="30">
        <f t="shared" si="11"/>
        <v>0</v>
      </c>
      <c r="Z31" s="42"/>
      <c r="AA31" s="4">
        <f t="shared" si="28"/>
        <v>-1.059675900000002</v>
      </c>
      <c r="AB31" s="42"/>
      <c r="AC31" s="30">
        <f t="shared" si="13"/>
        <v>-8.422130196163051E-5</v>
      </c>
    </row>
    <row r="32" spans="1:31">
      <c r="A32" s="17">
        <f>MAX(A$14:A31)+1</f>
        <v>17</v>
      </c>
      <c r="C32" s="17" t="s">
        <v>333</v>
      </c>
      <c r="E32" s="17">
        <v>32</v>
      </c>
      <c r="G32" s="3">
        <v>3</v>
      </c>
      <c r="I32" s="3">
        <v>196649.98999999996</v>
      </c>
      <c r="J32" s="42"/>
      <c r="K32" s="5">
        <f>'Exhibit-RMP(RMM-2)'!G721/1000</f>
        <v>13353.13</v>
      </c>
      <c r="L32" s="42"/>
      <c r="M32" s="5">
        <f>'Exhibit-RMP(RMM-2)'!K721/1000</f>
        <v>-1.2207843</v>
      </c>
      <c r="N32" s="42"/>
      <c r="O32" s="4">
        <f t="shared" ref="O32" si="29">K32+M32</f>
        <v>13351.9092157</v>
      </c>
      <c r="P32" s="42"/>
      <c r="Q32" s="4">
        <f t="shared" ref="Q32" si="30">K32</f>
        <v>13353.13</v>
      </c>
      <c r="S32" s="5">
        <f>'Exhibit-RMP(RMM-2)'!O721/1000</f>
        <v>-1.3564269999999998</v>
      </c>
      <c r="T32" s="42"/>
      <c r="U32" s="4">
        <f t="shared" ref="U32" si="31">Q32+S32</f>
        <v>13351.773572999999</v>
      </c>
      <c r="V32" s="42"/>
      <c r="W32" s="4">
        <f t="shared" ref="W32" si="32">Q32-K32</f>
        <v>0</v>
      </c>
      <c r="X32" s="42"/>
      <c r="Y32" s="30">
        <f t="shared" ref="Y32" si="33">W32/K32</f>
        <v>0</v>
      </c>
      <c r="Z32" s="42"/>
      <c r="AA32" s="4">
        <f t="shared" ref="AA32" si="34">U32-O32</f>
        <v>-0.13564270000097167</v>
      </c>
      <c r="AB32" s="42"/>
      <c r="AC32" s="30">
        <f t="shared" ref="AC32" si="35">AA32/O32</f>
        <v>-1.0159049002630621E-5</v>
      </c>
    </row>
    <row r="33" spans="1:31">
      <c r="A33" s="17">
        <f>MAX(A$14:A32)+1</f>
        <v>18</v>
      </c>
      <c r="C33" s="17" t="s">
        <v>334</v>
      </c>
      <c r="E33" s="17">
        <v>34</v>
      </c>
      <c r="G33" s="3">
        <v>1</v>
      </c>
      <c r="I33" s="3">
        <v>242230</v>
      </c>
      <c r="J33" s="42"/>
      <c r="K33" s="5">
        <f>'Exhibit-RMP(RMM-2)'!G725/1000</f>
        <v>13027.75819123467</v>
      </c>
      <c r="L33" s="42"/>
      <c r="M33" s="5">
        <f>'Exhibit-RMP(RMM-2)'!K725/1000</f>
        <v>0</v>
      </c>
      <c r="N33" s="42"/>
      <c r="O33" s="4">
        <f t="shared" ref="O33" si="36">K33+M33</f>
        <v>13027.75819123467</v>
      </c>
      <c r="P33" s="42"/>
      <c r="Q33" s="4">
        <f t="shared" ref="Q33" si="37">K33</f>
        <v>13027.75819123467</v>
      </c>
      <c r="S33" s="5">
        <f>'Exhibit-RMP(RMM-2)'!O725/1000</f>
        <v>0</v>
      </c>
      <c r="T33" s="42"/>
      <c r="U33" s="4">
        <f t="shared" ref="U33" si="38">Q33+S33</f>
        <v>13027.75819123467</v>
      </c>
      <c r="V33" s="42"/>
      <c r="W33" s="4">
        <f t="shared" ref="W33" si="39">Q33-K33</f>
        <v>0</v>
      </c>
      <c r="X33" s="42"/>
      <c r="Y33" s="30">
        <f t="shared" ref="Y33" si="40">W33/K33</f>
        <v>0</v>
      </c>
      <c r="Z33" s="42"/>
      <c r="AA33" s="4">
        <f t="shared" ref="AA33" si="41">U33-O33</f>
        <v>0</v>
      </c>
      <c r="AB33" s="42"/>
      <c r="AC33" s="30">
        <f t="shared" ref="AC33" si="42">AA33/O33</f>
        <v>0</v>
      </c>
    </row>
    <row r="34" spans="1:31">
      <c r="A34" s="17">
        <f>MAX(A$14:A31)+1</f>
        <v>17</v>
      </c>
      <c r="C34" s="17" t="s">
        <v>154</v>
      </c>
      <c r="E34" s="20" t="s">
        <v>136</v>
      </c>
      <c r="G34" s="3">
        <v>1</v>
      </c>
      <c r="I34" s="3">
        <v>617100</v>
      </c>
      <c r="J34" s="42"/>
      <c r="K34" s="5">
        <f>'Exhibit-RMP(RMM-2)'!G736/1000</f>
        <v>31874.342000000001</v>
      </c>
      <c r="L34" s="42"/>
      <c r="M34" s="5">
        <f>'Exhibit-RMP(RMM-2)'!K736/1000</f>
        <v>-17.965679400000003</v>
      </c>
      <c r="N34" s="42"/>
      <c r="O34" s="4">
        <f t="shared" si="24"/>
        <v>31856.3763206</v>
      </c>
      <c r="P34" s="42"/>
      <c r="Q34" s="4">
        <f t="shared" si="25"/>
        <v>31874.342000000001</v>
      </c>
      <c r="S34" s="5">
        <f>'Exhibit-RMP(RMM-2)'!O736/1000</f>
        <v>-17.965679400000003</v>
      </c>
      <c r="T34" s="42"/>
      <c r="U34" s="4">
        <f t="shared" si="26"/>
        <v>31856.3763206</v>
      </c>
      <c r="V34" s="42"/>
      <c r="W34" s="4">
        <f t="shared" si="27"/>
        <v>0</v>
      </c>
      <c r="X34" s="42"/>
      <c r="Y34" s="30">
        <f t="shared" si="11"/>
        <v>0</v>
      </c>
      <c r="Z34" s="42"/>
      <c r="AA34" s="4">
        <f t="shared" si="28"/>
        <v>0</v>
      </c>
      <c r="AB34" s="42"/>
      <c r="AC34" s="30">
        <f t="shared" si="13"/>
        <v>0</v>
      </c>
    </row>
    <row r="35" spans="1:31">
      <c r="A35" s="17">
        <f>MAX(A$14:A34)+1</f>
        <v>19</v>
      </c>
      <c r="C35" s="17" t="s">
        <v>155</v>
      </c>
      <c r="E35" s="20" t="s">
        <v>136</v>
      </c>
      <c r="G35" s="3">
        <v>1</v>
      </c>
      <c r="I35" s="3">
        <v>705455.54894656001</v>
      </c>
      <c r="J35" s="42"/>
      <c r="K35" s="5">
        <f>'Exhibit-RMP(RMM-2)'!G744/1000</f>
        <v>31979.111000000001</v>
      </c>
      <c r="L35" s="42"/>
      <c r="M35" s="5">
        <f>'Exhibit-RMP(RMM-2)'!K744/1000</f>
        <v>0</v>
      </c>
      <c r="N35" s="42"/>
      <c r="O35" s="4">
        <f t="shared" si="24"/>
        <v>31979.111000000001</v>
      </c>
      <c r="P35" s="42"/>
      <c r="Q35" s="4">
        <f t="shared" si="25"/>
        <v>31979.111000000001</v>
      </c>
      <c r="S35" s="5">
        <f>'Exhibit-RMP(RMM-2)'!O744/1000</f>
        <v>0</v>
      </c>
      <c r="T35" s="42"/>
      <c r="U35" s="4">
        <f t="shared" si="26"/>
        <v>31979.111000000001</v>
      </c>
      <c r="V35" s="42"/>
      <c r="W35" s="4">
        <f t="shared" si="27"/>
        <v>0</v>
      </c>
      <c r="X35" s="42"/>
      <c r="Y35" s="30">
        <f t="shared" si="11"/>
        <v>0</v>
      </c>
      <c r="Z35" s="42"/>
      <c r="AA35" s="4">
        <f t="shared" si="28"/>
        <v>0</v>
      </c>
      <c r="AB35" s="42"/>
      <c r="AC35" s="30">
        <f t="shared" si="13"/>
        <v>0</v>
      </c>
    </row>
    <row r="36" spans="1:31">
      <c r="A36" s="17">
        <f>MAX(A$14:A35)+1</f>
        <v>20</v>
      </c>
      <c r="C36" s="17" t="s">
        <v>156</v>
      </c>
      <c r="E36" s="20" t="s">
        <v>136</v>
      </c>
      <c r="G36" s="3">
        <v>1</v>
      </c>
      <c r="I36" s="3">
        <v>1288626.1969999999</v>
      </c>
      <c r="J36" s="42"/>
      <c r="K36" s="5">
        <f>'Exhibit-RMP(RMM-2)'!G751/1000</f>
        <v>62957.593017309679</v>
      </c>
      <c r="L36" s="42"/>
      <c r="M36" s="5">
        <f>'Exhibit-RMP(RMM-2)'!K751/1000</f>
        <v>0</v>
      </c>
      <c r="N36" s="42"/>
      <c r="O36" s="4">
        <f t="shared" si="24"/>
        <v>62957.593017309679</v>
      </c>
      <c r="P36" s="42"/>
      <c r="Q36" s="4">
        <f t="shared" si="25"/>
        <v>62957.593017309679</v>
      </c>
      <c r="S36" s="5">
        <f>'Exhibit-RMP(RMM-2)'!O751/1000</f>
        <v>0</v>
      </c>
      <c r="T36" s="42"/>
      <c r="U36" s="4">
        <f t="shared" si="26"/>
        <v>62957.593017309679</v>
      </c>
      <c r="V36" s="42"/>
      <c r="W36" s="4">
        <f t="shared" si="27"/>
        <v>0</v>
      </c>
      <c r="X36" s="42"/>
      <c r="Y36" s="30">
        <f t="shared" si="11"/>
        <v>0</v>
      </c>
      <c r="Z36" s="42"/>
      <c r="AA36" s="4">
        <f t="shared" si="28"/>
        <v>0</v>
      </c>
      <c r="AB36" s="42"/>
      <c r="AC36" s="30">
        <f t="shared" si="13"/>
        <v>0</v>
      </c>
    </row>
    <row r="37" spans="1:31">
      <c r="A37" s="17">
        <f>MAX(A$14:A36)+1</f>
        <v>21</v>
      </c>
      <c r="C37" s="17" t="s">
        <v>135</v>
      </c>
      <c r="E37" s="20" t="s">
        <v>136</v>
      </c>
      <c r="G37" s="117"/>
      <c r="I37" s="117"/>
      <c r="J37" s="42"/>
      <c r="K37" s="118">
        <f>SUM('Exhibit-RMP(RMM-2)'!G762,'Exhibit-RMP(RMM-2)'!G763,'Exhibit-RMP(RMM-2)'!G764)/1000</f>
        <v>4797.3367799999996</v>
      </c>
      <c r="L37" s="42"/>
      <c r="M37" s="118"/>
      <c r="N37" s="42"/>
      <c r="O37" s="118">
        <f t="shared" si="24"/>
        <v>4797.3367799999996</v>
      </c>
      <c r="P37" s="42"/>
      <c r="Q37" s="118">
        <f t="shared" si="25"/>
        <v>4797.3367799999996</v>
      </c>
      <c r="S37" s="118"/>
      <c r="T37" s="42"/>
      <c r="U37" s="118">
        <f t="shared" si="26"/>
        <v>4797.3367799999996</v>
      </c>
      <c r="V37" s="42"/>
      <c r="W37" s="118">
        <f t="shared" si="27"/>
        <v>0</v>
      </c>
      <c r="X37" s="42"/>
      <c r="Y37" s="119">
        <f t="shared" si="11"/>
        <v>0</v>
      </c>
      <c r="Z37" s="42"/>
      <c r="AA37" s="118">
        <f t="shared" si="28"/>
        <v>0</v>
      </c>
      <c r="AB37" s="42"/>
      <c r="AC37" s="119">
        <f t="shared" si="13"/>
        <v>0</v>
      </c>
    </row>
    <row r="38" spans="1:31">
      <c r="A38" s="17">
        <f>MAX(A$14:A37)+1</f>
        <v>22</v>
      </c>
      <c r="C38" s="9" t="s">
        <v>157</v>
      </c>
      <c r="G38" s="3">
        <v>116605</v>
      </c>
      <c r="I38" s="3">
        <v>17979702.507882744</v>
      </c>
      <c r="J38" s="42"/>
      <c r="K38" s="4">
        <f>SUM(K20:K21,K23:K25,K27:K28,K30:K37)</f>
        <v>1275011.1129885442</v>
      </c>
      <c r="L38" s="42"/>
      <c r="M38" s="4">
        <f>SUM(M20:M21,M23:M25,M27:M28,M30:M37)</f>
        <v>-675.84368119999999</v>
      </c>
      <c r="N38" s="42"/>
      <c r="O38" s="4">
        <f>SUM(O20:O21,O23:O25,O27:O28,O30:O37)</f>
        <v>1274335.2693073447</v>
      </c>
      <c r="P38" s="42"/>
      <c r="Q38" s="4">
        <f>SUM(Q20:Q21,Q23:Q25,Q27:Q28,Q30:Q37)</f>
        <v>1275011.1129885442</v>
      </c>
      <c r="S38" s="4">
        <f>SUM(S20:S21,S23:S25,S27:S28,S30:S37)</f>
        <v>-699.58623639999996</v>
      </c>
      <c r="T38" s="42"/>
      <c r="U38" s="4">
        <f>SUM(U20:U21,U23:U25,U27:U28,U30:U37)</f>
        <v>1274311.5267521446</v>
      </c>
      <c r="V38" s="42"/>
      <c r="W38" s="4">
        <f>SUM(W20:W21,W23:W25,W27:W28,W30:W37)</f>
        <v>0</v>
      </c>
      <c r="X38" s="42"/>
      <c r="Y38" s="30">
        <f t="shared" si="11"/>
        <v>0</v>
      </c>
      <c r="Z38" s="42"/>
      <c r="AA38" s="4">
        <f>SUM(AA20:AA21,AA23:AA25,AA27:AA28,AA30:AA37)</f>
        <v>-23.742555200045445</v>
      </c>
      <c r="AB38" s="42"/>
      <c r="AC38" s="30">
        <f t="shared" si="13"/>
        <v>-1.8631325501137964E-5</v>
      </c>
    </row>
    <row r="39" spans="1:31" ht="24.95" customHeight="1">
      <c r="C39" s="9" t="s">
        <v>158</v>
      </c>
      <c r="G39" s="3"/>
      <c r="I39" s="3"/>
      <c r="J39" s="42"/>
      <c r="K39" s="4"/>
      <c r="L39" s="42"/>
      <c r="M39" s="4"/>
      <c r="N39" s="42"/>
      <c r="O39" s="4"/>
      <c r="P39" s="42"/>
      <c r="Q39" s="4"/>
      <c r="S39" s="4"/>
      <c r="T39" s="42"/>
      <c r="U39" s="4"/>
      <c r="V39" s="42"/>
      <c r="W39" s="4"/>
      <c r="X39" s="42"/>
      <c r="Y39" s="30"/>
      <c r="Z39" s="42"/>
      <c r="AA39" s="4"/>
      <c r="AB39" s="42"/>
      <c r="AC39" s="30"/>
    </row>
    <row r="40" spans="1:31">
      <c r="A40" s="17">
        <f>MAX(A$14:A39)+1</f>
        <v>23</v>
      </c>
      <c r="C40" s="17" t="s">
        <v>159</v>
      </c>
      <c r="E40" s="17">
        <v>7</v>
      </c>
      <c r="G40" s="3">
        <v>6491</v>
      </c>
      <c r="I40" s="3">
        <v>10497.984469308627</v>
      </c>
      <c r="J40" s="42"/>
      <c r="K40" s="5">
        <f>'Exhibit-RMP(RMM-2)'!G316/1000</f>
        <v>1383.2668705464662</v>
      </c>
      <c r="L40" s="42"/>
      <c r="M40" s="5">
        <f>'Exhibit-RMP(RMM-2)'!K316/1000</f>
        <v>-0.2766533741092933</v>
      </c>
      <c r="N40" s="42"/>
      <c r="O40" s="4">
        <f t="shared" ref="O40:O44" si="43">K40+M40</f>
        <v>1382.9902171723568</v>
      </c>
      <c r="P40" s="42"/>
      <c r="Q40" s="4">
        <f t="shared" ref="Q40:Q44" si="44">K40</f>
        <v>1383.2668705464662</v>
      </c>
      <c r="S40" s="5">
        <f>'Exhibit-RMP(RMM-2)'!O316/1000</f>
        <v>-0.41498006116393982</v>
      </c>
      <c r="T40" s="42"/>
      <c r="U40" s="4">
        <f t="shared" ref="U40:U44" si="45">Q40+S40</f>
        <v>1382.8518904853022</v>
      </c>
      <c r="V40" s="42"/>
      <c r="W40" s="4">
        <f t="shared" ref="W40:W44" si="46">Q40-K40</f>
        <v>0</v>
      </c>
      <c r="X40" s="42"/>
      <c r="Y40" s="30">
        <f t="shared" ref="Y40:Y49" si="47">W40/K40</f>
        <v>0</v>
      </c>
      <c r="Z40" s="42"/>
      <c r="AA40" s="4">
        <f t="shared" ref="AA40:AA44" si="48">U40-O40</f>
        <v>-0.13832668705458673</v>
      </c>
      <c r="AB40" s="42"/>
      <c r="AC40" s="30">
        <f t="shared" ref="AC40:AC49" si="49">AA40/O40</f>
        <v>-1.0002000400075686E-4</v>
      </c>
    </row>
    <row r="41" spans="1:31">
      <c r="A41" s="17">
        <f>MAX(A$14:A40)+1</f>
        <v>24</v>
      </c>
      <c r="C41" s="17" t="s">
        <v>160</v>
      </c>
      <c r="E41" s="22">
        <v>11</v>
      </c>
      <c r="G41" s="3">
        <v>715</v>
      </c>
      <c r="I41" s="3">
        <v>13572.50823362934</v>
      </c>
      <c r="J41" s="42"/>
      <c r="K41" s="5">
        <f>'Exhibit-RMP(RMM-2)'!G431/1000</f>
        <v>3759.4048698993784</v>
      </c>
      <c r="L41" s="42"/>
      <c r="M41" s="5">
        <f>'Exhibit-RMP(RMM-2)'!K431/1000</f>
        <v>-0.75188097397987574</v>
      </c>
      <c r="N41" s="42"/>
      <c r="O41" s="4">
        <f t="shared" si="43"/>
        <v>3758.6529889253984</v>
      </c>
      <c r="P41" s="42"/>
      <c r="Q41" s="4">
        <f t="shared" si="44"/>
        <v>3759.4048698993784</v>
      </c>
      <c r="S41" s="5">
        <f>'Exhibit-RMP(RMM-2)'!O431/1000</f>
        <v>-1.1278214609698134</v>
      </c>
      <c r="T41" s="42"/>
      <c r="U41" s="4">
        <f t="shared" si="45"/>
        <v>3758.2770484384087</v>
      </c>
      <c r="V41" s="42"/>
      <c r="W41" s="4">
        <f t="shared" si="46"/>
        <v>0</v>
      </c>
      <c r="X41" s="42"/>
      <c r="Y41" s="30">
        <f t="shared" si="47"/>
        <v>0</v>
      </c>
      <c r="Z41" s="42"/>
      <c r="AA41" s="4">
        <f t="shared" si="48"/>
        <v>-0.37594048698974802</v>
      </c>
      <c r="AB41" s="42"/>
      <c r="AC41" s="30">
        <f t="shared" si="49"/>
        <v>-1.0002000400074966E-4</v>
      </c>
    </row>
    <row r="42" spans="1:31">
      <c r="A42" s="17">
        <f>MAX(A$14:A41)+1</f>
        <v>25</v>
      </c>
      <c r="C42" s="17" t="s">
        <v>161</v>
      </c>
      <c r="E42" s="22">
        <v>12</v>
      </c>
      <c r="G42" s="3">
        <v>1229</v>
      </c>
      <c r="I42" s="122">
        <v>26868.87420437079</v>
      </c>
      <c r="J42" s="42"/>
      <c r="K42" s="5">
        <f>'Exhibit-RMP(RMM-2)'!G499/1000</f>
        <v>1384.8784946300007</v>
      </c>
      <c r="L42" s="42"/>
      <c r="M42" s="5">
        <f>'Exhibit-RMP(RMM-2)'!K499/1000</f>
        <v>-0.27697569892599994</v>
      </c>
      <c r="N42" s="42"/>
      <c r="O42" s="4">
        <f t="shared" si="43"/>
        <v>1384.6015189310747</v>
      </c>
      <c r="P42" s="42"/>
      <c r="Q42" s="4">
        <f t="shared" si="44"/>
        <v>1384.8784946300007</v>
      </c>
      <c r="S42" s="5">
        <f>'Exhibit-RMP(RMM-2)'!O499/1000</f>
        <v>-0.4154635483889999</v>
      </c>
      <c r="T42" s="42"/>
      <c r="U42" s="4">
        <f t="shared" si="45"/>
        <v>1384.4630310816117</v>
      </c>
      <c r="V42" s="42"/>
      <c r="W42" s="4">
        <f t="shared" si="46"/>
        <v>0</v>
      </c>
      <c r="X42" s="42"/>
      <c r="Y42" s="30">
        <f t="shared" si="47"/>
        <v>0</v>
      </c>
      <c r="Z42" s="42"/>
      <c r="AA42" s="4">
        <f t="shared" si="48"/>
        <v>-0.1384878494629902</v>
      </c>
      <c r="AB42" s="42"/>
      <c r="AC42" s="30">
        <f t="shared" si="49"/>
        <v>-1.0002000400079303E-4</v>
      </c>
    </row>
    <row r="43" spans="1:31">
      <c r="A43" s="17">
        <f>MAX(A$14:A42)+1</f>
        <v>26</v>
      </c>
      <c r="C43" s="17" t="s">
        <v>162</v>
      </c>
      <c r="E43" s="17">
        <v>15</v>
      </c>
      <c r="G43" s="31">
        <v>637</v>
      </c>
      <c r="I43" s="31">
        <v>15963.151062719233</v>
      </c>
      <c r="J43" s="42"/>
      <c r="K43" s="5">
        <f>'Exhibit-RMP(RMM-2)'!G507/1000</f>
        <v>781.11300000000006</v>
      </c>
      <c r="L43" s="42"/>
      <c r="M43" s="5">
        <f>'Exhibit-RMP(RMM-2)'!K507/1000</f>
        <v>-0.22793480000000002</v>
      </c>
      <c r="N43" s="42"/>
      <c r="O43" s="5">
        <f t="shared" si="43"/>
        <v>780.8850652000001</v>
      </c>
      <c r="P43" s="42"/>
      <c r="Q43" s="5">
        <f t="shared" si="44"/>
        <v>781.11300000000006</v>
      </c>
      <c r="S43" s="5">
        <f>'Exhibit-RMP(RMM-2)'!O507/1000</f>
        <v>-0.39888590000000002</v>
      </c>
      <c r="T43" s="42"/>
      <c r="U43" s="5">
        <f t="shared" si="45"/>
        <v>780.71411410000007</v>
      </c>
      <c r="V43" s="42"/>
      <c r="W43" s="5">
        <f t="shared" si="46"/>
        <v>0</v>
      </c>
      <c r="X43" s="42"/>
      <c r="Y43" s="32">
        <f t="shared" si="47"/>
        <v>0</v>
      </c>
      <c r="Z43" s="42"/>
      <c r="AA43" s="5">
        <f t="shared" si="48"/>
        <v>-0.17095110000002478</v>
      </c>
      <c r="AB43" s="42"/>
      <c r="AC43" s="32">
        <f t="shared" si="49"/>
        <v>-2.1891966899922823E-4</v>
      </c>
    </row>
    <row r="44" spans="1:31">
      <c r="A44" s="17">
        <f>MAX(A$14:A43)+1</f>
        <v>27</v>
      </c>
      <c r="C44" s="17" t="s">
        <v>163</v>
      </c>
      <c r="E44" s="17">
        <v>15</v>
      </c>
      <c r="G44" s="121">
        <v>2734</v>
      </c>
      <c r="I44" s="121">
        <v>7776.3704443165416</v>
      </c>
      <c r="J44" s="42"/>
      <c r="K44" s="118">
        <f>'Exhibit-RMP(RMM-2)'!G512/1000</f>
        <v>802.61</v>
      </c>
      <c r="L44" s="42"/>
      <c r="M44" s="118">
        <f>'Exhibit-RMP(RMM-2)'!K512/1000</f>
        <v>-0.24885960000000001</v>
      </c>
      <c r="N44" s="42"/>
      <c r="O44" s="118">
        <f t="shared" si="43"/>
        <v>802.36114040000007</v>
      </c>
      <c r="P44" s="42"/>
      <c r="Q44" s="118">
        <f t="shared" si="44"/>
        <v>802.61</v>
      </c>
      <c r="S44" s="118">
        <f>'Exhibit-RMP(RMM-2)'!O512/1000</f>
        <v>-0.24885960000000001</v>
      </c>
      <c r="T44" s="42"/>
      <c r="U44" s="118">
        <f t="shared" si="45"/>
        <v>802.36114040000007</v>
      </c>
      <c r="V44" s="42"/>
      <c r="W44" s="118">
        <f t="shared" si="46"/>
        <v>0</v>
      </c>
      <c r="X44" s="42"/>
      <c r="Y44" s="119">
        <f t="shared" si="47"/>
        <v>0</v>
      </c>
      <c r="Z44" s="42"/>
      <c r="AA44" s="118">
        <f t="shared" si="48"/>
        <v>0</v>
      </c>
      <c r="AB44" s="42"/>
      <c r="AC44" s="119">
        <f t="shared" si="49"/>
        <v>0</v>
      </c>
    </row>
    <row r="45" spans="1:31">
      <c r="A45" s="17">
        <f>MAX(A$14:A44)+1</f>
        <v>28</v>
      </c>
      <c r="C45" s="23" t="s">
        <v>164</v>
      </c>
      <c r="D45" s="6"/>
      <c r="F45" s="6"/>
      <c r="G45" s="3">
        <v>11806</v>
      </c>
      <c r="H45" s="6"/>
      <c r="I45" s="3">
        <v>74678.888414344532</v>
      </c>
      <c r="J45" s="4"/>
      <c r="K45" s="4">
        <f>SUM(K40:K44)</f>
        <v>8111.2732350758452</v>
      </c>
      <c r="L45" s="4"/>
      <c r="M45" s="4">
        <f>SUM(M40:M44)</f>
        <v>-1.7823044470151692</v>
      </c>
      <c r="N45" s="4"/>
      <c r="O45" s="4">
        <f>SUM(O40:O44)</f>
        <v>8109.49093062883</v>
      </c>
      <c r="P45" s="4"/>
      <c r="Q45" s="4">
        <f>SUM(Q40:Q44)</f>
        <v>8111.2732350758452</v>
      </c>
      <c r="R45" s="6"/>
      <c r="S45" s="4">
        <f>SUM(S40:S44)</f>
        <v>-2.606010570522753</v>
      </c>
      <c r="T45" s="4"/>
      <c r="U45" s="4">
        <f>SUM(U40:U44)</f>
        <v>8108.6672245053232</v>
      </c>
      <c r="V45" s="4"/>
      <c r="W45" s="4">
        <f>SUM(W40:W44)</f>
        <v>0</v>
      </c>
      <c r="X45" s="4"/>
      <c r="Y45" s="30">
        <f t="shared" si="47"/>
        <v>0</v>
      </c>
      <c r="Z45" s="4"/>
      <c r="AA45" s="4">
        <f>SUM(AA40:AA44)</f>
        <v>-0.82370612350734973</v>
      </c>
      <c r="AB45" s="4"/>
      <c r="AC45" s="30">
        <f t="shared" si="49"/>
        <v>-1.0157309879912246E-4</v>
      </c>
    </row>
    <row r="46" spans="1:31" ht="21.95" customHeight="1">
      <c r="A46" s="17">
        <f>MAX(A$14:A45)+1</f>
        <v>29</v>
      </c>
      <c r="C46" s="17" t="s">
        <v>165</v>
      </c>
      <c r="E46" s="20" t="s">
        <v>136</v>
      </c>
      <c r="G46" s="3">
        <v>4</v>
      </c>
      <c r="I46" s="3">
        <v>7.3869999999999996</v>
      </c>
      <c r="J46" s="42"/>
      <c r="K46" s="5">
        <f>'Exhibit-RMP(RMM-2)'!G758/1000</f>
        <v>0.55700000000000005</v>
      </c>
      <c r="L46" s="42"/>
      <c r="M46" s="5">
        <f>'Exhibit-RMP(RMM-2)'!K758/1000</f>
        <v>0</v>
      </c>
      <c r="N46" s="42"/>
      <c r="O46" s="4">
        <f t="shared" ref="O46:O47" si="50">K46+M46</f>
        <v>0.55700000000000005</v>
      </c>
      <c r="P46" s="42"/>
      <c r="Q46" s="4">
        <f t="shared" ref="Q46:Q47" si="51">K46</f>
        <v>0.55700000000000005</v>
      </c>
      <c r="S46" s="5">
        <f>'Exhibit-RMP(RMM-2)'!O758/1000</f>
        <v>0</v>
      </c>
      <c r="T46" s="42"/>
      <c r="U46" s="4">
        <f t="shared" ref="U46:U47" si="52">Q46+S46</f>
        <v>0.55700000000000005</v>
      </c>
      <c r="V46" s="42"/>
      <c r="W46" s="4">
        <f t="shared" ref="W46" si="53">Q46-K46</f>
        <v>0</v>
      </c>
      <c r="X46" s="42"/>
      <c r="Y46" s="30">
        <f t="shared" si="47"/>
        <v>0</v>
      </c>
      <c r="Z46" s="42"/>
      <c r="AA46" s="4">
        <f t="shared" ref="AA46:AA47" si="54">U46-O46</f>
        <v>0</v>
      </c>
      <c r="AB46" s="42"/>
      <c r="AC46" s="30">
        <f t="shared" si="49"/>
        <v>0</v>
      </c>
    </row>
    <row r="47" spans="1:31">
      <c r="A47" s="17">
        <f>MAX(A$14:A46)+1</f>
        <v>30</v>
      </c>
      <c r="C47" s="17" t="s">
        <v>135</v>
      </c>
      <c r="D47" s="123"/>
      <c r="E47" s="20" t="s">
        <v>136</v>
      </c>
      <c r="F47" s="123"/>
      <c r="G47" s="124"/>
      <c r="H47" s="123"/>
      <c r="I47" s="124"/>
      <c r="J47" s="42"/>
      <c r="K47" s="118">
        <f>'Exhibit-RMP(RMM-2)'!G765/1000</f>
        <v>4.6550400000000005</v>
      </c>
      <c r="L47" s="42"/>
      <c r="M47" s="118"/>
      <c r="N47" s="42"/>
      <c r="O47" s="118">
        <f t="shared" si="50"/>
        <v>4.6550400000000005</v>
      </c>
      <c r="P47" s="42"/>
      <c r="Q47" s="118">
        <f t="shared" si="51"/>
        <v>4.6550400000000005</v>
      </c>
      <c r="R47" s="123"/>
      <c r="S47" s="118"/>
      <c r="T47" s="42"/>
      <c r="U47" s="118">
        <f t="shared" si="52"/>
        <v>4.6550400000000005</v>
      </c>
      <c r="V47" s="42"/>
      <c r="W47" s="118"/>
      <c r="X47" s="42"/>
      <c r="Y47" s="119">
        <f t="shared" si="47"/>
        <v>0</v>
      </c>
      <c r="Z47" s="42"/>
      <c r="AA47" s="118">
        <f t="shared" si="54"/>
        <v>0</v>
      </c>
      <c r="AB47" s="42"/>
      <c r="AC47" s="119">
        <f t="shared" si="49"/>
        <v>0</v>
      </c>
      <c r="AD47" s="18"/>
      <c r="AE47" s="18"/>
    </row>
    <row r="48" spans="1:31" ht="21.95" customHeight="1">
      <c r="A48" s="17">
        <f>MAX(A$14:A47)+1</f>
        <v>31</v>
      </c>
      <c r="C48" s="9" t="s">
        <v>166</v>
      </c>
      <c r="G48" s="121">
        <v>11810</v>
      </c>
      <c r="I48" s="121">
        <v>74686.275414344535</v>
      </c>
      <c r="J48" s="42"/>
      <c r="K48" s="118">
        <f>SUM(K45:K47)</f>
        <v>8116.4852750758446</v>
      </c>
      <c r="L48" s="42"/>
      <c r="M48" s="118">
        <f>SUM(M45:M47)</f>
        <v>-1.7823044470151692</v>
      </c>
      <c r="N48" s="42"/>
      <c r="O48" s="118">
        <f>SUM(O45:O47)</f>
        <v>8114.7029706288295</v>
      </c>
      <c r="P48" s="42"/>
      <c r="Q48" s="118">
        <f>SUM(Q45:Q47)</f>
        <v>8116.4852750758446</v>
      </c>
      <c r="S48" s="118">
        <f>SUM(S45:S47)</f>
        <v>-2.606010570522753</v>
      </c>
      <c r="T48" s="42"/>
      <c r="U48" s="118">
        <f>SUM(U45:U47)</f>
        <v>8113.8792645053227</v>
      </c>
      <c r="V48" s="42"/>
      <c r="W48" s="118">
        <f>SUM(W45:W47)</f>
        <v>0</v>
      </c>
      <c r="X48" s="42"/>
      <c r="Y48" s="119">
        <f t="shared" si="47"/>
        <v>0</v>
      </c>
      <c r="Z48" s="42"/>
      <c r="AA48" s="118">
        <f>SUM(AA45:AA47)</f>
        <v>-0.82370612350734973</v>
      </c>
      <c r="AB48" s="42"/>
      <c r="AC48" s="119">
        <f t="shared" si="49"/>
        <v>-1.0150785881981809E-4</v>
      </c>
      <c r="AD48" s="120"/>
      <c r="AE48" s="120"/>
    </row>
    <row r="49" spans="1:31" ht="24.95" customHeight="1" thickBot="1">
      <c r="A49" s="17">
        <f>MAX(A$14:A48)+1</f>
        <v>32</v>
      </c>
      <c r="C49" s="9" t="s">
        <v>167</v>
      </c>
      <c r="G49" s="33">
        <v>986283</v>
      </c>
      <c r="I49" s="33">
        <v>24837388.160662249</v>
      </c>
      <c r="J49" s="42"/>
      <c r="K49" s="7">
        <f>K48+K38+K18</f>
        <v>2033139.5913536199</v>
      </c>
      <c r="L49" s="42"/>
      <c r="M49" s="7">
        <f>M48+M38+M18</f>
        <v>-1079.7621748470151</v>
      </c>
      <c r="N49" s="42"/>
      <c r="O49" s="7">
        <f>O48+O38+O18</f>
        <v>2032059.8291787736</v>
      </c>
      <c r="P49" s="42"/>
      <c r="Q49" s="7">
        <f>Q48+Q38+Q18</f>
        <v>2033139.5913536199</v>
      </c>
      <c r="S49" s="7">
        <f>S48+S38+S18</f>
        <v>-1104.3284361705228</v>
      </c>
      <c r="T49" s="42"/>
      <c r="U49" s="7">
        <f>U48+U38+U18</f>
        <v>2032035.2629174499</v>
      </c>
      <c r="V49" s="42"/>
      <c r="W49" s="7">
        <f>W48+W38+W18</f>
        <v>0</v>
      </c>
      <c r="X49" s="42"/>
      <c r="Y49" s="34">
        <f t="shared" si="47"/>
        <v>0</v>
      </c>
      <c r="Z49" s="42"/>
      <c r="AA49" s="7">
        <f>AA48+AA38+AA18</f>
        <v>-24.566261323552794</v>
      </c>
      <c r="AB49" s="42"/>
      <c r="AC49" s="34">
        <f t="shared" si="49"/>
        <v>-1.2089339580853226E-5</v>
      </c>
      <c r="AD49" s="125"/>
      <c r="AE49" s="5"/>
    </row>
    <row r="50" spans="1:31" ht="16.5" thickTop="1"/>
    <row r="51" spans="1:31">
      <c r="G51" s="126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4"/>
  <sheetViews>
    <sheetView view="pageBreakPreview" topLeftCell="A34" zoomScale="85" zoomScaleNormal="70" zoomScaleSheetLayoutView="85" workbookViewId="0">
      <selection activeCell="S45" sqref="S45"/>
    </sheetView>
  </sheetViews>
  <sheetFormatPr defaultColWidth="9" defaultRowHeight="15.75"/>
  <cols>
    <col min="1" max="1" width="4.625" style="17" customWidth="1"/>
    <col min="2" max="2" width="0.75" style="17" customWidth="1"/>
    <col min="3" max="3" width="36.125" style="17" bestFit="1" customWidth="1"/>
    <col min="4" max="4" width="0.75" style="17" customWidth="1"/>
    <col min="5" max="5" width="6.75" style="17" bestFit="1" customWidth="1"/>
    <col min="6" max="6" width="1.75" style="17" bestFit="1" customWidth="1"/>
    <col min="7" max="7" width="10.375" style="17" bestFit="1" customWidth="1"/>
    <col min="8" max="8" width="0.75" style="17" customWidth="1"/>
    <col min="9" max="9" width="14.25" style="25" bestFit="1" customWidth="1"/>
    <col min="10" max="10" width="0.75" style="17" customWidth="1"/>
    <col min="11" max="11" width="7.75" style="17" bestFit="1" customWidth="1"/>
    <col min="12" max="12" width="0.75" style="17" customWidth="1"/>
    <col min="13" max="13" width="7.75" style="17" customWidth="1"/>
    <col min="14" max="14" width="9" style="17"/>
    <col min="15" max="15" width="11.625" style="17" bestFit="1" customWidth="1"/>
    <col min="16" max="16384" width="9" style="17"/>
  </cols>
  <sheetData>
    <row r="1" spans="1:15">
      <c r="A1" s="10" t="s">
        <v>178</v>
      </c>
      <c r="B1" s="10"/>
      <c r="C1" s="10"/>
      <c r="D1" s="10"/>
      <c r="E1" s="10"/>
      <c r="F1" s="10"/>
      <c r="G1" s="18"/>
      <c r="H1" s="10"/>
      <c r="I1" s="127"/>
      <c r="J1" s="18"/>
      <c r="K1" s="18"/>
      <c r="L1" s="18"/>
      <c r="M1" s="10"/>
    </row>
    <row r="2" spans="1:15" customFormat="1">
      <c r="A2" s="10" t="s">
        <v>123</v>
      </c>
      <c r="B2" s="10"/>
      <c r="C2" s="10"/>
      <c r="D2" s="10"/>
      <c r="E2" s="10"/>
      <c r="F2" s="10"/>
      <c r="G2" s="18"/>
      <c r="H2" s="10"/>
      <c r="I2" s="127"/>
      <c r="J2" s="18"/>
      <c r="K2" s="18"/>
      <c r="L2" s="18"/>
      <c r="M2" s="10"/>
    </row>
    <row r="3" spans="1:15" customFormat="1">
      <c r="A3" s="10" t="s">
        <v>172</v>
      </c>
      <c r="B3" s="10"/>
      <c r="C3" s="10"/>
      <c r="D3" s="10"/>
      <c r="E3" s="10"/>
      <c r="F3" s="10"/>
      <c r="G3" s="18"/>
      <c r="H3" s="10"/>
      <c r="I3" s="127"/>
      <c r="J3" s="18"/>
      <c r="K3" s="18"/>
      <c r="L3" s="18"/>
      <c r="M3" s="10"/>
    </row>
    <row r="4" spans="1:15" customFormat="1">
      <c r="A4" s="10" t="s">
        <v>124</v>
      </c>
      <c r="B4" s="10"/>
      <c r="C4" s="10"/>
      <c r="D4" s="10"/>
      <c r="E4" s="10"/>
      <c r="F4" s="10"/>
      <c r="G4" s="18"/>
      <c r="H4" s="10"/>
      <c r="I4" s="127"/>
      <c r="J4" s="18"/>
      <c r="K4" s="18"/>
      <c r="L4" s="18"/>
      <c r="M4" s="10"/>
    </row>
    <row r="5" spans="1:15" customFormat="1" ht="16.5">
      <c r="A5" s="47" t="s">
        <v>316</v>
      </c>
      <c r="B5" s="10"/>
      <c r="C5" s="10"/>
      <c r="D5" s="10"/>
      <c r="E5" s="10"/>
      <c r="F5" s="10"/>
      <c r="G5" s="18"/>
      <c r="H5" s="10"/>
      <c r="I5" s="127"/>
      <c r="J5" s="18"/>
      <c r="K5" s="18"/>
      <c r="L5" s="18"/>
      <c r="M5" s="10"/>
    </row>
    <row r="6" spans="1:15">
      <c r="A6" s="10" t="s">
        <v>317</v>
      </c>
      <c r="B6" s="10"/>
      <c r="C6" s="10"/>
      <c r="D6" s="10"/>
      <c r="E6" s="10"/>
      <c r="F6" s="10"/>
      <c r="G6" s="18"/>
      <c r="H6" s="10"/>
      <c r="I6" s="127"/>
      <c r="J6" s="18"/>
      <c r="K6" s="18"/>
      <c r="L6" s="18"/>
      <c r="M6" s="10"/>
    </row>
    <row r="7" spans="1:15">
      <c r="A7" s="10"/>
      <c r="B7" s="10"/>
      <c r="C7" s="10"/>
      <c r="D7" s="10"/>
      <c r="E7" s="10"/>
      <c r="F7" s="10"/>
      <c r="G7" s="18"/>
      <c r="H7" s="10"/>
      <c r="I7" s="127"/>
      <c r="K7" s="18"/>
      <c r="L7" s="18"/>
      <c r="M7" s="10"/>
    </row>
    <row r="8" spans="1:15">
      <c r="A8" s="10"/>
      <c r="B8" s="10"/>
      <c r="C8" s="10"/>
      <c r="D8" s="10"/>
      <c r="E8" s="10"/>
      <c r="F8" s="10"/>
      <c r="G8" s="10"/>
      <c r="H8" s="110"/>
      <c r="I8" s="87"/>
      <c r="K8" s="10"/>
      <c r="L8" s="10"/>
      <c r="M8" s="10"/>
    </row>
    <row r="9" spans="1:15">
      <c r="D9" s="19"/>
      <c r="E9" s="19"/>
      <c r="F9" s="19"/>
      <c r="G9" s="19" t="s">
        <v>177</v>
      </c>
      <c r="H9" s="19"/>
      <c r="I9" s="88" t="s">
        <v>367</v>
      </c>
      <c r="K9" s="88" t="s">
        <v>368</v>
      </c>
      <c r="L9" s="88"/>
      <c r="M9" s="88"/>
    </row>
    <row r="10" spans="1:15" s="9" customFormat="1">
      <c r="A10" s="9" t="s">
        <v>125</v>
      </c>
      <c r="D10" s="19"/>
      <c r="E10" s="19" t="s">
        <v>126</v>
      </c>
      <c r="F10" s="19"/>
      <c r="G10" s="19" t="s">
        <v>173</v>
      </c>
      <c r="H10" s="19"/>
      <c r="I10" s="128" t="s">
        <v>369</v>
      </c>
      <c r="K10" s="129" t="s">
        <v>372</v>
      </c>
      <c r="L10" s="39"/>
      <c r="M10" s="39"/>
    </row>
    <row r="11" spans="1:15" s="9" customFormat="1">
      <c r="A11" s="130" t="s">
        <v>128</v>
      </c>
      <c r="C11" s="113" t="s">
        <v>129</v>
      </c>
      <c r="E11" s="113" t="s">
        <v>128</v>
      </c>
      <c r="G11" s="114" t="s">
        <v>131</v>
      </c>
      <c r="I11" s="131" t="s">
        <v>131</v>
      </c>
      <c r="K11" s="131" t="s">
        <v>131</v>
      </c>
      <c r="L11" s="132"/>
      <c r="M11" s="133" t="s">
        <v>168</v>
      </c>
    </row>
    <row r="12" spans="1:15" s="9" customFormat="1">
      <c r="C12" s="2">
        <v>-1</v>
      </c>
      <c r="D12" s="2"/>
      <c r="E12" s="2">
        <f>MIN($A12:D12)-1</f>
        <v>-2</v>
      </c>
      <c r="F12" s="2"/>
      <c r="G12" s="2">
        <v>-3</v>
      </c>
      <c r="H12" s="2"/>
      <c r="I12" s="2">
        <v>-4</v>
      </c>
      <c r="K12" s="2">
        <v>-5</v>
      </c>
      <c r="M12" s="2">
        <v>-6</v>
      </c>
    </row>
    <row r="13" spans="1:15" s="9" customFormat="1">
      <c r="I13" s="134"/>
      <c r="K13" s="19"/>
      <c r="L13" s="19"/>
    </row>
    <row r="14" spans="1:15" ht="18.75" customHeight="1">
      <c r="C14" s="9" t="s">
        <v>132</v>
      </c>
    </row>
    <row r="15" spans="1:15">
      <c r="A15" s="17">
        <v>1</v>
      </c>
      <c r="C15" s="17" t="s">
        <v>132</v>
      </c>
      <c r="E15" s="20" t="s">
        <v>133</v>
      </c>
      <c r="G15" s="4">
        <f>'Exhibit-RMP(RMM-1) page 1'!K15</f>
        <v>749393.10800000001</v>
      </c>
      <c r="H15" s="42"/>
      <c r="I15" s="26">
        <v>6967.5739999999996</v>
      </c>
      <c r="J15" s="42"/>
      <c r="K15" s="4">
        <f>$I15/($I$49-$I$17-$I$34-$I$35-$I$36-$I$37-$I$48)*($K$52-$G$34*$K$53-$K$52*SUM('REC2012'!$K$11:$K$15))*$K$54</f>
        <v>-404.94661839117447</v>
      </c>
      <c r="L15" s="35"/>
      <c r="M15" s="8">
        <f>K15/$G15</f>
        <v>-5.4036608299201823E-4</v>
      </c>
      <c r="N15" s="52">
        <f>K15-'Exhibit-RMP(RMM-1) page 1'!S15</f>
        <v>-3.1445331911745029</v>
      </c>
      <c r="O15" s="17">
        <f t="shared" ref="O15:O17" si="0">I15/$I$49</f>
        <v>0.36289137946946709</v>
      </c>
    </row>
    <row r="16" spans="1:15">
      <c r="A16" s="17">
        <f>MAX(A$14:A15)+1</f>
        <v>2</v>
      </c>
      <c r="C16" s="17" t="s">
        <v>134</v>
      </c>
      <c r="E16" s="20" t="s">
        <v>328</v>
      </c>
      <c r="G16" s="4">
        <f>'Exhibit-RMP(RMM-1) page 1'!K16</f>
        <v>612.09</v>
      </c>
      <c r="H16" s="42"/>
      <c r="I16" s="26">
        <v>3.5760000000000001</v>
      </c>
      <c r="J16" s="42"/>
      <c r="K16" s="4">
        <f>$I16/($I$49-$I$17-$I$34-$I$35-$I$36-$I$37-$I$48)*($K$52-$G$34*$K$53-$K$52*SUM('REC2012'!$K$11:$K$15))*$K$54</f>
        <v>-0.20783261252292978</v>
      </c>
      <c r="L16" s="4"/>
      <c r="M16" s="27">
        <f>K16/$G16</f>
        <v>-3.3954583888468981E-4</v>
      </c>
      <c r="N16" s="52">
        <f>K16-'Exhibit-RMP(RMM-1) page 1'!S16</f>
        <v>0.12627138747707023</v>
      </c>
      <c r="O16" s="17">
        <f t="shared" si="0"/>
        <v>1.8624840912817207E-4</v>
      </c>
    </row>
    <row r="17" spans="1:15">
      <c r="A17" s="17">
        <f>MAX(A$14:A16)+1</f>
        <v>3</v>
      </c>
      <c r="C17" s="17" t="s">
        <v>135</v>
      </c>
      <c r="E17" s="20" t="s">
        <v>136</v>
      </c>
      <c r="G17" s="118">
        <f>'Exhibit-RMP(RMM-1) page 1'!K17</f>
        <v>6.7950900000000622</v>
      </c>
      <c r="H17" s="42"/>
      <c r="I17" s="135">
        <v>0</v>
      </c>
      <c r="J17" s="42"/>
      <c r="K17" s="118"/>
      <c r="L17" s="118"/>
      <c r="M17" s="136"/>
      <c r="N17" s="52">
        <f>K17-'Exhibit-RMP(RMM-1) page 1'!S17</f>
        <v>0</v>
      </c>
      <c r="O17" s="17">
        <f t="shared" si="0"/>
        <v>0</v>
      </c>
    </row>
    <row r="18" spans="1:15">
      <c r="A18" s="17">
        <f>MAX(A$14:A17)+1</f>
        <v>4</v>
      </c>
      <c r="C18" s="9" t="s">
        <v>137</v>
      </c>
      <c r="G18" s="4">
        <f>SUM(G15:G17)</f>
        <v>750011.99309</v>
      </c>
      <c r="H18" s="42"/>
      <c r="I18" s="26">
        <f>SUM(I15:I17)</f>
        <v>6971.15</v>
      </c>
      <c r="J18" s="42"/>
      <c r="K18" s="4">
        <f>SUM(K15:K17)</f>
        <v>-405.15445100369737</v>
      </c>
      <c r="L18" s="4"/>
      <c r="M18" s="27">
        <f>K18/$G18</f>
        <v>-5.4019729649187041E-4</v>
      </c>
      <c r="N18" s="52">
        <f>K18-'Exhibit-RMP(RMM-1) page 1'!S18</f>
        <v>-3.0182618036973849</v>
      </c>
      <c r="O18" s="41">
        <f>I18/$I$49</f>
        <v>0.36307762787859527</v>
      </c>
    </row>
    <row r="19" spans="1:15" ht="24.75" customHeight="1">
      <c r="C19" s="9" t="s">
        <v>138</v>
      </c>
      <c r="G19" s="4"/>
      <c r="H19" s="42"/>
      <c r="I19" s="26"/>
      <c r="J19" s="42"/>
      <c r="K19" s="4"/>
      <c r="L19" s="21"/>
      <c r="M19" s="27"/>
      <c r="N19" s="52"/>
      <c r="O19" s="41"/>
    </row>
    <row r="20" spans="1:15">
      <c r="A20" s="17">
        <f>MAX(A$14:A19)+1</f>
        <v>5</v>
      </c>
      <c r="C20" s="17" t="s">
        <v>139</v>
      </c>
      <c r="E20" s="22">
        <v>6</v>
      </c>
      <c r="G20" s="4">
        <f>'Exhibit-RMP(RMM-1) page 1'!K20</f>
        <v>476830.033</v>
      </c>
      <c r="H20" s="42"/>
      <c r="I20" s="26">
        <f>5035.949+3.521</f>
        <v>5039.4699999999993</v>
      </c>
      <c r="J20" s="42"/>
      <c r="K20" s="4">
        <f>$I20/($I$49-$I$17-$I$34-$I$35-$I$36-$I$37-$I$48)*($K$52-$G$34*$K$53-$K$52*SUM('REC2012'!$K$11:$K$15))*$K$54</f>
        <v>-292.88764424802258</v>
      </c>
      <c r="L20" s="35"/>
      <c r="M20" s="27">
        <f t="shared" ref="M20:M36" si="1">K20/$G20</f>
        <v>-6.142390872598887E-4</v>
      </c>
      <c r="N20" s="52">
        <f>K20-'Exhibit-RMP(RMM-1) page 1'!S20</f>
        <v>-11.13485544802262</v>
      </c>
      <c r="O20" s="41">
        <f t="shared" ref="O20:O21" si="2">I20/$I$49</f>
        <v>0.26247015390076878</v>
      </c>
    </row>
    <row r="21" spans="1:15">
      <c r="A21" s="17">
        <f>MAX(A$14:A20)+1</f>
        <v>6</v>
      </c>
      <c r="C21" s="17" t="s">
        <v>140</v>
      </c>
      <c r="E21" s="20" t="s">
        <v>141</v>
      </c>
      <c r="G21" s="118">
        <f>'Exhibit-RMP(RMM-1) page 1'!K21</f>
        <v>47103.563999999998</v>
      </c>
      <c r="H21" s="42"/>
      <c r="I21" s="135">
        <f>348.401+6.883*SUM('Exhibit-RMP(RMM-2)'!G518:G525)/SUM('Exhibit-RMP(RMM-2)'!G518:G525,'Exhibit-RMP(RMM-2)'!G530:G535)</f>
        <v>349.24597214763804</v>
      </c>
      <c r="J21" s="42"/>
      <c r="K21" s="118">
        <f>$I21/($I$49-$I$17-$I$34-$I$35-$I$36-$I$37-$I$48)*($K$52-$G$34*$K$53-$K$52*SUM('REC2012'!$K$11:$K$15))*$K$54</f>
        <v>-20.297735683600109</v>
      </c>
      <c r="L21" s="118"/>
      <c r="M21" s="136">
        <f t="shared" si="1"/>
        <v>-4.3091719521690781E-4</v>
      </c>
      <c r="N21" s="52">
        <f>K21-'Exhibit-RMP(RMM-1) page 1'!S21</f>
        <v>1.3750503163998857</v>
      </c>
      <c r="O21" s="41">
        <f t="shared" si="2"/>
        <v>1.818973901200209E-2</v>
      </c>
    </row>
    <row r="22" spans="1:15">
      <c r="A22" s="17">
        <f>MAX(A$14:A21)+1</f>
        <v>7</v>
      </c>
      <c r="C22" s="23" t="s">
        <v>142</v>
      </c>
      <c r="G22" s="4">
        <f>SUM(G20:G21)</f>
        <v>523933.59700000001</v>
      </c>
      <c r="H22" s="42"/>
      <c r="I22" s="26">
        <f>SUM(I20:I21)</f>
        <v>5388.7159721476373</v>
      </c>
      <c r="J22" s="42"/>
      <c r="K22" s="4">
        <f>SUM(K20:K21)</f>
        <v>-313.18537993162272</v>
      </c>
      <c r="L22" s="4"/>
      <c r="M22" s="27">
        <f t="shared" si="1"/>
        <v>-5.977577725973216E-4</v>
      </c>
      <c r="N22" s="52">
        <f>K22-'Exhibit-RMP(RMM-1) page 1'!S22</f>
        <v>-9.7598051316227838</v>
      </c>
      <c r="O22" s="41">
        <f>I22/$I$49</f>
        <v>0.28065989291277088</v>
      </c>
    </row>
    <row r="23" spans="1:15" ht="23.1" customHeight="1">
      <c r="A23" s="17">
        <f>MAX(A$14:A22)+1</f>
        <v>8</v>
      </c>
      <c r="C23" s="17" t="s">
        <v>143</v>
      </c>
      <c r="E23" s="17">
        <v>8</v>
      </c>
      <c r="F23" s="3"/>
      <c r="G23" s="4">
        <f>'Exhibit-RMP(RMM-1) page 1'!K23</f>
        <v>148125.87700000001</v>
      </c>
      <c r="H23" s="42"/>
      <c r="I23" s="26">
        <v>1702.8389999999999</v>
      </c>
      <c r="J23" s="42"/>
      <c r="K23" s="4">
        <f>$I23/($I$49-$I$17-$I$34-$I$35-$I$36-$I$37-$I$48)*($K$52-$G$34*$K$53-$K$52*SUM('REC2012'!$K$11:$K$15))*$K$54</f>
        <v>-98.966856285216224</v>
      </c>
      <c r="L23" s="4"/>
      <c r="M23" s="27">
        <f t="shared" si="1"/>
        <v>-6.6812671958199588E-4</v>
      </c>
      <c r="N23" s="52">
        <f>K23-'Exhibit-RMP(RMM-1) page 1'!S23</f>
        <v>4.2160773147837745</v>
      </c>
      <c r="O23" s="41">
        <f>I23/$I$49</f>
        <v>8.8688773700057996E-2</v>
      </c>
    </row>
    <row r="24" spans="1:15" ht="23.1" customHeight="1">
      <c r="A24" s="17">
        <f>MAX(A$14:A23)+1</f>
        <v>9</v>
      </c>
      <c r="C24" s="17" t="s">
        <v>144</v>
      </c>
      <c r="E24" s="17">
        <v>9</v>
      </c>
      <c r="G24" s="4">
        <f>'Exhibit-RMP(RMM-1) page 1'!K24</f>
        <v>273346.62900000002</v>
      </c>
      <c r="H24" s="42"/>
      <c r="I24" s="26">
        <f>4116.5+6.883*SUM('Exhibit-RMP(RMM-2)'!G530:G535)/SUM('Exhibit-RMP(RMM-2)'!G518:G525,'Exhibit-RMP(RMM-2)'!G530:G535)</f>
        <v>4122.5380278523617</v>
      </c>
      <c r="J24" s="42"/>
      <c r="K24" s="4">
        <f>$I24/($I$49-$I$17-$I$34-$I$35-$I$36-$I$37-$I$48)*($K$52-$G$34*$K$53-$K$52*SUM('REC2012'!$K$11:$K$15))*$K$54</f>
        <v>-239.5967138013655</v>
      </c>
      <c r="L24" s="4"/>
      <c r="M24" s="27">
        <f t="shared" si="1"/>
        <v>-8.7653070637050173E-4</v>
      </c>
      <c r="N24" s="52">
        <f>K24-'Exhibit-RMP(RMM-1) page 1'!S24</f>
        <v>13.140820198634486</v>
      </c>
      <c r="O24" s="41">
        <f t="shared" ref="O24:O48" si="3">I24/$I$49</f>
        <v>0.21471368827122322</v>
      </c>
    </row>
    <row r="25" spans="1:15">
      <c r="A25" s="17">
        <f>MAX(A$14:A24)+1</f>
        <v>10</v>
      </c>
      <c r="C25" s="17" t="s">
        <v>145</v>
      </c>
      <c r="E25" s="20" t="s">
        <v>146</v>
      </c>
      <c r="G25" s="118">
        <f>'Exhibit-RMP(RMM-1) page 1'!K25</f>
        <v>2993.1880000000001</v>
      </c>
      <c r="H25" s="42"/>
      <c r="I25" s="135">
        <v>47.616</v>
      </c>
      <c r="J25" s="42"/>
      <c r="K25" s="118">
        <f>$I25/($I$49-$I$17-$I$34-$I$35-$I$36-$I$37-$I$48)*($K$52-$G$34*$K$53-$K$52*SUM('REC2012'!$K$11:$K$15))*$K$54</f>
        <v>-2.7673819009764613</v>
      </c>
      <c r="L25" s="118"/>
      <c r="M25" s="136">
        <f t="shared" si="1"/>
        <v>-9.2456000123495793E-4</v>
      </c>
      <c r="N25" s="52">
        <f>K25-'Exhibit-RMP(RMM-1) page 1'!S25</f>
        <v>-0.11613770097646103</v>
      </c>
      <c r="O25" s="41">
        <f t="shared" si="3"/>
        <v>2.4799788168476064E-3</v>
      </c>
    </row>
    <row r="26" spans="1:15">
      <c r="A26" s="17">
        <f>MAX(A$14:A25)+1</f>
        <v>11</v>
      </c>
      <c r="C26" s="23" t="s">
        <v>147</v>
      </c>
      <c r="G26" s="4">
        <f>SUM(G24:G25)</f>
        <v>276339.81700000004</v>
      </c>
      <c r="H26" s="42"/>
      <c r="I26" s="26">
        <f>SUM(I24:I25)</f>
        <v>4170.1540278523617</v>
      </c>
      <c r="J26" s="42"/>
      <c r="K26" s="4">
        <f>SUM(K24:K25)</f>
        <v>-242.36409570234196</v>
      </c>
      <c r="L26" s="4"/>
      <c r="M26" s="27">
        <f t="shared" si="1"/>
        <v>-8.770509379845971E-4</v>
      </c>
      <c r="N26" s="52">
        <f>K26-'Exhibit-RMP(RMM-1) page 1'!S26</f>
        <v>13.024682497658034</v>
      </c>
      <c r="O26" s="41">
        <f t="shared" si="3"/>
        <v>0.21719366708807084</v>
      </c>
    </row>
    <row r="27" spans="1:15" ht="23.1" customHeight="1">
      <c r="A27" s="17">
        <f>MAX(A$14:A26)+1</f>
        <v>12</v>
      </c>
      <c r="C27" s="17" t="s">
        <v>148</v>
      </c>
      <c r="E27" s="20">
        <v>10</v>
      </c>
      <c r="G27" s="4">
        <f>'Exhibit-RMP(RMM-1) page 1'!K27</f>
        <v>16042.852000000001</v>
      </c>
      <c r="H27" s="42"/>
      <c r="I27" s="26">
        <v>134.453</v>
      </c>
      <c r="J27" s="42"/>
      <c r="K27" s="4">
        <f>$I27/($I$49-$I$17-$I$34-$I$35-$I$36-$I$37-$I$48)*($K$52-$G$34*$K$53-$K$52*SUM('REC2012'!$K$11:$K$15))*$K$54</f>
        <v>-7.8142388846603694</v>
      </c>
      <c r="L27" s="4"/>
      <c r="M27" s="27">
        <f t="shared" si="1"/>
        <v>-4.8708539383523385E-4</v>
      </c>
      <c r="N27" s="52">
        <f>K27-'Exhibit-RMP(RMM-1) page 1'!S27</f>
        <v>-5.3673846603681241E-3</v>
      </c>
      <c r="O27" s="41">
        <f t="shared" si="3"/>
        <v>7.0027006019323596E-3</v>
      </c>
    </row>
    <row r="28" spans="1:15">
      <c r="A28" s="17">
        <f>MAX(A$14:A27)+1</f>
        <v>13</v>
      </c>
      <c r="C28" s="17" t="s">
        <v>149</v>
      </c>
      <c r="E28" s="20" t="s">
        <v>150</v>
      </c>
      <c r="G28" s="118">
        <f>'Exhibit-RMP(RMM-1) page 1'!K28</f>
        <v>1947.394</v>
      </c>
      <c r="H28" s="42"/>
      <c r="I28" s="135">
        <v>13.098000000000001</v>
      </c>
      <c r="J28" s="42"/>
      <c r="K28" s="118">
        <f>$I28/($I$49-$I$17-$I$34-$I$35-$I$36-$I$37-$I$48)*($K$52-$G$34*$K$53-$K$52*SUM('REC2012'!$K$11:$K$15))*$K$54</f>
        <v>-0.7612392502307983</v>
      </c>
      <c r="L28" s="118"/>
      <c r="M28" s="136">
        <f t="shared" si="1"/>
        <v>-3.9090150746628484E-4</v>
      </c>
      <c r="N28" s="52">
        <f>K28-'Exhibit-RMP(RMM-1) page 1'!S28</f>
        <v>0.20136124976920167</v>
      </c>
      <c r="O28" s="41">
        <f t="shared" si="3"/>
        <v>6.8218167303154295E-4</v>
      </c>
    </row>
    <row r="29" spans="1:15">
      <c r="A29" s="17">
        <f>MAX(A$14:A28)+1</f>
        <v>14</v>
      </c>
      <c r="C29" s="23" t="s">
        <v>151</v>
      </c>
      <c r="G29" s="4">
        <f>SUM(G27:G28)</f>
        <v>17990.245999999999</v>
      </c>
      <c r="H29" s="42"/>
      <c r="I29" s="26">
        <f>SUM(I27:I28)</f>
        <v>147.55100000000002</v>
      </c>
      <c r="J29" s="42"/>
      <c r="K29" s="4">
        <f>SUM(K27:K28)</f>
        <v>-8.5754781348911671</v>
      </c>
      <c r="L29" s="4"/>
      <c r="M29" s="27">
        <f t="shared" si="1"/>
        <v>-4.7667375615048109E-4</v>
      </c>
      <c r="N29" s="52">
        <f>K29-'Exhibit-RMP(RMM-1) page 1'!S29</f>
        <v>0.19599386510883399</v>
      </c>
      <c r="O29" s="41">
        <f t="shared" si="3"/>
        <v>7.6848822749639037E-3</v>
      </c>
    </row>
    <row r="30" spans="1:15">
      <c r="A30" s="17">
        <f>MAX(A$14:A29)+1</f>
        <v>15</v>
      </c>
      <c r="C30" s="17" t="s">
        <v>152</v>
      </c>
      <c r="E30" s="22">
        <v>23</v>
      </c>
      <c r="G30" s="4">
        <f>'Exhibit-RMP(RMM-1) page 1'!K30</f>
        <v>138041.82800000001</v>
      </c>
      <c r="H30" s="42"/>
      <c r="I30" s="26">
        <v>39.445999999999998</v>
      </c>
      <c r="J30" s="42"/>
      <c r="K30" s="4">
        <f>$I30/($I$49-$I$17-$I$34-$I$35-$I$36-$I$37-$I$48)*($K$52-$G$34*$K$53-$K$52*SUM('REC2012'!$K$11:$K$15))*$K$54</f>
        <v>-2.2925517990994093</v>
      </c>
      <c r="L30" s="4"/>
      <c r="M30" s="27">
        <f t="shared" si="1"/>
        <v>-1.6607660390439116E-5</v>
      </c>
      <c r="N30" s="52">
        <f>K30-'Exhibit-RMP(RMM-1) page 1'!S30</f>
        <v>-2.2925517990994093</v>
      </c>
      <c r="O30" s="41">
        <f t="shared" si="3"/>
        <v>2.0544616181403454E-3</v>
      </c>
    </row>
    <row r="31" spans="1:15">
      <c r="A31" s="17">
        <f>MAX(A$14:A30)+1</f>
        <v>16</v>
      </c>
      <c r="C31" s="17" t="s">
        <v>153</v>
      </c>
      <c r="E31" s="17">
        <v>31</v>
      </c>
      <c r="G31" s="4">
        <f>'Exhibit-RMP(RMM-1) page 1'!K31</f>
        <v>12590.477000000001</v>
      </c>
      <c r="H31" s="42"/>
      <c r="I31" s="26">
        <v>66.171999999999997</v>
      </c>
      <c r="J31" s="42"/>
      <c r="K31" s="4">
        <f>$I31/($I$49-$I$17-$I$34-$I$35-$I$36-$I$37-$I$48)*($K$52-$G$34*$K$53-$K$52*SUM('REC2012'!$K$11:$K$15))*$K$54</f>
        <v>-3.8458332315065182</v>
      </c>
      <c r="L31" s="4"/>
      <c r="M31" s="27">
        <f t="shared" si="1"/>
        <v>-3.0545572113800917E-4</v>
      </c>
      <c r="N31" s="52">
        <f>K31-'Exhibit-RMP(RMM-1) page 1'!S31</f>
        <v>5.6495381684934838</v>
      </c>
      <c r="O31" s="41">
        <f t="shared" si="3"/>
        <v>3.4464288950865215E-3</v>
      </c>
    </row>
    <row r="32" spans="1:15">
      <c r="A32" s="17">
        <f>MAX(A$14:A31)+1</f>
        <v>17</v>
      </c>
      <c r="C32" s="17" t="s">
        <v>333</v>
      </c>
      <c r="E32" s="17">
        <v>32</v>
      </c>
      <c r="G32" s="4">
        <f>'Exhibit-RMP(RMM-1) page 1'!K32</f>
        <v>13353.13</v>
      </c>
      <c r="H32" s="42"/>
      <c r="I32" s="26"/>
      <c r="J32" s="42"/>
      <c r="K32" s="4">
        <f>G32*$M$24</f>
        <v>-11.704428471157136</v>
      </c>
      <c r="L32" s="4"/>
      <c r="M32" s="27">
        <f t="shared" ref="M32" si="4">K32/$G32</f>
        <v>-8.7653070637050173E-4</v>
      </c>
      <c r="N32" s="52">
        <f>K32-'Exhibit-RMP(RMM-1) page 1'!S32</f>
        <v>-10.348001471157136</v>
      </c>
      <c r="O32" s="41">
        <f t="shared" si="3"/>
        <v>0</v>
      </c>
    </row>
    <row r="33" spans="1:16">
      <c r="A33" s="17">
        <f>MAX(A$14:A32)+1</f>
        <v>18</v>
      </c>
      <c r="C33" s="17" t="s">
        <v>334</v>
      </c>
      <c r="E33" s="17">
        <v>34</v>
      </c>
      <c r="G33" s="4">
        <f>'Exhibit-RMP(RMM-1) page 1'!K33</f>
        <v>13027.75819123467</v>
      </c>
      <c r="H33" s="42"/>
      <c r="I33" s="26"/>
      <c r="J33" s="42"/>
      <c r="K33" s="51">
        <v>0</v>
      </c>
      <c r="L33" s="4"/>
      <c r="M33" s="27">
        <f t="shared" ref="M33" si="5">K33/$G33</f>
        <v>0</v>
      </c>
      <c r="N33" s="52">
        <f>K33-'Exhibit-RMP(RMM-1) page 1'!S33</f>
        <v>0</v>
      </c>
      <c r="O33" s="41">
        <f t="shared" si="3"/>
        <v>0</v>
      </c>
    </row>
    <row r="34" spans="1:16">
      <c r="A34" s="17">
        <f>MAX(A$14:A31)+1</f>
        <v>17</v>
      </c>
      <c r="C34" s="17" t="s">
        <v>154</v>
      </c>
      <c r="E34" s="20" t="s">
        <v>136</v>
      </c>
      <c r="G34" s="4">
        <f>'Exhibit-RMP(RMM-1) page 1'!K34</f>
        <v>31874.342000000001</v>
      </c>
      <c r="H34" s="42"/>
      <c r="I34" s="26">
        <v>276.947</v>
      </c>
      <c r="J34" s="42"/>
      <c r="K34" s="4">
        <f>G34*K53</f>
        <v>-17.340733815570811</v>
      </c>
      <c r="L34" s="4"/>
      <c r="M34" s="27">
        <f t="shared" si="1"/>
        <v>-5.4403425223870691E-4</v>
      </c>
      <c r="N34" s="52">
        <f>K34-'Exhibit-RMP(RMM-1) page 1'!S34</f>
        <v>0.62494558442919157</v>
      </c>
      <c r="O34" s="41">
        <f t="shared" si="3"/>
        <v>1.4424199709960813E-2</v>
      </c>
    </row>
    <row r="35" spans="1:16">
      <c r="A35" s="17">
        <f>MAX(A$14:A34)+1</f>
        <v>19</v>
      </c>
      <c r="C35" s="17" t="s">
        <v>155</v>
      </c>
      <c r="E35" s="20" t="s">
        <v>136</v>
      </c>
      <c r="G35" s="4">
        <f>'Exhibit-RMP(RMM-1) page 1'!K35</f>
        <v>31979.111000000001</v>
      </c>
      <c r="H35" s="42"/>
      <c r="I35" s="26">
        <v>0</v>
      </c>
      <c r="J35" s="42"/>
      <c r="K35" s="4">
        <f>$I35/($I$49-$I$17-$I$34-$I$35-$I$36-$I$37-$I$48)*($K$52-$G$34*$K$53-$K$52*SUM('REC2012'!$K$11:$K$15))*$K$54</f>
        <v>0</v>
      </c>
      <c r="L35" s="4"/>
      <c r="M35" s="27">
        <f t="shared" si="1"/>
        <v>0</v>
      </c>
      <c r="N35" s="52">
        <f>K35-'Exhibit-RMP(RMM-1) page 1'!S35</f>
        <v>0</v>
      </c>
      <c r="O35" s="41">
        <f t="shared" si="3"/>
        <v>0</v>
      </c>
    </row>
    <row r="36" spans="1:16">
      <c r="A36" s="17">
        <f>MAX(A$14:A35)+1</f>
        <v>20</v>
      </c>
      <c r="C36" s="17" t="s">
        <v>156</v>
      </c>
      <c r="E36" s="20" t="s">
        <v>136</v>
      </c>
      <c r="G36" s="4">
        <f>'Exhibit-RMP(RMM-1) page 1'!K36</f>
        <v>62957.593017309679</v>
      </c>
      <c r="H36" s="42"/>
      <c r="I36" s="26">
        <v>437.18900000000002</v>
      </c>
      <c r="J36" s="42"/>
      <c r="K36" s="51">
        <v>0</v>
      </c>
      <c r="L36" s="4"/>
      <c r="M36" s="27">
        <f t="shared" si="1"/>
        <v>0</v>
      </c>
      <c r="N36" s="52">
        <f>K36-'Exhibit-RMP(RMM-1) page 1'!S36</f>
        <v>0</v>
      </c>
      <c r="O36" s="41">
        <f t="shared" si="3"/>
        <v>2.2770065922353585E-2</v>
      </c>
    </row>
    <row r="37" spans="1:16">
      <c r="A37" s="17">
        <f>MAX(A$14:A36)+1</f>
        <v>21</v>
      </c>
      <c r="C37" s="17" t="s">
        <v>135</v>
      </c>
      <c r="E37" s="20" t="s">
        <v>136</v>
      </c>
      <c r="G37" s="118">
        <f>'Exhibit-RMP(RMM-1) page 1'!K37</f>
        <v>4797.3367799999996</v>
      </c>
      <c r="H37" s="42"/>
      <c r="I37" s="135">
        <v>0</v>
      </c>
      <c r="J37" s="42"/>
      <c r="K37" s="118"/>
      <c r="L37" s="118"/>
      <c r="M37" s="136"/>
      <c r="N37" s="52">
        <f>K37-'Exhibit-RMP(RMM-1) page 1'!S37</f>
        <v>0</v>
      </c>
      <c r="O37" s="41">
        <f t="shared" si="3"/>
        <v>0</v>
      </c>
    </row>
    <row r="38" spans="1:16">
      <c r="A38" s="17">
        <f>MAX(A$14:A37)+1</f>
        <v>22</v>
      </c>
      <c r="C38" s="9" t="s">
        <v>157</v>
      </c>
      <c r="G38" s="4">
        <f>SUM(G20:G21,G23:G25,G27:G28,G30:G37)</f>
        <v>1275011.1129885442</v>
      </c>
      <c r="H38" s="42"/>
      <c r="I38" s="4">
        <f>SUM(I20:I21,I23:I25,I27:I28,I30:I37)</f>
        <v>12229.013999999999</v>
      </c>
      <c r="J38" s="42"/>
      <c r="K38" s="4">
        <f>SUM(K20:K21,K23:K25,K27:K28,K30:K37)</f>
        <v>-698.27535737140602</v>
      </c>
      <c r="L38" s="4"/>
      <c r="M38" s="27">
        <f>K38/$G38</f>
        <v>-5.4766217349642814E-4</v>
      </c>
      <c r="N38" s="52">
        <f>K38-'Exhibit-RMP(RMM-1) page 1'!S38</f>
        <v>1.3108790285939449</v>
      </c>
      <c r="O38" s="41">
        <f t="shared" si="3"/>
        <v>0.6369223721214049</v>
      </c>
    </row>
    <row r="39" spans="1:16" ht="28.5" customHeight="1">
      <c r="C39" s="9" t="s">
        <v>158</v>
      </c>
      <c r="G39" s="4"/>
      <c r="H39" s="42"/>
      <c r="I39" s="26"/>
      <c r="J39" s="42"/>
      <c r="K39" s="4"/>
      <c r="L39" s="4"/>
      <c r="M39" s="27"/>
      <c r="N39" s="52"/>
      <c r="O39" s="41"/>
    </row>
    <row r="40" spans="1:16">
      <c r="A40" s="17">
        <f>MAX(A$14:A39)+1</f>
        <v>23</v>
      </c>
      <c r="C40" s="17" t="s">
        <v>159</v>
      </c>
      <c r="E40" s="17">
        <v>7</v>
      </c>
      <c r="F40" s="17" t="s">
        <v>202</v>
      </c>
      <c r="G40" s="4">
        <f>'Exhibit-RMP(RMM-1) page 1'!K40</f>
        <v>1383.2668705464662</v>
      </c>
      <c r="H40" s="42"/>
      <c r="I40" s="26">
        <v>0</v>
      </c>
      <c r="J40" s="42"/>
      <c r="K40" s="4">
        <f>$G40/SUM($G$40:$G$42)*$K$52*'REC2012'!$K$11</f>
        <v>-0.43189982781318609</v>
      </c>
      <c r="L40" s="4"/>
      <c r="M40" s="27">
        <f t="shared" ref="M40:M45" si="6">K40/$G40</f>
        <v>-3.1223174429281461E-4</v>
      </c>
      <c r="N40" s="52">
        <f>K40-'Exhibit-RMP(RMM-1) page 1'!S40</f>
        <v>-1.6919766649246271E-2</v>
      </c>
      <c r="O40" s="41">
        <f t="shared" si="3"/>
        <v>0</v>
      </c>
      <c r="P40" s="4"/>
    </row>
    <row r="41" spans="1:16">
      <c r="A41" s="17">
        <f>MAX(A$14:A40)+1</f>
        <v>24</v>
      </c>
      <c r="C41" s="17" t="s">
        <v>160</v>
      </c>
      <c r="E41" s="17">
        <v>11</v>
      </c>
      <c r="F41" s="17" t="s">
        <v>202</v>
      </c>
      <c r="G41" s="4">
        <f>'Exhibit-RMP(RMM-1) page 1'!K41</f>
        <v>3759.4048698993784</v>
      </c>
      <c r="H41" s="42"/>
      <c r="I41" s="26">
        <v>0</v>
      </c>
      <c r="J41" s="42"/>
      <c r="K41" s="4">
        <f>$G41/SUM($G$40:$G$42)*$K$52*'REC2012'!$K$11</f>
        <v>-1.1738055400315845</v>
      </c>
      <c r="L41" s="4"/>
      <c r="M41" s="27">
        <f t="shared" si="6"/>
        <v>-3.1223174429281455E-4</v>
      </c>
      <c r="N41" s="52">
        <f>K41-'Exhibit-RMP(RMM-1) page 1'!S41</f>
        <v>-4.5984079061771155E-2</v>
      </c>
      <c r="O41" s="41">
        <f t="shared" si="3"/>
        <v>0</v>
      </c>
    </row>
    <row r="42" spans="1:16">
      <c r="A42" s="17">
        <f>MAX(A$14:A41)+1</f>
        <v>25</v>
      </c>
      <c r="C42" s="17" t="s">
        <v>161</v>
      </c>
      <c r="E42" s="17">
        <v>12</v>
      </c>
      <c r="F42" s="17" t="s">
        <v>202</v>
      </c>
      <c r="G42" s="4">
        <f>'Exhibit-RMP(RMM-1) page 1'!K42</f>
        <v>1384.8784946300007</v>
      </c>
      <c r="H42" s="42"/>
      <c r="I42" s="26">
        <v>0</v>
      </c>
      <c r="J42" s="42"/>
      <c r="K42" s="4">
        <f>$G42/SUM($G$40:$G$42)*$K$52*'REC2012'!$K$11</f>
        <v>-0.43240302801193242</v>
      </c>
      <c r="L42" s="4"/>
      <c r="M42" s="27">
        <f t="shared" si="6"/>
        <v>-3.1223174429281461E-4</v>
      </c>
      <c r="N42" s="52">
        <f>K42-'Exhibit-RMP(RMM-1) page 1'!S42</f>
        <v>-1.6939479622932518E-2</v>
      </c>
      <c r="O42" s="41">
        <f t="shared" si="3"/>
        <v>0</v>
      </c>
    </row>
    <row r="43" spans="1:16">
      <c r="A43" s="17">
        <f>MAX(A$14:A42)+1</f>
        <v>26</v>
      </c>
      <c r="C43" s="17" t="s">
        <v>162</v>
      </c>
      <c r="E43" s="17">
        <v>15</v>
      </c>
      <c r="F43" s="17" t="s">
        <v>202</v>
      </c>
      <c r="G43" s="5">
        <f>'Exhibit-RMP(RMM-1) page 1'!K43</f>
        <v>781.11300000000006</v>
      </c>
      <c r="H43" s="42"/>
      <c r="I43" s="26">
        <v>0</v>
      </c>
      <c r="J43" s="42"/>
      <c r="K43" s="5">
        <f>$K$52*'REC2012'!$K$14</f>
        <v>-0.40831013924703319</v>
      </c>
      <c r="L43" s="5"/>
      <c r="M43" s="28">
        <f t="shared" si="6"/>
        <v>-5.2272864393120217E-4</v>
      </c>
      <c r="N43" s="52">
        <f>K43-'Exhibit-RMP(RMM-1) page 1'!S43</f>
        <v>-9.4242392470331726E-3</v>
      </c>
      <c r="O43" s="41">
        <f t="shared" si="3"/>
        <v>0</v>
      </c>
    </row>
    <row r="44" spans="1:16">
      <c r="A44" s="17">
        <f>MAX(A$14:A43)+1</f>
        <v>27</v>
      </c>
      <c r="C44" s="17" t="s">
        <v>163</v>
      </c>
      <c r="E44" s="17">
        <v>15</v>
      </c>
      <c r="F44" s="17" t="s">
        <v>202</v>
      </c>
      <c r="G44" s="118">
        <f>'Exhibit-RMP(RMM-1) page 1'!K44</f>
        <v>802.61</v>
      </c>
      <c r="H44" s="42"/>
      <c r="I44" s="135">
        <v>0</v>
      </c>
      <c r="J44" s="42"/>
      <c r="K44" s="118">
        <f>$K$52*'REC2012'!$K$15</f>
        <v>-0.22135036877013459</v>
      </c>
      <c r="L44" s="118"/>
      <c r="M44" s="136">
        <f t="shared" si="6"/>
        <v>-2.7578820195379398E-4</v>
      </c>
      <c r="N44" s="52">
        <f>K44-'Exhibit-RMP(RMM-1) page 1'!S44</f>
        <v>2.7509231229865427E-2</v>
      </c>
      <c r="O44" s="41">
        <f t="shared" si="3"/>
        <v>0</v>
      </c>
    </row>
    <row r="45" spans="1:16">
      <c r="A45" s="17">
        <f>MAX(A$14:A44)+1</f>
        <v>28</v>
      </c>
      <c r="C45" s="23" t="s">
        <v>164</v>
      </c>
      <c r="D45" s="6"/>
      <c r="F45" s="6"/>
      <c r="G45" s="4">
        <f>SUM(G40:G44)</f>
        <v>8111.2732350758452</v>
      </c>
      <c r="H45" s="4"/>
      <c r="I45" s="26">
        <f>SUM(I40:I44)</f>
        <v>0</v>
      </c>
      <c r="J45" s="42"/>
      <c r="K45" s="4">
        <f>SUM(K40:K44)</f>
        <v>-2.667768903873871</v>
      </c>
      <c r="L45" s="4"/>
      <c r="M45" s="27">
        <f t="shared" si="6"/>
        <v>-3.2889644160149237E-4</v>
      </c>
      <c r="N45" s="52">
        <f>K45-'Exhibit-RMP(RMM-1) page 1'!S45</f>
        <v>-6.1758333351118022E-2</v>
      </c>
      <c r="O45" s="41">
        <f t="shared" si="3"/>
        <v>0</v>
      </c>
    </row>
    <row r="46" spans="1:16" ht="23.1" customHeight="1">
      <c r="A46" s="17">
        <f>MAX(A$14:A45)+1</f>
        <v>29</v>
      </c>
      <c r="C46" s="17" t="s">
        <v>165</v>
      </c>
      <c r="E46" s="20" t="s">
        <v>136</v>
      </c>
      <c r="G46" s="4">
        <f>'Exhibit-RMP(RMM-1) page 1'!K46</f>
        <v>0.55700000000000005</v>
      </c>
      <c r="H46" s="42"/>
      <c r="I46" s="26">
        <v>0</v>
      </c>
      <c r="J46" s="42"/>
      <c r="K46" s="4"/>
      <c r="L46" s="4"/>
      <c r="M46" s="27"/>
      <c r="N46" s="52">
        <f>K46-'Exhibit-RMP(RMM-1) page 1'!S46</f>
        <v>0</v>
      </c>
      <c r="O46" s="41">
        <f t="shared" si="3"/>
        <v>0</v>
      </c>
    </row>
    <row r="47" spans="1:16">
      <c r="A47" s="17">
        <f>MAX(A$14:A46)+1</f>
        <v>30</v>
      </c>
      <c r="C47" s="17" t="s">
        <v>135</v>
      </c>
      <c r="D47" s="123"/>
      <c r="E47" s="20" t="s">
        <v>136</v>
      </c>
      <c r="F47" s="123"/>
      <c r="G47" s="118">
        <f>'Exhibit-RMP(RMM-1) page 1'!K47</f>
        <v>4.6550400000000005</v>
      </c>
      <c r="H47" s="42"/>
      <c r="I47" s="135">
        <v>0</v>
      </c>
      <c r="J47" s="42"/>
      <c r="K47" s="118"/>
      <c r="L47" s="118"/>
      <c r="M47" s="136"/>
      <c r="N47" s="52">
        <f>K47-'Exhibit-RMP(RMM-1) page 1'!S47</f>
        <v>0</v>
      </c>
      <c r="O47" s="41">
        <f t="shared" si="3"/>
        <v>0</v>
      </c>
    </row>
    <row r="48" spans="1:16">
      <c r="A48" s="17">
        <f>MAX(A$14:A47)+1</f>
        <v>31</v>
      </c>
      <c r="C48" s="9" t="s">
        <v>166</v>
      </c>
      <c r="G48" s="118">
        <f>SUM(G45:G47)</f>
        <v>8116.4852750758446</v>
      </c>
      <c r="H48" s="42"/>
      <c r="I48" s="118">
        <f>SUM(I45:I47)</f>
        <v>0</v>
      </c>
      <c r="J48" s="42"/>
      <c r="K48" s="118">
        <f>SUM(K45:K47)</f>
        <v>-2.667768903873871</v>
      </c>
      <c r="L48" s="118"/>
      <c r="M48" s="136">
        <f>K48/$G48</f>
        <v>-3.2868523917194467E-4</v>
      </c>
      <c r="N48" s="52">
        <f>K48-'Exhibit-RMP(RMM-1) page 1'!S48</f>
        <v>-6.1758333351118022E-2</v>
      </c>
      <c r="O48" s="41">
        <f t="shared" si="3"/>
        <v>0</v>
      </c>
    </row>
    <row r="49" spans="1:15" ht="27.75" customHeight="1" thickBot="1">
      <c r="A49" s="17">
        <f>MAX(A$14:A48)+1</f>
        <v>32</v>
      </c>
      <c r="C49" s="9" t="s">
        <v>167</v>
      </c>
      <c r="G49" s="7">
        <f>G18+G38+G48</f>
        <v>2033139.5913536199</v>
      </c>
      <c r="H49" s="42"/>
      <c r="I49" s="24">
        <f>I18+I38+I48</f>
        <v>19200.163999999997</v>
      </c>
      <c r="J49" s="43"/>
      <c r="K49" s="24">
        <f>K18+K38+K48</f>
        <v>-1106.0975772789773</v>
      </c>
      <c r="L49" s="24"/>
      <c r="M49" s="29">
        <f>K49/$G49</f>
        <v>-5.4403425223870712E-4</v>
      </c>
      <c r="N49" s="52">
        <f>K49-'Exhibit-RMP(RMM-1) page 1'!S49</f>
        <v>-1.7691411084545052</v>
      </c>
      <c r="O49" s="41">
        <f>SUM(O15:O17,O20:O21,O23:O25,O27:O28,O30:O37,O40:O44,O46:O47)</f>
        <v>0.99999999999999989</v>
      </c>
    </row>
    <row r="50" spans="1:15" ht="9.75" customHeight="1" thickTop="1">
      <c r="C50" s="9"/>
      <c r="G50" s="5"/>
      <c r="H50" s="42"/>
      <c r="I50" s="36"/>
      <c r="J50" s="25"/>
      <c r="K50" s="36"/>
      <c r="L50" s="36"/>
      <c r="M50" s="28"/>
      <c r="O50" s="17">
        <f>SUM(O18,O38,O48)</f>
        <v>1.0000000000000002</v>
      </c>
    </row>
    <row r="51" spans="1:15">
      <c r="A51" s="137" t="s">
        <v>199</v>
      </c>
      <c r="B51" s="137"/>
      <c r="C51" s="137"/>
    </row>
    <row r="52" spans="1:15">
      <c r="A52" s="17" t="s">
        <v>370</v>
      </c>
      <c r="C52" s="40"/>
      <c r="H52" s="138"/>
      <c r="I52" s="139" t="s">
        <v>397</v>
      </c>
      <c r="J52" s="140"/>
      <c r="K52" s="46">
        <f>-'RMP_(GB-1)'!F21/1000</f>
        <v>-1106.0975772789768</v>
      </c>
      <c r="O52" s="46"/>
    </row>
    <row r="53" spans="1:15">
      <c r="A53" s="17" t="s">
        <v>371</v>
      </c>
      <c r="C53" s="40"/>
      <c r="H53" s="138"/>
      <c r="I53" s="139" t="s">
        <v>200</v>
      </c>
      <c r="J53" s="141"/>
      <c r="K53" s="142">
        <f>K52/G49</f>
        <v>-5.4403425223870691E-4</v>
      </c>
    </row>
    <row r="54" spans="1:15">
      <c r="H54" s="138"/>
      <c r="I54" s="139" t="s">
        <v>16</v>
      </c>
      <c r="J54" s="18"/>
      <c r="K54" s="38">
        <v>0.98922332546628033</v>
      </c>
      <c r="L54" s="141"/>
      <c r="M54" s="143">
        <f>K49-K52</f>
        <v>0</v>
      </c>
    </row>
    <row r="55" spans="1:15">
      <c r="I55" s="138"/>
      <c r="M55" s="20" t="s">
        <v>373</v>
      </c>
    </row>
    <row r="56" spans="1:15">
      <c r="E56" s="138"/>
      <c r="F56" s="138"/>
      <c r="G56" s="138"/>
      <c r="H56" s="138"/>
    </row>
    <row r="57" spans="1:15">
      <c r="E57" s="138"/>
      <c r="F57" s="138"/>
      <c r="L57" s="37"/>
    </row>
    <row r="58" spans="1:15">
      <c r="E58" s="138"/>
      <c r="F58" s="138"/>
      <c r="L58" s="144"/>
    </row>
    <row r="59" spans="1:15">
      <c r="E59" s="138"/>
      <c r="F59" s="138"/>
      <c r="L59" s="145"/>
    </row>
    <row r="60" spans="1:15">
      <c r="E60" s="138"/>
      <c r="F60" s="138"/>
      <c r="G60" s="139"/>
      <c r="H60" s="138"/>
      <c r="I60" s="38"/>
      <c r="J60" s="146"/>
      <c r="K60" s="147"/>
    </row>
    <row r="61" spans="1:15">
      <c r="E61" s="138"/>
      <c r="F61" s="138"/>
      <c r="G61" s="139"/>
      <c r="H61" s="138"/>
      <c r="I61" s="45"/>
      <c r="J61" s="141"/>
      <c r="K61" s="145"/>
    </row>
    <row r="62" spans="1:15">
      <c r="J62" s="18"/>
    </row>
    <row r="63" spans="1:15">
      <c r="J63" s="120"/>
      <c r="K63" s="37"/>
    </row>
    <row r="64" spans="1:15">
      <c r="J64" s="125"/>
      <c r="K64" s="37"/>
    </row>
  </sheetData>
  <printOptions horizontalCentered="1"/>
  <pageMargins left="0.25" right="0.25" top="1" bottom="0.5" header="0.25" footer="0.25"/>
  <pageSetup scale="57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2"/>
  <sheetViews>
    <sheetView tabSelected="1" view="pageBreakPreview" zoomScaleNormal="100" zoomScaleSheetLayoutView="100" workbookViewId="0"/>
  </sheetViews>
  <sheetFormatPr defaultColWidth="9" defaultRowHeight="15.75"/>
  <cols>
    <col min="1" max="1" width="33.375" style="154" customWidth="1"/>
    <col min="2" max="2" width="0.75" style="154" customWidth="1"/>
    <col min="3" max="3" width="14.25" style="156" bestFit="1" customWidth="1"/>
    <col min="4" max="4" width="0.75" style="154" customWidth="1"/>
    <col min="5" max="5" width="8.25" style="154" bestFit="1" customWidth="1"/>
    <col min="6" max="6" width="1.75" style="154" bestFit="1" customWidth="1"/>
    <col min="7" max="7" width="14.25" style="157" bestFit="1" customWidth="1"/>
    <col min="8" max="8" width="0.75" style="154" customWidth="1"/>
    <col min="9" max="9" width="6.75" style="168" bestFit="1" customWidth="1"/>
    <col min="10" max="10" width="0.75" style="154" customWidth="1"/>
    <col min="11" max="11" width="11.25" style="157" bestFit="1" customWidth="1"/>
    <col min="12" max="12" width="0.75" style="154" customWidth="1"/>
    <col min="13" max="13" width="6.75" style="168" bestFit="1" customWidth="1"/>
    <col min="14" max="14" width="0.75" style="154" customWidth="1"/>
    <col min="15" max="15" width="11.25" style="157" bestFit="1" customWidth="1"/>
    <col min="16" max="16" width="1.75" style="154" customWidth="1"/>
    <col min="17" max="17" width="13.875" style="155" customWidth="1"/>
    <col min="18" max="18" width="9.75" style="155" bestFit="1" customWidth="1"/>
    <col min="19" max="16384" width="9" style="154"/>
  </cols>
  <sheetData>
    <row r="1" spans="1:18" ht="18.75">
      <c r="A1" s="47" t="s">
        <v>0</v>
      </c>
      <c r="B1" s="148"/>
      <c r="C1" s="149"/>
      <c r="D1" s="148"/>
      <c r="E1" s="148"/>
      <c r="F1" s="148"/>
      <c r="G1" s="150"/>
      <c r="H1" s="151"/>
      <c r="I1" s="152"/>
      <c r="J1" s="148"/>
      <c r="K1" s="153"/>
      <c r="L1" s="148"/>
      <c r="M1" s="152"/>
      <c r="N1" s="148"/>
      <c r="O1" s="153"/>
    </row>
    <row r="2" spans="1:18" ht="18.75">
      <c r="A2" s="47" t="s">
        <v>189</v>
      </c>
      <c r="B2" s="148"/>
      <c r="C2" s="149"/>
      <c r="D2" s="148"/>
      <c r="E2" s="148"/>
      <c r="F2" s="148"/>
      <c r="G2" s="150"/>
      <c r="H2" s="151"/>
      <c r="I2" s="152"/>
      <c r="J2" s="148"/>
      <c r="K2" s="153"/>
      <c r="L2" s="148"/>
      <c r="M2" s="152"/>
      <c r="N2" s="148"/>
      <c r="O2" s="153"/>
    </row>
    <row r="3" spans="1:18" ht="18.75">
      <c r="A3" s="47" t="s">
        <v>316</v>
      </c>
      <c r="B3" s="148"/>
      <c r="C3" s="149"/>
      <c r="D3" s="148"/>
      <c r="E3" s="148"/>
      <c r="F3" s="148"/>
      <c r="G3" s="150"/>
      <c r="H3" s="151"/>
      <c r="I3" s="152"/>
      <c r="J3" s="148"/>
      <c r="K3" s="153"/>
      <c r="L3" s="148"/>
      <c r="M3" s="152"/>
      <c r="N3" s="148"/>
      <c r="O3" s="153"/>
    </row>
    <row r="4" spans="1:18" ht="18.75">
      <c r="A4" s="47" t="s">
        <v>317</v>
      </c>
      <c r="B4" s="148"/>
      <c r="C4" s="149"/>
      <c r="D4" s="148"/>
      <c r="E4" s="148"/>
      <c r="F4" s="148"/>
      <c r="G4" s="150"/>
      <c r="H4" s="151"/>
      <c r="I4" s="152"/>
      <c r="J4" s="148"/>
      <c r="K4" s="153"/>
      <c r="L4" s="148"/>
      <c r="M4" s="152"/>
      <c r="N4" s="148"/>
      <c r="O4" s="153"/>
    </row>
    <row r="5" spans="1:18" ht="18.75">
      <c r="I5" s="152"/>
      <c r="J5" s="148"/>
      <c r="K5" s="153"/>
      <c r="L5" s="148"/>
      <c r="M5" s="152"/>
      <c r="N5" s="148"/>
      <c r="O5" s="153"/>
    </row>
    <row r="7" spans="1:18">
      <c r="C7" s="158" t="s">
        <v>1</v>
      </c>
      <c r="E7" s="159" t="s">
        <v>177</v>
      </c>
      <c r="F7" s="159"/>
      <c r="G7" s="159" t="s">
        <v>2</v>
      </c>
      <c r="I7" s="160" t="s">
        <v>398</v>
      </c>
      <c r="J7" s="161"/>
      <c r="K7" s="162"/>
      <c r="M7" s="160" t="s">
        <v>399</v>
      </c>
      <c r="N7" s="161"/>
      <c r="O7" s="162"/>
    </row>
    <row r="8" spans="1:18">
      <c r="C8" s="163" t="s">
        <v>3</v>
      </c>
      <c r="E8" s="164" t="s">
        <v>4</v>
      </c>
      <c r="F8" s="159"/>
      <c r="G8" s="165" t="s">
        <v>5</v>
      </c>
      <c r="I8" s="166" t="s">
        <v>4</v>
      </c>
      <c r="J8" s="159"/>
      <c r="K8" s="165" t="s">
        <v>5</v>
      </c>
      <c r="M8" s="166" t="s">
        <v>4</v>
      </c>
      <c r="N8" s="159"/>
      <c r="O8" s="165" t="s">
        <v>5</v>
      </c>
    </row>
    <row r="9" spans="1:18">
      <c r="A9" s="167" t="s">
        <v>6</v>
      </c>
      <c r="Q9" s="169" t="s">
        <v>169</v>
      </c>
      <c r="R9" s="170">
        <v>4</v>
      </c>
    </row>
    <row r="10" spans="1:18">
      <c r="A10" s="171" t="s">
        <v>174</v>
      </c>
      <c r="C10" s="156">
        <v>9344849.0845141169</v>
      </c>
      <c r="E10" s="172"/>
      <c r="F10" s="172"/>
      <c r="Q10" s="173"/>
    </row>
    <row r="11" spans="1:18">
      <c r="A11" s="171" t="s">
        <v>8</v>
      </c>
      <c r="C11" s="156">
        <v>9329308</v>
      </c>
      <c r="E11" s="172"/>
      <c r="F11" s="172"/>
      <c r="K11" s="154"/>
      <c r="O11" s="154"/>
    </row>
    <row r="12" spans="1:18">
      <c r="A12" s="171" t="s">
        <v>203</v>
      </c>
      <c r="C12" s="156">
        <v>7140845</v>
      </c>
      <c r="E12" s="174">
        <v>8</v>
      </c>
      <c r="F12" s="172"/>
      <c r="G12" s="157">
        <v>57126760</v>
      </c>
      <c r="I12" s="175"/>
      <c r="J12" s="172"/>
      <c r="M12" s="175"/>
      <c r="N12" s="172"/>
      <c r="Q12" s="176" t="s">
        <v>335</v>
      </c>
      <c r="R12" s="177"/>
    </row>
    <row r="13" spans="1:18">
      <c r="A13" s="171" t="s">
        <v>204</v>
      </c>
      <c r="C13" s="156">
        <v>2188463</v>
      </c>
      <c r="E13" s="174">
        <v>6</v>
      </c>
      <c r="F13" s="172"/>
      <c r="G13" s="157">
        <v>13130778</v>
      </c>
      <c r="I13" s="175"/>
      <c r="J13" s="172"/>
      <c r="M13" s="175"/>
      <c r="N13" s="172"/>
      <c r="Q13" s="178" t="s">
        <v>11</v>
      </c>
      <c r="R13" s="179">
        <f>SUM(O28,O49,O69,O90,O111,O132)</f>
        <v>-402136.18920000002</v>
      </c>
    </row>
    <row r="14" spans="1:18">
      <c r="A14" s="171" t="s">
        <v>9</v>
      </c>
      <c r="C14" s="156">
        <v>15541.084514116868</v>
      </c>
      <c r="E14" s="172"/>
      <c r="F14" s="172"/>
      <c r="I14" s="175"/>
      <c r="J14" s="172"/>
      <c r="M14" s="175"/>
      <c r="N14" s="172"/>
      <c r="Q14" s="178" t="s">
        <v>12</v>
      </c>
      <c r="R14" s="179">
        <f>'Exhibit-RMP(RMM-1) page 2'!K18*1000</f>
        <v>-405154.45100369735</v>
      </c>
    </row>
    <row r="15" spans="1:18">
      <c r="A15" s="171" t="s">
        <v>203</v>
      </c>
      <c r="C15" s="156">
        <v>3325.0845141168684</v>
      </c>
      <c r="E15" s="172">
        <v>16</v>
      </c>
      <c r="F15" s="172"/>
      <c r="G15" s="157">
        <v>53201</v>
      </c>
      <c r="I15" s="175"/>
      <c r="J15" s="172"/>
      <c r="M15" s="175"/>
      <c r="N15" s="172"/>
      <c r="Q15" s="180" t="s">
        <v>13</v>
      </c>
      <c r="R15" s="181">
        <f>R14-R13</f>
        <v>-3018.261803697329</v>
      </c>
    </row>
    <row r="16" spans="1:18">
      <c r="A16" s="171" t="s">
        <v>204</v>
      </c>
      <c r="C16" s="156">
        <v>12216</v>
      </c>
      <c r="E16" s="172">
        <v>12</v>
      </c>
      <c r="F16" s="172"/>
      <c r="G16" s="157">
        <v>146592</v>
      </c>
      <c r="I16" s="12"/>
      <c r="J16" s="182"/>
      <c r="M16" s="12"/>
      <c r="N16" s="182"/>
      <c r="Q16" s="183" t="s">
        <v>14</v>
      </c>
      <c r="R16" s="99">
        <f>ROUND(R14/SUM(G21:G25,G42:G46,G62:G66,G83:G87,G104:G108,G125:G129),$R$9)</f>
        <v>-5.9999999999999995E-4</v>
      </c>
    </row>
    <row r="17" spans="1:17">
      <c r="A17" s="171" t="s">
        <v>205</v>
      </c>
      <c r="C17" s="156">
        <v>0</v>
      </c>
      <c r="E17" s="172">
        <v>2</v>
      </c>
      <c r="F17" s="172"/>
      <c r="G17" s="157">
        <v>0</v>
      </c>
      <c r="I17" s="12"/>
      <c r="J17" s="182"/>
      <c r="M17" s="12"/>
      <c r="N17" s="182"/>
    </row>
    <row r="18" spans="1:17">
      <c r="A18" s="171" t="s">
        <v>206</v>
      </c>
      <c r="C18" s="156">
        <v>253</v>
      </c>
      <c r="E18" s="172">
        <v>22</v>
      </c>
      <c r="F18" s="172"/>
      <c r="G18" s="157">
        <v>5566</v>
      </c>
      <c r="I18" s="12"/>
      <c r="J18" s="182"/>
      <c r="M18" s="12"/>
      <c r="N18" s="182"/>
    </row>
    <row r="19" spans="1:17">
      <c r="A19" s="171" t="s">
        <v>207</v>
      </c>
      <c r="C19" s="156">
        <v>0</v>
      </c>
      <c r="E19" s="184">
        <v>4.3559999999999999</v>
      </c>
      <c r="F19" s="182" t="s">
        <v>10</v>
      </c>
      <c r="G19" s="157">
        <v>0</v>
      </c>
      <c r="J19" s="182"/>
      <c r="N19" s="182"/>
    </row>
    <row r="20" spans="1:17">
      <c r="A20" s="171" t="s">
        <v>208</v>
      </c>
      <c r="C20" s="156">
        <v>0</v>
      </c>
      <c r="E20" s="184">
        <v>-1.6334</v>
      </c>
      <c r="F20" s="182" t="s">
        <v>10</v>
      </c>
      <c r="G20" s="157">
        <v>0</v>
      </c>
      <c r="J20" s="182"/>
      <c r="K20" s="185"/>
      <c r="N20" s="182"/>
      <c r="O20" s="185"/>
    </row>
    <row r="21" spans="1:17">
      <c r="A21" s="171" t="s">
        <v>209</v>
      </c>
      <c r="C21" s="156">
        <v>1080475944.5283775</v>
      </c>
      <c r="E21" s="186">
        <v>9.2802000000000007</v>
      </c>
      <c r="F21" s="182" t="s">
        <v>10</v>
      </c>
      <c r="G21" s="157">
        <v>100270329</v>
      </c>
      <c r="I21" s="100">
        <v>-5.9999999999999995E-4</v>
      </c>
      <c r="J21" s="182"/>
      <c r="K21" s="157">
        <f t="shared" ref="K21:K25" si="0">$G21*I21</f>
        <v>-60162.197399999997</v>
      </c>
      <c r="M21" s="100">
        <f>$R$16</f>
        <v>-5.9999999999999995E-4</v>
      </c>
      <c r="N21" s="182"/>
      <c r="O21" s="157">
        <f t="shared" ref="O21:O25" si="1">$G21*M21</f>
        <v>-60162.197399999997</v>
      </c>
    </row>
    <row r="22" spans="1:17">
      <c r="A22" s="171" t="s">
        <v>210</v>
      </c>
      <c r="C22" s="156">
        <v>960049471</v>
      </c>
      <c r="E22" s="186">
        <v>11.9733</v>
      </c>
      <c r="F22" s="182" t="s">
        <v>10</v>
      </c>
      <c r="G22" s="157">
        <v>114949603</v>
      </c>
      <c r="I22" s="12">
        <f>I$21</f>
        <v>-5.9999999999999995E-4</v>
      </c>
      <c r="J22" s="182"/>
      <c r="K22" s="157">
        <f t="shared" si="0"/>
        <v>-68969.761799999993</v>
      </c>
      <c r="M22" s="12">
        <f>M$21</f>
        <v>-5.9999999999999995E-4</v>
      </c>
      <c r="N22" s="182"/>
      <c r="O22" s="157">
        <f t="shared" si="1"/>
        <v>-68969.761799999993</v>
      </c>
    </row>
    <row r="23" spans="1:17">
      <c r="A23" s="171" t="s">
        <v>211</v>
      </c>
      <c r="C23" s="156">
        <v>527790900</v>
      </c>
      <c r="E23" s="186">
        <v>11.9733</v>
      </c>
      <c r="F23" s="182" t="s">
        <v>10</v>
      </c>
      <c r="G23" s="157">
        <v>63193988</v>
      </c>
      <c r="I23" s="12">
        <f>I$21</f>
        <v>-5.9999999999999995E-4</v>
      </c>
      <c r="J23" s="182"/>
      <c r="K23" s="157">
        <f t="shared" si="0"/>
        <v>-37916.392799999994</v>
      </c>
      <c r="M23" s="12">
        <f>M$21</f>
        <v>-5.9999999999999995E-4</v>
      </c>
      <c r="N23" s="182"/>
      <c r="O23" s="157">
        <f t="shared" si="1"/>
        <v>-37916.392799999994</v>
      </c>
    </row>
    <row r="24" spans="1:17">
      <c r="A24" s="171" t="s">
        <v>212</v>
      </c>
      <c r="B24" s="187"/>
      <c r="C24" s="156">
        <v>2051977461</v>
      </c>
      <c r="D24" s="187"/>
      <c r="E24" s="188">
        <v>8.2126000000000001</v>
      </c>
      <c r="F24" s="182" t="s">
        <v>10</v>
      </c>
      <c r="G24" s="157">
        <v>168520701</v>
      </c>
      <c r="I24" s="12">
        <f>I$21</f>
        <v>-5.9999999999999995E-4</v>
      </c>
      <c r="J24" s="182"/>
      <c r="K24" s="157">
        <f t="shared" si="0"/>
        <v>-101112.4206</v>
      </c>
      <c r="M24" s="12">
        <f>M$21</f>
        <v>-5.9999999999999995E-4</v>
      </c>
      <c r="N24" s="182"/>
      <c r="O24" s="157">
        <f t="shared" si="1"/>
        <v>-101112.4206</v>
      </c>
    </row>
    <row r="25" spans="1:17">
      <c r="A25" s="171" t="s">
        <v>213</v>
      </c>
      <c r="B25" s="187"/>
      <c r="C25" s="156">
        <v>1671527763</v>
      </c>
      <c r="D25" s="187"/>
      <c r="E25" s="188">
        <v>10.5959</v>
      </c>
      <c r="F25" s="182" t="s">
        <v>10</v>
      </c>
      <c r="G25" s="157">
        <v>177113410</v>
      </c>
      <c r="I25" s="12">
        <f>I$21</f>
        <v>-5.9999999999999995E-4</v>
      </c>
      <c r="J25" s="182"/>
      <c r="K25" s="157">
        <f t="shared" si="0"/>
        <v>-106268.04599999999</v>
      </c>
      <c r="M25" s="12">
        <f>M$21</f>
        <v>-5.9999999999999995E-4</v>
      </c>
      <c r="N25" s="182"/>
      <c r="O25" s="157">
        <f t="shared" si="1"/>
        <v>-106268.04599999999</v>
      </c>
    </row>
    <row r="26" spans="1:17">
      <c r="A26" s="189" t="s">
        <v>214</v>
      </c>
      <c r="B26" s="190"/>
      <c r="C26" s="156">
        <v>15864580</v>
      </c>
      <c r="D26" s="190"/>
      <c r="E26" s="191">
        <v>12.243600000000001</v>
      </c>
      <c r="F26" s="192" t="s">
        <v>10</v>
      </c>
      <c r="G26" s="157">
        <v>1942396</v>
      </c>
      <c r="I26" s="175"/>
      <c r="J26" s="182"/>
      <c r="M26" s="175"/>
      <c r="N26" s="182"/>
    </row>
    <row r="27" spans="1:17">
      <c r="A27" s="189" t="s">
        <v>215</v>
      </c>
      <c r="C27" s="156">
        <v>-316213</v>
      </c>
      <c r="E27" s="168"/>
      <c r="F27" s="193"/>
      <c r="I27" s="175"/>
      <c r="J27" s="182"/>
      <c r="M27" s="175"/>
      <c r="N27" s="182"/>
    </row>
    <row r="28" spans="1:17" ht="16.5" thickBot="1">
      <c r="A28" s="171" t="s">
        <v>15</v>
      </c>
      <c r="C28" s="194">
        <v>6307369906.5283775</v>
      </c>
      <c r="E28" s="195"/>
      <c r="G28" s="196">
        <v>696453324</v>
      </c>
      <c r="I28" s="197"/>
      <c r="K28" s="196">
        <f>SUM(K12:K27)</f>
        <v>-374428.81859999994</v>
      </c>
      <c r="M28" s="197"/>
      <c r="O28" s="196">
        <f>SUM(O12:O27)</f>
        <v>-374428.81859999994</v>
      </c>
      <c r="Q28" s="12"/>
    </row>
    <row r="29" spans="1:17" ht="16.5" thickTop="1">
      <c r="Q29" s="12"/>
    </row>
    <row r="30" spans="1:17">
      <c r="A30" s="167" t="s">
        <v>191</v>
      </c>
      <c r="I30" s="12"/>
      <c r="J30" s="12"/>
      <c r="M30" s="12"/>
      <c r="N30" s="12"/>
    </row>
    <row r="31" spans="1:17">
      <c r="A31" s="171" t="s">
        <v>174</v>
      </c>
      <c r="C31" s="156">
        <v>4350</v>
      </c>
      <c r="E31" s="172"/>
      <c r="F31" s="172"/>
    </row>
    <row r="32" spans="1:17">
      <c r="A32" s="171" t="s">
        <v>8</v>
      </c>
      <c r="C32" s="156">
        <v>4339</v>
      </c>
      <c r="E32" s="172"/>
      <c r="F32" s="172"/>
    </row>
    <row r="33" spans="1:18">
      <c r="A33" s="171" t="s">
        <v>203</v>
      </c>
      <c r="C33" s="156">
        <v>3371</v>
      </c>
      <c r="E33" s="172">
        <v>8</v>
      </c>
      <c r="F33" s="172"/>
      <c r="G33" s="157">
        <v>26968</v>
      </c>
      <c r="I33" s="175"/>
      <c r="J33" s="172"/>
      <c r="M33" s="175"/>
      <c r="N33" s="172"/>
    </row>
    <row r="34" spans="1:18">
      <c r="A34" s="171" t="s">
        <v>204</v>
      </c>
      <c r="C34" s="156">
        <v>968</v>
      </c>
      <c r="E34" s="172">
        <v>6</v>
      </c>
      <c r="F34" s="172"/>
      <c r="G34" s="157">
        <v>5808</v>
      </c>
      <c r="I34" s="175"/>
      <c r="J34" s="172"/>
      <c r="M34" s="175"/>
      <c r="N34" s="172"/>
    </row>
    <row r="35" spans="1:18">
      <c r="A35" s="171" t="s">
        <v>9</v>
      </c>
      <c r="C35" s="156">
        <v>11</v>
      </c>
      <c r="E35" s="172"/>
      <c r="F35" s="172"/>
      <c r="I35" s="175"/>
      <c r="J35" s="172"/>
      <c r="M35" s="175"/>
      <c r="N35" s="172"/>
    </row>
    <row r="36" spans="1:18">
      <c r="A36" s="171" t="s">
        <v>203</v>
      </c>
      <c r="C36" s="156">
        <v>11</v>
      </c>
      <c r="E36" s="172">
        <v>16</v>
      </c>
      <c r="F36" s="172"/>
      <c r="G36" s="157">
        <v>176</v>
      </c>
      <c r="I36" s="12"/>
      <c r="J36" s="182"/>
      <c r="M36" s="12"/>
      <c r="N36" s="182"/>
    </row>
    <row r="37" spans="1:18">
      <c r="A37" s="171" t="s">
        <v>204</v>
      </c>
      <c r="C37" s="156">
        <v>0</v>
      </c>
      <c r="E37" s="172">
        <v>12</v>
      </c>
      <c r="F37" s="172"/>
      <c r="G37" s="157">
        <v>0</v>
      </c>
      <c r="I37" s="12"/>
      <c r="J37" s="182"/>
      <c r="M37" s="12"/>
      <c r="N37" s="182"/>
    </row>
    <row r="38" spans="1:18">
      <c r="A38" s="171" t="s">
        <v>205</v>
      </c>
      <c r="C38" s="156">
        <v>0</v>
      </c>
      <c r="E38" s="172">
        <v>2</v>
      </c>
      <c r="F38" s="172"/>
      <c r="G38" s="157">
        <v>0</v>
      </c>
      <c r="I38" s="12"/>
      <c r="J38" s="182"/>
      <c r="M38" s="12"/>
      <c r="N38" s="182"/>
    </row>
    <row r="39" spans="1:18">
      <c r="A39" s="171" t="s">
        <v>206</v>
      </c>
      <c r="C39" s="156">
        <v>0</v>
      </c>
      <c r="E39" s="172">
        <v>22</v>
      </c>
      <c r="F39" s="172"/>
      <c r="G39" s="157">
        <v>0</v>
      </c>
      <c r="J39" s="182"/>
      <c r="N39" s="182"/>
    </row>
    <row r="40" spans="1:18">
      <c r="A40" s="171" t="s">
        <v>207</v>
      </c>
      <c r="C40" s="156">
        <v>258230</v>
      </c>
      <c r="E40" s="184">
        <v>4.3559999999999999</v>
      </c>
      <c r="F40" s="182" t="s">
        <v>10</v>
      </c>
      <c r="G40" s="157">
        <v>11248</v>
      </c>
      <c r="I40" s="12"/>
      <c r="J40" s="182"/>
      <c r="K40" s="185"/>
      <c r="M40" s="12"/>
      <c r="N40" s="182"/>
      <c r="O40" s="185"/>
      <c r="Q40" s="198"/>
      <c r="R40" s="198"/>
    </row>
    <row r="41" spans="1:18">
      <c r="A41" s="171" t="s">
        <v>208</v>
      </c>
      <c r="C41" s="156">
        <v>825288</v>
      </c>
      <c r="E41" s="184">
        <v>-1.6334</v>
      </c>
      <c r="F41" s="182" t="s">
        <v>10</v>
      </c>
      <c r="G41" s="157">
        <v>-13480</v>
      </c>
      <c r="I41" s="12"/>
      <c r="J41" s="182"/>
      <c r="K41" s="185"/>
      <c r="M41" s="12"/>
      <c r="N41" s="182"/>
      <c r="O41" s="185"/>
      <c r="Q41" s="198"/>
      <c r="R41" s="198"/>
    </row>
    <row r="42" spans="1:18">
      <c r="A42" s="171" t="s">
        <v>209</v>
      </c>
      <c r="C42" s="156">
        <v>495959</v>
      </c>
      <c r="E42" s="184">
        <v>9.2802000000000007</v>
      </c>
      <c r="F42" s="182" t="s">
        <v>10</v>
      </c>
      <c r="G42" s="157">
        <v>46026</v>
      </c>
      <c r="I42" s="12">
        <f>I$21</f>
        <v>-5.9999999999999995E-4</v>
      </c>
      <c r="J42" s="182"/>
      <c r="K42" s="157">
        <f t="shared" ref="K42:K46" si="2">$G42*I42</f>
        <v>-27.615599999999997</v>
      </c>
      <c r="M42" s="12">
        <f>M$21</f>
        <v>-5.9999999999999995E-4</v>
      </c>
      <c r="N42" s="182"/>
      <c r="O42" s="157">
        <f t="shared" ref="O42:O46" si="3">$G42*M42</f>
        <v>-27.615599999999997</v>
      </c>
    </row>
    <row r="43" spans="1:18">
      <c r="A43" s="171" t="s">
        <v>210</v>
      </c>
      <c r="C43" s="156">
        <v>407470</v>
      </c>
      <c r="E43" s="184">
        <v>11.9733</v>
      </c>
      <c r="F43" s="182" t="s">
        <v>10</v>
      </c>
      <c r="G43" s="157">
        <v>48788</v>
      </c>
      <c r="I43" s="12">
        <f>I$21</f>
        <v>-5.9999999999999995E-4</v>
      </c>
      <c r="J43" s="182"/>
      <c r="K43" s="157">
        <f t="shared" si="2"/>
        <v>-29.272799999999997</v>
      </c>
      <c r="M43" s="12">
        <f>M$21</f>
        <v>-5.9999999999999995E-4</v>
      </c>
      <c r="N43" s="182"/>
      <c r="O43" s="157">
        <f t="shared" si="3"/>
        <v>-29.272799999999997</v>
      </c>
    </row>
    <row r="44" spans="1:18">
      <c r="A44" s="171" t="s">
        <v>211</v>
      </c>
      <c r="C44" s="156">
        <v>186496</v>
      </c>
      <c r="E44" s="184">
        <v>11.9733</v>
      </c>
      <c r="F44" s="182" t="s">
        <v>10</v>
      </c>
      <c r="G44" s="157">
        <v>22330</v>
      </c>
      <c r="I44" s="12">
        <f>I$21</f>
        <v>-5.9999999999999995E-4</v>
      </c>
      <c r="J44" s="182"/>
      <c r="K44" s="157">
        <f t="shared" si="2"/>
        <v>-13.398</v>
      </c>
      <c r="M44" s="12">
        <f>M$21</f>
        <v>-5.9999999999999995E-4</v>
      </c>
      <c r="N44" s="182"/>
      <c r="O44" s="157">
        <f t="shared" si="3"/>
        <v>-13.398</v>
      </c>
    </row>
    <row r="45" spans="1:18">
      <c r="A45" s="171" t="s">
        <v>212</v>
      </c>
      <c r="B45" s="187"/>
      <c r="C45" s="156">
        <v>919695</v>
      </c>
      <c r="D45" s="187"/>
      <c r="E45" s="184">
        <v>8.2126000000000001</v>
      </c>
      <c r="F45" s="182" t="s">
        <v>10</v>
      </c>
      <c r="G45" s="157">
        <v>75531</v>
      </c>
      <c r="I45" s="12">
        <f>I$21</f>
        <v>-5.9999999999999995E-4</v>
      </c>
      <c r="J45" s="182"/>
      <c r="K45" s="157">
        <f t="shared" si="2"/>
        <v>-45.318599999999996</v>
      </c>
      <c r="M45" s="12">
        <f>M$21</f>
        <v>-5.9999999999999995E-4</v>
      </c>
      <c r="N45" s="182"/>
      <c r="O45" s="157">
        <f t="shared" si="3"/>
        <v>-45.318599999999996</v>
      </c>
    </row>
    <row r="46" spans="1:18">
      <c r="A46" s="171" t="s">
        <v>213</v>
      </c>
      <c r="B46" s="187"/>
      <c r="C46" s="156">
        <v>734416</v>
      </c>
      <c r="D46" s="187"/>
      <c r="E46" s="184">
        <v>10.5959</v>
      </c>
      <c r="F46" s="182" t="s">
        <v>10</v>
      </c>
      <c r="G46" s="157">
        <v>77818</v>
      </c>
      <c r="I46" s="12">
        <f>I$21</f>
        <v>-5.9999999999999995E-4</v>
      </c>
      <c r="J46" s="182"/>
      <c r="K46" s="157">
        <f t="shared" si="2"/>
        <v>-46.690799999999996</v>
      </c>
      <c r="M46" s="12">
        <f>M$21</f>
        <v>-5.9999999999999995E-4</v>
      </c>
      <c r="N46" s="182"/>
      <c r="O46" s="157">
        <f t="shared" si="3"/>
        <v>-46.690799999999996</v>
      </c>
    </row>
    <row r="47" spans="1:18">
      <c r="A47" s="189" t="s">
        <v>214</v>
      </c>
      <c r="B47" s="190"/>
      <c r="C47" s="156">
        <v>0</v>
      </c>
      <c r="D47" s="190"/>
      <c r="E47" s="191">
        <v>12.243600000000001</v>
      </c>
      <c r="F47" s="192" t="s">
        <v>10</v>
      </c>
      <c r="G47" s="157">
        <v>0</v>
      </c>
      <c r="I47" s="175"/>
      <c r="J47" s="182"/>
      <c r="M47" s="175"/>
      <c r="N47" s="182"/>
    </row>
    <row r="48" spans="1:18">
      <c r="A48" s="189" t="s">
        <v>215</v>
      </c>
      <c r="C48" s="156">
        <v>0</v>
      </c>
      <c r="E48" s="168"/>
      <c r="F48" s="193"/>
      <c r="I48" s="175"/>
      <c r="J48" s="182"/>
      <c r="K48" s="199"/>
      <c r="M48" s="175"/>
      <c r="N48" s="182"/>
      <c r="O48" s="199"/>
    </row>
    <row r="49" spans="1:18" ht="16.5" thickBot="1">
      <c r="A49" s="171" t="s">
        <v>15</v>
      </c>
      <c r="C49" s="194">
        <v>2744036</v>
      </c>
      <c r="E49" s="200"/>
      <c r="G49" s="196">
        <v>301213</v>
      </c>
      <c r="I49" s="197"/>
      <c r="K49" s="196">
        <f>SUM(K33:K48)</f>
        <v>-162.29579999999999</v>
      </c>
      <c r="M49" s="197"/>
      <c r="O49" s="196">
        <f>SUM(O33:O48)</f>
        <v>-162.29579999999999</v>
      </c>
    </row>
    <row r="50" spans="1:18" ht="16.5" thickTop="1">
      <c r="I50" s="11"/>
      <c r="J50" s="12"/>
      <c r="M50" s="11"/>
      <c r="N50" s="12"/>
    </row>
    <row r="51" spans="1:18" s="202" customFormat="1">
      <c r="A51" s="201" t="s">
        <v>216</v>
      </c>
      <c r="C51" s="203"/>
      <c r="G51" s="204"/>
      <c r="I51" s="168"/>
      <c r="J51" s="154"/>
      <c r="K51" s="157"/>
      <c r="L51" s="154"/>
      <c r="M51" s="168"/>
      <c r="N51" s="154"/>
      <c r="O51" s="157"/>
      <c r="Q51" s="155"/>
      <c r="R51" s="155"/>
    </row>
    <row r="52" spans="1:18" s="202" customFormat="1">
      <c r="A52" s="189" t="s">
        <v>174</v>
      </c>
      <c r="C52" s="203">
        <v>3114</v>
      </c>
      <c r="E52" s="205"/>
      <c r="F52" s="205"/>
      <c r="G52" s="204"/>
      <c r="I52" s="168"/>
      <c r="J52" s="154"/>
      <c r="K52" s="157"/>
      <c r="L52" s="154"/>
      <c r="M52" s="168"/>
      <c r="N52" s="154"/>
      <c r="O52" s="157"/>
      <c r="Q52" s="155"/>
      <c r="R52" s="155"/>
    </row>
    <row r="53" spans="1:18" s="202" customFormat="1">
      <c r="A53" s="189" t="s">
        <v>8</v>
      </c>
      <c r="C53" s="156">
        <v>3114</v>
      </c>
      <c r="E53" s="205"/>
      <c r="F53" s="205"/>
      <c r="G53" s="204"/>
      <c r="I53" s="168"/>
      <c r="J53" s="154"/>
      <c r="K53" s="157"/>
      <c r="L53" s="154"/>
      <c r="M53" s="168"/>
      <c r="N53" s="154"/>
      <c r="O53" s="157"/>
      <c r="Q53" s="155"/>
      <c r="R53" s="155"/>
    </row>
    <row r="54" spans="1:18">
      <c r="A54" s="171" t="s">
        <v>203</v>
      </c>
      <c r="C54" s="156">
        <v>2923</v>
      </c>
      <c r="E54" s="172">
        <v>8</v>
      </c>
      <c r="F54" s="172"/>
      <c r="G54" s="204">
        <v>23384</v>
      </c>
      <c r="I54" s="175"/>
      <c r="J54" s="172"/>
      <c r="M54" s="175"/>
      <c r="N54" s="172"/>
    </row>
    <row r="55" spans="1:18">
      <c r="A55" s="171" t="s">
        <v>204</v>
      </c>
      <c r="C55" s="156">
        <v>191</v>
      </c>
      <c r="E55" s="172">
        <v>6</v>
      </c>
      <c r="F55" s="172"/>
      <c r="G55" s="204">
        <v>1146</v>
      </c>
      <c r="I55" s="175"/>
      <c r="J55" s="172"/>
      <c r="M55" s="175"/>
      <c r="N55" s="172"/>
    </row>
    <row r="56" spans="1:18" s="202" customFormat="1">
      <c r="A56" s="189" t="s">
        <v>9</v>
      </c>
      <c r="C56" s="156">
        <v>0</v>
      </c>
      <c r="E56" s="205"/>
      <c r="F56" s="205"/>
      <c r="G56" s="204"/>
      <c r="I56" s="175"/>
      <c r="J56" s="172"/>
      <c r="K56" s="157"/>
      <c r="L56" s="154"/>
      <c r="M56" s="175"/>
      <c r="N56" s="172"/>
      <c r="O56" s="157"/>
      <c r="Q56" s="155"/>
      <c r="R56" s="155"/>
    </row>
    <row r="57" spans="1:18">
      <c r="A57" s="171" t="s">
        <v>203</v>
      </c>
      <c r="E57" s="172">
        <v>16</v>
      </c>
      <c r="F57" s="172"/>
      <c r="G57" s="204">
        <v>0</v>
      </c>
      <c r="I57" s="175"/>
      <c r="J57" s="172"/>
      <c r="M57" s="175"/>
      <c r="N57" s="172"/>
    </row>
    <row r="58" spans="1:18">
      <c r="A58" s="171" t="s">
        <v>204</v>
      </c>
      <c r="E58" s="172">
        <v>12</v>
      </c>
      <c r="F58" s="172"/>
      <c r="G58" s="204">
        <v>0</v>
      </c>
      <c r="I58" s="12"/>
      <c r="J58" s="182"/>
      <c r="M58" s="12"/>
      <c r="N58" s="182"/>
    </row>
    <row r="59" spans="1:18">
      <c r="A59" s="171" t="s">
        <v>205</v>
      </c>
      <c r="C59" s="156">
        <v>0</v>
      </c>
      <c r="E59" s="172">
        <v>2</v>
      </c>
      <c r="F59" s="172"/>
      <c r="G59" s="204">
        <v>0</v>
      </c>
      <c r="I59" s="12"/>
      <c r="J59" s="182"/>
      <c r="M59" s="12"/>
      <c r="N59" s="182"/>
    </row>
    <row r="60" spans="1:18">
      <c r="A60" s="171" t="s">
        <v>206</v>
      </c>
      <c r="C60" s="156">
        <v>0</v>
      </c>
      <c r="E60" s="172">
        <v>22</v>
      </c>
      <c r="F60" s="172"/>
      <c r="G60" s="204">
        <v>0</v>
      </c>
      <c r="I60" s="12"/>
      <c r="J60" s="182"/>
      <c r="M60" s="12"/>
      <c r="N60" s="182"/>
    </row>
    <row r="61" spans="1:18" s="202" customFormat="1">
      <c r="A61" s="189" t="s">
        <v>217</v>
      </c>
      <c r="C61" s="203"/>
      <c r="E61" s="205"/>
      <c r="F61" s="205"/>
      <c r="G61" s="204"/>
      <c r="I61" s="168"/>
      <c r="J61" s="182"/>
      <c r="K61" s="157"/>
      <c r="L61" s="154"/>
      <c r="M61" s="168"/>
      <c r="N61" s="182"/>
      <c r="O61" s="157"/>
      <c r="Q61" s="155"/>
      <c r="R61" s="155"/>
    </row>
    <row r="62" spans="1:18" s="202" customFormat="1">
      <c r="A62" s="189" t="s">
        <v>34</v>
      </c>
      <c r="C62" s="156">
        <v>206699.0452160826</v>
      </c>
      <c r="E62" s="206">
        <v>21.033899999999999</v>
      </c>
      <c r="F62" s="192" t="s">
        <v>10</v>
      </c>
      <c r="G62" s="204">
        <v>43477</v>
      </c>
      <c r="I62" s="12">
        <f>I$21</f>
        <v>-5.9999999999999995E-4</v>
      </c>
      <c r="J62" s="182"/>
      <c r="K62" s="157">
        <f t="shared" ref="K62:K63" si="4">$G62*I62</f>
        <v>-26.086199999999998</v>
      </c>
      <c r="L62" s="154"/>
      <c r="M62" s="12">
        <f>M$21</f>
        <v>-5.9999999999999995E-4</v>
      </c>
      <c r="N62" s="182"/>
      <c r="O62" s="157">
        <f t="shared" ref="O62:O63" si="5">$G62*M62</f>
        <v>-26.086199999999998</v>
      </c>
      <c r="Q62" s="155"/>
      <c r="R62" s="155"/>
    </row>
    <row r="63" spans="1:18" s="202" customFormat="1">
      <c r="A63" s="189" t="s">
        <v>29</v>
      </c>
      <c r="C63" s="156">
        <v>963611</v>
      </c>
      <c r="E63" s="206">
        <v>6.4097</v>
      </c>
      <c r="F63" s="192" t="s">
        <v>10</v>
      </c>
      <c r="G63" s="204">
        <v>61765</v>
      </c>
      <c r="I63" s="12">
        <f>I$21</f>
        <v>-5.9999999999999995E-4</v>
      </c>
      <c r="J63" s="182"/>
      <c r="K63" s="157">
        <f t="shared" si="4"/>
        <v>-37.058999999999997</v>
      </c>
      <c r="L63" s="154"/>
      <c r="M63" s="12">
        <f>M$21</f>
        <v>-5.9999999999999995E-4</v>
      </c>
      <c r="N63" s="182"/>
      <c r="O63" s="157">
        <f t="shared" si="5"/>
        <v>-37.058999999999997</v>
      </c>
      <c r="Q63" s="155"/>
      <c r="R63" s="155"/>
    </row>
    <row r="64" spans="1:18" s="202" customFormat="1">
      <c r="A64" s="189" t="s">
        <v>218</v>
      </c>
      <c r="C64" s="203"/>
      <c r="E64" s="205"/>
      <c r="F64" s="205"/>
      <c r="G64" s="204"/>
      <c r="I64" s="175"/>
      <c r="J64" s="172"/>
      <c r="K64" s="157"/>
      <c r="L64" s="154"/>
      <c r="M64" s="175"/>
      <c r="N64" s="172"/>
      <c r="O64" s="157"/>
      <c r="Q64" s="155"/>
      <c r="R64" s="155"/>
    </row>
    <row r="65" spans="1:18" s="202" customFormat="1">
      <c r="A65" s="189" t="s">
        <v>34</v>
      </c>
      <c r="C65" s="156">
        <v>347186</v>
      </c>
      <c r="E65" s="206">
        <v>32.459200000000003</v>
      </c>
      <c r="F65" s="192" t="s">
        <v>10</v>
      </c>
      <c r="G65" s="204">
        <v>112694</v>
      </c>
      <c r="I65" s="12">
        <f>I$21</f>
        <v>-5.9999999999999995E-4</v>
      </c>
      <c r="J65" s="182"/>
      <c r="K65" s="157">
        <f t="shared" ref="K65:K66" si="6">$G65*I65</f>
        <v>-67.616399999999999</v>
      </c>
      <c r="L65" s="154"/>
      <c r="M65" s="12">
        <f>M$21</f>
        <v>-5.9999999999999995E-4</v>
      </c>
      <c r="N65" s="182"/>
      <c r="O65" s="157">
        <f t="shared" ref="O65:O66" si="7">$G65*M65</f>
        <v>-67.616399999999999</v>
      </c>
      <c r="Q65" s="155"/>
      <c r="R65" s="155"/>
    </row>
    <row r="66" spans="1:18" s="202" customFormat="1">
      <c r="A66" s="189" t="s">
        <v>29</v>
      </c>
      <c r="C66" s="156">
        <v>2130652</v>
      </c>
      <c r="E66" s="206">
        <v>3.2107999999999999</v>
      </c>
      <c r="F66" s="192" t="s">
        <v>10</v>
      </c>
      <c r="G66" s="204">
        <v>68411</v>
      </c>
      <c r="I66" s="12">
        <f>I$21</f>
        <v>-5.9999999999999995E-4</v>
      </c>
      <c r="J66" s="182"/>
      <c r="K66" s="157">
        <f t="shared" si="6"/>
        <v>-41.046599999999998</v>
      </c>
      <c r="L66" s="154"/>
      <c r="M66" s="12">
        <f>M$21</f>
        <v>-5.9999999999999995E-4</v>
      </c>
      <c r="N66" s="182"/>
      <c r="O66" s="157">
        <f t="shared" si="7"/>
        <v>-41.046599999999998</v>
      </c>
      <c r="Q66" s="155"/>
      <c r="R66" s="155"/>
    </row>
    <row r="67" spans="1:18" s="202" customFormat="1">
      <c r="A67" s="189" t="s">
        <v>219</v>
      </c>
      <c r="B67" s="190"/>
      <c r="C67" s="156">
        <v>0</v>
      </c>
      <c r="D67" s="190"/>
      <c r="E67" s="191">
        <v>12.243600000000001</v>
      </c>
      <c r="F67" s="192" t="s">
        <v>10</v>
      </c>
      <c r="G67" s="204">
        <v>0</v>
      </c>
      <c r="I67" s="175"/>
      <c r="J67" s="182"/>
      <c r="K67" s="157"/>
      <c r="L67" s="154"/>
      <c r="M67" s="175"/>
      <c r="N67" s="182"/>
      <c r="O67" s="157"/>
      <c r="Q67" s="155"/>
      <c r="R67" s="155"/>
    </row>
    <row r="68" spans="1:18">
      <c r="A68" s="189" t="s">
        <v>215</v>
      </c>
      <c r="C68" s="156">
        <v>0</v>
      </c>
      <c r="E68" s="168"/>
      <c r="F68" s="193"/>
      <c r="I68" s="175"/>
      <c r="J68" s="182"/>
      <c r="M68" s="175"/>
      <c r="N68" s="182"/>
    </row>
    <row r="69" spans="1:18" s="202" customFormat="1" ht="16.5" thickBot="1">
      <c r="A69" s="189" t="s">
        <v>15</v>
      </c>
      <c r="C69" s="207">
        <v>3648148.0452160826</v>
      </c>
      <c r="E69" s="200"/>
      <c r="F69" s="154"/>
      <c r="G69" s="196">
        <v>310877</v>
      </c>
      <c r="I69" s="200"/>
      <c r="J69" s="182"/>
      <c r="K69" s="208">
        <f>SUM(K54:K68)</f>
        <v>-171.8082</v>
      </c>
      <c r="L69" s="154"/>
      <c r="M69" s="200"/>
      <c r="N69" s="182"/>
      <c r="O69" s="208">
        <f>SUM(O54:O68)</f>
        <v>-171.8082</v>
      </c>
      <c r="Q69" s="155"/>
      <c r="R69" s="155"/>
    </row>
    <row r="70" spans="1:18" s="202" customFormat="1" ht="16.5" thickTop="1">
      <c r="C70" s="203"/>
      <c r="G70" s="204"/>
      <c r="I70" s="175"/>
      <c r="J70" s="182"/>
      <c r="K70" s="199"/>
      <c r="L70" s="154"/>
      <c r="M70" s="175"/>
      <c r="N70" s="182"/>
      <c r="O70" s="199"/>
      <c r="Q70" s="155"/>
      <c r="R70" s="155"/>
    </row>
    <row r="71" spans="1:18">
      <c r="A71" s="167" t="s">
        <v>190</v>
      </c>
    </row>
    <row r="72" spans="1:18">
      <c r="A72" s="171" t="s">
        <v>174</v>
      </c>
      <c r="C72" s="156">
        <v>216323</v>
      </c>
      <c r="E72" s="172"/>
      <c r="F72" s="172"/>
      <c r="I72" s="12"/>
      <c r="M72" s="12"/>
    </row>
    <row r="73" spans="1:18">
      <c r="A73" s="171" t="s">
        <v>8</v>
      </c>
      <c r="C73" s="156">
        <v>216152</v>
      </c>
      <c r="E73" s="172"/>
      <c r="F73" s="172"/>
      <c r="I73" s="12"/>
      <c r="M73" s="12"/>
    </row>
    <row r="74" spans="1:18">
      <c r="A74" s="171" t="s">
        <v>203</v>
      </c>
      <c r="C74" s="156">
        <v>113309</v>
      </c>
      <c r="E74" s="172">
        <v>8</v>
      </c>
      <c r="F74" s="172"/>
      <c r="G74" s="157">
        <v>906472</v>
      </c>
      <c r="I74" s="175"/>
      <c r="J74" s="12"/>
      <c r="M74" s="175"/>
      <c r="N74" s="12"/>
    </row>
    <row r="75" spans="1:18">
      <c r="A75" s="171" t="s">
        <v>204</v>
      </c>
      <c r="C75" s="156">
        <v>102843</v>
      </c>
      <c r="E75" s="172">
        <v>6</v>
      </c>
      <c r="F75" s="172"/>
      <c r="G75" s="157">
        <v>617058</v>
      </c>
      <c r="I75" s="175"/>
      <c r="J75" s="172"/>
      <c r="M75" s="175"/>
      <c r="N75" s="172"/>
    </row>
    <row r="76" spans="1:18">
      <c r="A76" s="171" t="s">
        <v>9</v>
      </c>
      <c r="C76" s="156">
        <v>171</v>
      </c>
      <c r="E76" s="172"/>
      <c r="F76" s="172"/>
      <c r="I76" s="175"/>
      <c r="J76" s="172"/>
      <c r="M76" s="175"/>
      <c r="N76" s="172"/>
    </row>
    <row r="77" spans="1:18">
      <c r="A77" s="171" t="s">
        <v>203</v>
      </c>
      <c r="C77" s="156">
        <v>27</v>
      </c>
      <c r="E77" s="172">
        <v>16</v>
      </c>
      <c r="F77" s="172"/>
      <c r="G77" s="157">
        <v>432</v>
      </c>
      <c r="I77" s="175"/>
      <c r="J77" s="172"/>
      <c r="M77" s="175"/>
      <c r="N77" s="172"/>
    </row>
    <row r="78" spans="1:18">
      <c r="A78" s="171" t="s">
        <v>204</v>
      </c>
      <c r="C78" s="156">
        <v>144</v>
      </c>
      <c r="E78" s="172">
        <v>12</v>
      </c>
      <c r="F78" s="172"/>
      <c r="G78" s="157">
        <v>1728</v>
      </c>
      <c r="I78" s="175"/>
      <c r="J78" s="172"/>
      <c r="M78" s="175"/>
      <c r="N78" s="172"/>
    </row>
    <row r="79" spans="1:18">
      <c r="A79" s="171" t="s">
        <v>205</v>
      </c>
      <c r="C79" s="156">
        <v>0</v>
      </c>
      <c r="E79" s="172">
        <v>2</v>
      </c>
      <c r="F79" s="172"/>
      <c r="G79" s="157">
        <v>0</v>
      </c>
      <c r="I79" s="12"/>
      <c r="J79" s="172"/>
      <c r="M79" s="175"/>
      <c r="N79" s="172"/>
    </row>
    <row r="80" spans="1:18">
      <c r="A80" s="171" t="s">
        <v>206</v>
      </c>
      <c r="C80" s="156">
        <v>0</v>
      </c>
      <c r="E80" s="172">
        <v>22</v>
      </c>
      <c r="F80" s="172"/>
      <c r="G80" s="157">
        <v>0</v>
      </c>
      <c r="I80" s="12"/>
      <c r="J80" s="172"/>
      <c r="M80" s="175"/>
      <c r="N80" s="172"/>
    </row>
    <row r="81" spans="1:15">
      <c r="A81" s="171" t="s">
        <v>207</v>
      </c>
      <c r="C81" s="156">
        <v>5354</v>
      </c>
      <c r="E81" s="184">
        <v>4.3559999999999999</v>
      </c>
      <c r="F81" s="182" t="s">
        <v>10</v>
      </c>
      <c r="G81" s="157">
        <v>233</v>
      </c>
      <c r="I81" s="175"/>
      <c r="J81" s="172"/>
      <c r="M81" s="175"/>
      <c r="N81" s="172"/>
    </row>
    <row r="82" spans="1:15">
      <c r="A82" s="171" t="s">
        <v>208</v>
      </c>
      <c r="C82" s="156">
        <v>15633</v>
      </c>
      <c r="E82" s="184">
        <v>-1.6334</v>
      </c>
      <c r="F82" s="182" t="s">
        <v>10</v>
      </c>
      <c r="G82" s="157">
        <v>-255</v>
      </c>
      <c r="I82" s="12"/>
      <c r="J82" s="172"/>
      <c r="M82" s="175"/>
      <c r="N82" s="172"/>
    </row>
    <row r="83" spans="1:15">
      <c r="A83" s="171" t="s">
        <v>209</v>
      </c>
      <c r="C83" s="156">
        <v>26384767.707057878</v>
      </c>
      <c r="E83" s="184">
        <v>9.2802000000000007</v>
      </c>
      <c r="F83" s="182" t="s">
        <v>10</v>
      </c>
      <c r="G83" s="157">
        <v>2448559</v>
      </c>
      <c r="I83" s="12">
        <f>I$21</f>
        <v>-5.9999999999999995E-4</v>
      </c>
      <c r="J83" s="182"/>
      <c r="K83" s="157">
        <f t="shared" ref="K83:K87" si="8">$G83*I83</f>
        <v>-1469.1353999999999</v>
      </c>
      <c r="M83" s="12">
        <f>M$21</f>
        <v>-5.9999999999999995E-4</v>
      </c>
      <c r="N83" s="182"/>
      <c r="O83" s="157">
        <f t="shared" ref="O83:O87" si="9">$G83*M83</f>
        <v>-1469.1353999999999</v>
      </c>
    </row>
    <row r="84" spans="1:15">
      <c r="A84" s="171" t="s">
        <v>210</v>
      </c>
      <c r="C84" s="156">
        <v>17765859</v>
      </c>
      <c r="E84" s="184">
        <v>11.9733</v>
      </c>
      <c r="F84" s="182" t="s">
        <v>10</v>
      </c>
      <c r="G84" s="157">
        <v>2127160</v>
      </c>
      <c r="I84" s="12">
        <f>I$21</f>
        <v>-5.9999999999999995E-4</v>
      </c>
      <c r="J84" s="182"/>
      <c r="K84" s="157">
        <f t="shared" si="8"/>
        <v>-1276.2959999999998</v>
      </c>
      <c r="M84" s="12">
        <f>M$21</f>
        <v>-5.9999999999999995E-4</v>
      </c>
      <c r="N84" s="182"/>
      <c r="O84" s="157">
        <f t="shared" si="9"/>
        <v>-1276.2959999999998</v>
      </c>
    </row>
    <row r="85" spans="1:15">
      <c r="A85" s="171" t="s">
        <v>211</v>
      </c>
      <c r="C85" s="156">
        <v>5668613</v>
      </c>
      <c r="E85" s="184">
        <v>11.9733</v>
      </c>
      <c r="F85" s="182" t="s">
        <v>10</v>
      </c>
      <c r="G85" s="157">
        <v>678720</v>
      </c>
      <c r="I85" s="12">
        <f>I$21</f>
        <v>-5.9999999999999995E-4</v>
      </c>
      <c r="J85" s="182"/>
      <c r="K85" s="157">
        <f t="shared" si="8"/>
        <v>-407.23199999999997</v>
      </c>
      <c r="M85" s="12">
        <f>M$21</f>
        <v>-5.9999999999999995E-4</v>
      </c>
      <c r="N85" s="182"/>
      <c r="O85" s="157">
        <f t="shared" si="9"/>
        <v>-407.23199999999997</v>
      </c>
    </row>
    <row r="86" spans="1:15">
      <c r="A86" s="171" t="s">
        <v>212</v>
      </c>
      <c r="B86" s="187"/>
      <c r="C86" s="156">
        <v>51185664</v>
      </c>
      <c r="D86" s="187"/>
      <c r="E86" s="184">
        <v>8.2126000000000001</v>
      </c>
      <c r="F86" s="182" t="s">
        <v>10</v>
      </c>
      <c r="G86" s="157">
        <v>4203674</v>
      </c>
      <c r="I86" s="12">
        <f>I$21</f>
        <v>-5.9999999999999995E-4</v>
      </c>
      <c r="J86" s="182"/>
      <c r="K86" s="157">
        <f t="shared" si="8"/>
        <v>-2522.2043999999996</v>
      </c>
      <c r="M86" s="12">
        <f>M$21</f>
        <v>-5.9999999999999995E-4</v>
      </c>
      <c r="N86" s="182"/>
      <c r="O86" s="157">
        <f t="shared" si="9"/>
        <v>-2522.2043999999996</v>
      </c>
    </row>
    <row r="87" spans="1:15">
      <c r="A87" s="171" t="s">
        <v>213</v>
      </c>
      <c r="B87" s="187"/>
      <c r="C87" s="156">
        <v>32983258</v>
      </c>
      <c r="D87" s="187"/>
      <c r="E87" s="184">
        <v>10.5959</v>
      </c>
      <c r="F87" s="182" t="s">
        <v>10</v>
      </c>
      <c r="G87" s="157">
        <v>3494873</v>
      </c>
      <c r="I87" s="12">
        <f>I$21</f>
        <v>-5.9999999999999995E-4</v>
      </c>
      <c r="J87" s="182"/>
      <c r="K87" s="157">
        <f t="shared" si="8"/>
        <v>-2096.9238</v>
      </c>
      <c r="M87" s="12">
        <f>M$21</f>
        <v>-5.9999999999999995E-4</v>
      </c>
      <c r="N87" s="182"/>
      <c r="O87" s="157">
        <f t="shared" si="9"/>
        <v>-2096.9238</v>
      </c>
    </row>
    <row r="88" spans="1:15">
      <c r="A88" s="189" t="s">
        <v>214</v>
      </c>
      <c r="B88" s="190"/>
      <c r="C88" s="156">
        <v>108762</v>
      </c>
      <c r="D88" s="190"/>
      <c r="E88" s="191">
        <v>12.243600000000001</v>
      </c>
      <c r="F88" s="192" t="s">
        <v>10</v>
      </c>
      <c r="G88" s="157">
        <v>13316</v>
      </c>
      <c r="J88" s="209"/>
      <c r="N88" s="209"/>
    </row>
    <row r="89" spans="1:15">
      <c r="A89" s="189" t="s">
        <v>215</v>
      </c>
      <c r="C89" s="156">
        <v>-3852</v>
      </c>
      <c r="E89" s="168"/>
      <c r="F89" s="193"/>
    </row>
    <row r="90" spans="1:15" ht="16.5" thickBot="1">
      <c r="A90" s="171" t="s">
        <v>15</v>
      </c>
      <c r="C90" s="194">
        <v>134093071.70705788</v>
      </c>
      <c r="E90" s="200"/>
      <c r="G90" s="196">
        <v>14491970</v>
      </c>
      <c r="I90" s="200"/>
      <c r="J90" s="182"/>
      <c r="K90" s="208">
        <f>SUM(K74:K89)</f>
        <v>-7771.7915999999987</v>
      </c>
      <c r="M90" s="200"/>
      <c r="N90" s="182"/>
      <c r="O90" s="208">
        <f>SUM(O74:O89)</f>
        <v>-7771.7915999999987</v>
      </c>
    </row>
    <row r="91" spans="1:15" ht="16.5" thickTop="1">
      <c r="I91" s="175"/>
      <c r="J91" s="172"/>
      <c r="M91" s="175"/>
      <c r="N91" s="172"/>
    </row>
    <row r="92" spans="1:15">
      <c r="A92" s="167" t="s">
        <v>220</v>
      </c>
      <c r="I92" s="175"/>
      <c r="J92" s="172"/>
      <c r="M92" s="175"/>
      <c r="N92" s="172"/>
    </row>
    <row r="93" spans="1:15">
      <c r="A93" s="171" t="s">
        <v>174</v>
      </c>
      <c r="C93" s="156">
        <v>418416</v>
      </c>
      <c r="E93" s="172"/>
      <c r="F93" s="172"/>
      <c r="I93" s="175"/>
      <c r="J93" s="172"/>
      <c r="M93" s="175"/>
      <c r="N93" s="172"/>
    </row>
    <row r="94" spans="1:15">
      <c r="A94" s="171" t="s">
        <v>8</v>
      </c>
      <c r="C94" s="156">
        <v>418038</v>
      </c>
      <c r="E94" s="172"/>
      <c r="F94" s="172"/>
      <c r="I94" s="12"/>
      <c r="J94" s="172"/>
      <c r="M94" s="175"/>
      <c r="N94" s="172"/>
    </row>
    <row r="95" spans="1:15">
      <c r="A95" s="171" t="s">
        <v>203</v>
      </c>
      <c r="C95" s="156">
        <v>405641</v>
      </c>
      <c r="E95" s="172">
        <v>8</v>
      </c>
      <c r="F95" s="172"/>
      <c r="G95" s="157">
        <v>3245128</v>
      </c>
      <c r="I95" s="12"/>
      <c r="J95" s="172"/>
      <c r="M95" s="175"/>
      <c r="N95" s="172"/>
    </row>
    <row r="96" spans="1:15">
      <c r="A96" s="171" t="s">
        <v>204</v>
      </c>
      <c r="C96" s="156">
        <v>12397</v>
      </c>
      <c r="E96" s="172">
        <v>6</v>
      </c>
      <c r="F96" s="172"/>
      <c r="G96" s="157">
        <v>74382</v>
      </c>
      <c r="I96" s="175"/>
      <c r="J96" s="182"/>
      <c r="M96" s="175"/>
      <c r="N96" s="182"/>
    </row>
    <row r="97" spans="1:18">
      <c r="A97" s="171" t="s">
        <v>9</v>
      </c>
      <c r="C97" s="156">
        <v>378</v>
      </c>
      <c r="E97" s="172"/>
      <c r="F97" s="172"/>
      <c r="I97" s="12"/>
      <c r="J97" s="172"/>
      <c r="M97" s="175"/>
      <c r="N97" s="172"/>
    </row>
    <row r="98" spans="1:18">
      <c r="A98" s="171" t="s">
        <v>203</v>
      </c>
      <c r="C98" s="156">
        <v>112</v>
      </c>
      <c r="E98" s="172">
        <v>16</v>
      </c>
      <c r="F98" s="172"/>
      <c r="G98" s="157">
        <v>1792</v>
      </c>
      <c r="I98" s="12"/>
      <c r="J98" s="172"/>
      <c r="M98" s="175"/>
      <c r="N98" s="172"/>
    </row>
    <row r="99" spans="1:18">
      <c r="A99" s="171" t="s">
        <v>204</v>
      </c>
      <c r="C99" s="156">
        <v>266</v>
      </c>
      <c r="E99" s="172">
        <v>12</v>
      </c>
      <c r="F99" s="172"/>
      <c r="G99" s="157">
        <v>3192</v>
      </c>
      <c r="I99" s="175"/>
      <c r="J99" s="172"/>
      <c r="M99" s="175"/>
      <c r="N99" s="172"/>
    </row>
    <row r="100" spans="1:18">
      <c r="A100" s="171" t="s">
        <v>205</v>
      </c>
      <c r="C100" s="156">
        <v>0</v>
      </c>
      <c r="E100" s="172">
        <v>2</v>
      </c>
      <c r="F100" s="172"/>
      <c r="G100" s="157">
        <v>0</v>
      </c>
    </row>
    <row r="101" spans="1:18">
      <c r="A101" s="171" t="s">
        <v>206</v>
      </c>
      <c r="C101" s="156">
        <v>14</v>
      </c>
      <c r="E101" s="172">
        <v>22</v>
      </c>
      <c r="F101" s="172"/>
      <c r="G101" s="157">
        <v>308</v>
      </c>
    </row>
    <row r="102" spans="1:18">
      <c r="A102" s="171" t="s">
        <v>207</v>
      </c>
      <c r="C102" s="156">
        <v>7090</v>
      </c>
      <c r="E102" s="184">
        <v>4.3559999999999999</v>
      </c>
      <c r="F102" s="182" t="s">
        <v>10</v>
      </c>
      <c r="G102" s="157">
        <v>309</v>
      </c>
    </row>
    <row r="103" spans="1:18">
      <c r="A103" s="171" t="s">
        <v>208</v>
      </c>
      <c r="C103" s="156">
        <v>44469</v>
      </c>
      <c r="E103" s="184">
        <v>-1.6334</v>
      </c>
      <c r="F103" s="182" t="s">
        <v>10</v>
      </c>
      <c r="G103" s="157">
        <v>-726</v>
      </c>
      <c r="I103" s="175"/>
      <c r="M103" s="175"/>
    </row>
    <row r="104" spans="1:18">
      <c r="A104" s="171" t="s">
        <v>209</v>
      </c>
      <c r="C104" s="156">
        <v>21966173.894598663</v>
      </c>
      <c r="E104" s="188">
        <v>9.2802000000000007</v>
      </c>
      <c r="F104" s="182" t="s">
        <v>10</v>
      </c>
      <c r="G104" s="157">
        <v>2038505</v>
      </c>
      <c r="I104" s="12">
        <f>I$21</f>
        <v>-5.9999999999999995E-4</v>
      </c>
      <c r="J104" s="182"/>
      <c r="K104" s="157">
        <f t="shared" ref="K104:K108" si="10">$G104*I104</f>
        <v>-1223.1029999999998</v>
      </c>
      <c r="M104" s="12">
        <f>M$21</f>
        <v>-5.9999999999999995E-4</v>
      </c>
      <c r="N104" s="182"/>
      <c r="O104" s="157">
        <f t="shared" ref="O104:O108" si="11">$G104*M104</f>
        <v>-1223.1029999999998</v>
      </c>
      <c r="Q104" s="154"/>
      <c r="R104" s="173"/>
    </row>
    <row r="105" spans="1:18">
      <c r="A105" s="171" t="s">
        <v>210</v>
      </c>
      <c r="C105" s="156">
        <v>14447176</v>
      </c>
      <c r="E105" s="188">
        <v>11.9733</v>
      </c>
      <c r="F105" s="182" t="s">
        <v>10</v>
      </c>
      <c r="G105" s="157">
        <v>1729804</v>
      </c>
      <c r="I105" s="12">
        <f>I$21</f>
        <v>-5.9999999999999995E-4</v>
      </c>
      <c r="J105" s="182"/>
      <c r="K105" s="157">
        <f t="shared" si="10"/>
        <v>-1037.8824</v>
      </c>
      <c r="M105" s="12">
        <f>M$21</f>
        <v>-5.9999999999999995E-4</v>
      </c>
      <c r="N105" s="182"/>
      <c r="O105" s="157">
        <f t="shared" si="11"/>
        <v>-1037.8824</v>
      </c>
      <c r="Q105" s="154"/>
      <c r="R105" s="173"/>
    </row>
    <row r="106" spans="1:18">
      <c r="A106" s="171" t="s">
        <v>211</v>
      </c>
      <c r="C106" s="156">
        <v>7916923</v>
      </c>
      <c r="E106" s="188">
        <v>11.9733</v>
      </c>
      <c r="F106" s="182" t="s">
        <v>10</v>
      </c>
      <c r="G106" s="157">
        <v>947917</v>
      </c>
      <c r="I106" s="12">
        <f>I$21</f>
        <v>-5.9999999999999995E-4</v>
      </c>
      <c r="J106" s="182"/>
      <c r="K106" s="157">
        <f t="shared" si="10"/>
        <v>-568.75019999999995</v>
      </c>
      <c r="M106" s="12">
        <f>M$21</f>
        <v>-5.9999999999999995E-4</v>
      </c>
      <c r="N106" s="182"/>
      <c r="O106" s="157">
        <f t="shared" si="11"/>
        <v>-568.75019999999995</v>
      </c>
      <c r="Q106" s="210"/>
      <c r="R106" s="173"/>
    </row>
    <row r="107" spans="1:18">
      <c r="A107" s="171" t="s">
        <v>212</v>
      </c>
      <c r="B107" s="187"/>
      <c r="C107" s="156">
        <v>50047131</v>
      </c>
      <c r="D107" s="187"/>
      <c r="E107" s="188">
        <v>8.2126000000000001</v>
      </c>
      <c r="F107" s="182" t="s">
        <v>10</v>
      </c>
      <c r="G107" s="157">
        <v>4110171</v>
      </c>
      <c r="I107" s="12">
        <f>I$21</f>
        <v>-5.9999999999999995E-4</v>
      </c>
      <c r="J107" s="182"/>
      <c r="K107" s="157">
        <f t="shared" si="10"/>
        <v>-2466.1025999999997</v>
      </c>
      <c r="M107" s="12">
        <f>M$21</f>
        <v>-5.9999999999999995E-4</v>
      </c>
      <c r="N107" s="182"/>
      <c r="O107" s="157">
        <f t="shared" si="11"/>
        <v>-2466.1025999999997</v>
      </c>
      <c r="Q107" s="154"/>
      <c r="R107" s="101"/>
    </row>
    <row r="108" spans="1:18">
      <c r="A108" s="171" t="s">
        <v>213</v>
      </c>
      <c r="B108" s="187"/>
      <c r="C108" s="156">
        <v>47956842</v>
      </c>
      <c r="D108" s="187"/>
      <c r="E108" s="188">
        <v>10.5959</v>
      </c>
      <c r="F108" s="182" t="s">
        <v>10</v>
      </c>
      <c r="G108" s="157">
        <v>5081459</v>
      </c>
      <c r="I108" s="12">
        <f>I$21</f>
        <v>-5.9999999999999995E-4</v>
      </c>
      <c r="J108" s="182"/>
      <c r="K108" s="157">
        <f t="shared" si="10"/>
        <v>-3048.8753999999999</v>
      </c>
      <c r="M108" s="12">
        <f>M$21</f>
        <v>-5.9999999999999995E-4</v>
      </c>
      <c r="N108" s="182"/>
      <c r="O108" s="157">
        <f t="shared" si="11"/>
        <v>-3048.8753999999999</v>
      </c>
    </row>
    <row r="109" spans="1:18">
      <c r="A109" s="189" t="s">
        <v>214</v>
      </c>
      <c r="B109" s="190"/>
      <c r="C109" s="156">
        <v>0</v>
      </c>
      <c r="D109" s="190"/>
      <c r="E109" s="191">
        <v>12.243600000000001</v>
      </c>
      <c r="F109" s="192" t="s">
        <v>10</v>
      </c>
      <c r="G109" s="157">
        <v>0</v>
      </c>
      <c r="I109" s="12"/>
      <c r="J109" s="182"/>
      <c r="M109" s="175"/>
      <c r="N109" s="182"/>
    </row>
    <row r="110" spans="1:18">
      <c r="A110" s="189" t="s">
        <v>215</v>
      </c>
      <c r="C110" s="156">
        <v>0</v>
      </c>
      <c r="E110" s="168"/>
      <c r="F110" s="193"/>
      <c r="I110" s="12"/>
      <c r="J110" s="182"/>
      <c r="M110" s="175"/>
      <c r="N110" s="182"/>
    </row>
    <row r="111" spans="1:18" ht="16.5" thickBot="1">
      <c r="A111" s="171" t="s">
        <v>15</v>
      </c>
      <c r="C111" s="194">
        <v>142334245.89459866</v>
      </c>
      <c r="E111" s="200"/>
      <c r="G111" s="196">
        <v>17232241</v>
      </c>
      <c r="I111" s="211"/>
      <c r="K111" s="208">
        <f>SUM(K95:K110)</f>
        <v>-8344.7135999999991</v>
      </c>
      <c r="M111" s="211"/>
      <c r="O111" s="208">
        <f>SUM(O95:O110)</f>
        <v>-8344.7135999999991</v>
      </c>
    </row>
    <row r="112" spans="1:18" ht="16.5" thickTop="1">
      <c r="K112" s="199"/>
      <c r="O112" s="199"/>
    </row>
    <row r="113" spans="1:15">
      <c r="A113" s="167" t="s">
        <v>221</v>
      </c>
    </row>
    <row r="114" spans="1:15">
      <c r="A114" s="171" t="s">
        <v>174</v>
      </c>
      <c r="C114" s="156">
        <v>307354</v>
      </c>
      <c r="E114" s="172"/>
      <c r="F114" s="172"/>
      <c r="I114" s="11"/>
      <c r="J114" s="12"/>
      <c r="M114" s="11"/>
      <c r="N114" s="12"/>
    </row>
    <row r="115" spans="1:15">
      <c r="A115" s="171" t="s">
        <v>8</v>
      </c>
      <c r="C115" s="156">
        <v>307354</v>
      </c>
      <c r="E115" s="172"/>
      <c r="F115" s="172"/>
    </row>
    <row r="116" spans="1:15">
      <c r="A116" s="171" t="s">
        <v>203</v>
      </c>
      <c r="C116" s="156">
        <v>303609</v>
      </c>
      <c r="E116" s="172">
        <v>8</v>
      </c>
      <c r="F116" s="172"/>
      <c r="G116" s="157">
        <v>2428872</v>
      </c>
    </row>
    <row r="117" spans="1:15">
      <c r="A117" s="171" t="s">
        <v>204</v>
      </c>
      <c r="C117" s="156">
        <v>3745</v>
      </c>
      <c r="E117" s="172">
        <v>6</v>
      </c>
      <c r="F117" s="172"/>
      <c r="G117" s="157">
        <v>22470</v>
      </c>
      <c r="I117" s="12"/>
      <c r="J117" s="172"/>
      <c r="M117" s="175"/>
      <c r="N117" s="172"/>
    </row>
    <row r="118" spans="1:15">
      <c r="A118" s="171" t="s">
        <v>9</v>
      </c>
      <c r="C118" s="156">
        <v>0</v>
      </c>
      <c r="E118" s="172"/>
      <c r="F118" s="172"/>
      <c r="I118" s="12"/>
      <c r="J118" s="172"/>
      <c r="M118" s="175"/>
      <c r="N118" s="172"/>
    </row>
    <row r="119" spans="1:15">
      <c r="A119" s="171" t="s">
        <v>203</v>
      </c>
      <c r="E119" s="172">
        <v>16</v>
      </c>
      <c r="F119" s="172"/>
      <c r="G119" s="157">
        <v>0</v>
      </c>
      <c r="I119" s="12"/>
      <c r="J119" s="172"/>
      <c r="M119" s="175"/>
      <c r="N119" s="172"/>
    </row>
    <row r="120" spans="1:15">
      <c r="A120" s="171" t="s">
        <v>204</v>
      </c>
      <c r="E120" s="172">
        <v>12</v>
      </c>
      <c r="F120" s="172"/>
      <c r="G120" s="157">
        <v>0</v>
      </c>
      <c r="I120" s="12"/>
      <c r="J120" s="172"/>
      <c r="M120" s="175"/>
      <c r="N120" s="172"/>
    </row>
    <row r="121" spans="1:15">
      <c r="A121" s="171" t="s">
        <v>205</v>
      </c>
      <c r="C121" s="156">
        <v>1646</v>
      </c>
      <c r="E121" s="172">
        <v>2</v>
      </c>
      <c r="F121" s="172"/>
      <c r="G121" s="157">
        <v>3292</v>
      </c>
      <c r="I121" s="175"/>
      <c r="J121" s="172"/>
      <c r="M121" s="175"/>
      <c r="N121" s="172"/>
    </row>
    <row r="122" spans="1:15">
      <c r="A122" s="171" t="s">
        <v>206</v>
      </c>
      <c r="C122" s="156">
        <v>0</v>
      </c>
      <c r="E122" s="172">
        <v>22</v>
      </c>
      <c r="F122" s="172"/>
      <c r="G122" s="157">
        <v>0</v>
      </c>
      <c r="I122" s="12"/>
      <c r="J122" s="172"/>
      <c r="M122" s="175"/>
      <c r="N122" s="172"/>
    </row>
    <row r="123" spans="1:15">
      <c r="A123" s="171" t="s">
        <v>207</v>
      </c>
      <c r="C123" s="156">
        <v>5690</v>
      </c>
      <c r="E123" s="184">
        <v>4.3559999999999999</v>
      </c>
      <c r="F123" s="182" t="s">
        <v>10</v>
      </c>
      <c r="G123" s="157">
        <v>248</v>
      </c>
      <c r="I123" s="12"/>
      <c r="J123" s="172"/>
      <c r="M123" s="175"/>
      <c r="N123" s="172"/>
    </row>
    <row r="124" spans="1:15">
      <c r="A124" s="171" t="s">
        <v>208</v>
      </c>
      <c r="C124" s="156">
        <v>35358</v>
      </c>
      <c r="E124" s="184">
        <v>-1.6334</v>
      </c>
      <c r="F124" s="182" t="s">
        <v>10</v>
      </c>
      <c r="G124" s="157">
        <v>-578</v>
      </c>
      <c r="I124" s="12"/>
      <c r="J124" s="172"/>
      <c r="M124" s="175"/>
      <c r="N124" s="172"/>
    </row>
    <row r="125" spans="1:15">
      <c r="A125" s="171" t="s">
        <v>209</v>
      </c>
      <c r="C125" s="156">
        <v>38703048.189910412</v>
      </c>
      <c r="E125" s="188">
        <v>9.2802000000000007</v>
      </c>
      <c r="F125" s="182" t="s">
        <v>10</v>
      </c>
      <c r="G125" s="157">
        <v>3591720</v>
      </c>
      <c r="I125" s="12">
        <f>I$21</f>
        <v>-5.9999999999999995E-4</v>
      </c>
      <c r="J125" s="182"/>
      <c r="K125" s="157">
        <f t="shared" ref="K125:K129" si="12">$G125*I125</f>
        <v>-2155.0319999999997</v>
      </c>
      <c r="M125" s="12">
        <f>M$21</f>
        <v>-5.9999999999999995E-4</v>
      </c>
      <c r="N125" s="182"/>
      <c r="O125" s="157">
        <f t="shared" ref="O125:O129" si="13">$G125*M125</f>
        <v>-2155.0319999999997</v>
      </c>
    </row>
    <row r="126" spans="1:15">
      <c r="A126" s="171" t="s">
        <v>210</v>
      </c>
      <c r="C126" s="156">
        <v>26842157</v>
      </c>
      <c r="E126" s="188">
        <v>11.9733</v>
      </c>
      <c r="F126" s="182" t="s">
        <v>10</v>
      </c>
      <c r="G126" s="157">
        <v>3213892</v>
      </c>
      <c r="I126" s="12">
        <f>I$21</f>
        <v>-5.9999999999999995E-4</v>
      </c>
      <c r="J126" s="182"/>
      <c r="K126" s="157">
        <f t="shared" si="12"/>
        <v>-1928.3351999999998</v>
      </c>
      <c r="M126" s="12">
        <f>M$21</f>
        <v>-5.9999999999999995E-4</v>
      </c>
      <c r="N126" s="182"/>
      <c r="O126" s="157">
        <f t="shared" si="13"/>
        <v>-1928.3351999999998</v>
      </c>
    </row>
    <row r="127" spans="1:15">
      <c r="A127" s="171" t="s">
        <v>211</v>
      </c>
      <c r="C127" s="156">
        <v>7600557</v>
      </c>
      <c r="E127" s="188">
        <v>11.9733</v>
      </c>
      <c r="F127" s="182" t="s">
        <v>10</v>
      </c>
      <c r="G127" s="157">
        <v>910037</v>
      </c>
      <c r="I127" s="12">
        <f>I$21</f>
        <v>-5.9999999999999995E-4</v>
      </c>
      <c r="J127" s="182"/>
      <c r="K127" s="157">
        <f t="shared" si="12"/>
        <v>-546.0222</v>
      </c>
      <c r="M127" s="12">
        <f>M$21</f>
        <v>-5.9999999999999995E-4</v>
      </c>
      <c r="N127" s="182"/>
      <c r="O127" s="157">
        <f t="shared" si="13"/>
        <v>-546.0222</v>
      </c>
    </row>
    <row r="128" spans="1:15">
      <c r="A128" s="171" t="s">
        <v>212</v>
      </c>
      <c r="B128" s="187"/>
      <c r="C128" s="156">
        <v>68555364</v>
      </c>
      <c r="D128" s="187"/>
      <c r="E128" s="188">
        <v>8.2126000000000001</v>
      </c>
      <c r="F128" s="182" t="s">
        <v>10</v>
      </c>
      <c r="G128" s="157">
        <v>5630178</v>
      </c>
      <c r="I128" s="12">
        <f>I$21</f>
        <v>-5.9999999999999995E-4</v>
      </c>
      <c r="J128" s="182"/>
      <c r="K128" s="157">
        <f t="shared" si="12"/>
        <v>-3378.1067999999996</v>
      </c>
      <c r="M128" s="12">
        <f>M$21</f>
        <v>-5.9999999999999995E-4</v>
      </c>
      <c r="N128" s="182"/>
      <c r="O128" s="157">
        <f t="shared" si="13"/>
        <v>-3378.1067999999996</v>
      </c>
    </row>
    <row r="129" spans="1:18">
      <c r="A129" s="171" t="s">
        <v>213</v>
      </c>
      <c r="B129" s="187"/>
      <c r="C129" s="156">
        <v>51108843</v>
      </c>
      <c r="D129" s="187"/>
      <c r="E129" s="188">
        <v>10.5959</v>
      </c>
      <c r="F129" s="182" t="s">
        <v>10</v>
      </c>
      <c r="G129" s="157">
        <v>5415442</v>
      </c>
      <c r="I129" s="12">
        <f>I$21</f>
        <v>-5.9999999999999995E-4</v>
      </c>
      <c r="J129" s="182"/>
      <c r="K129" s="157">
        <f t="shared" si="12"/>
        <v>-3249.2651999999998</v>
      </c>
      <c r="M129" s="12">
        <f>M$21</f>
        <v>-5.9999999999999995E-4</v>
      </c>
      <c r="N129" s="182"/>
      <c r="O129" s="157">
        <f t="shared" si="13"/>
        <v>-3249.2651999999998</v>
      </c>
    </row>
    <row r="130" spans="1:18">
      <c r="A130" s="189" t="s">
        <v>214</v>
      </c>
      <c r="B130" s="190"/>
      <c r="C130" s="156">
        <v>0</v>
      </c>
      <c r="D130" s="190"/>
      <c r="E130" s="188">
        <v>12.243600000000001</v>
      </c>
      <c r="F130" s="182" t="s">
        <v>10</v>
      </c>
      <c r="G130" s="157">
        <v>0</v>
      </c>
      <c r="I130" s="12"/>
      <c r="J130" s="172"/>
      <c r="M130" s="175"/>
      <c r="N130" s="172"/>
    </row>
    <row r="131" spans="1:18">
      <c r="A131" s="189" t="s">
        <v>215</v>
      </c>
      <c r="C131" s="156">
        <v>0</v>
      </c>
      <c r="E131" s="168"/>
      <c r="F131" s="193"/>
      <c r="I131" s="12"/>
      <c r="J131" s="172"/>
      <c r="M131" s="175"/>
      <c r="N131" s="172"/>
    </row>
    <row r="132" spans="1:18" ht="16.5" thickBot="1">
      <c r="A132" s="171" t="s">
        <v>15</v>
      </c>
      <c r="C132" s="194">
        <v>192809969.18991041</v>
      </c>
      <c r="E132" s="200"/>
      <c r="G132" s="196">
        <v>21215573</v>
      </c>
      <c r="I132" s="197"/>
      <c r="K132" s="196">
        <f>SUM(K116:K131)</f>
        <v>-11256.761399999999</v>
      </c>
      <c r="L132" s="193"/>
      <c r="M132" s="197"/>
      <c r="O132" s="196">
        <f>SUM(O116:O131)</f>
        <v>-11256.761399999999</v>
      </c>
    </row>
    <row r="133" spans="1:18" ht="16.5" thickTop="1"/>
    <row r="134" spans="1:18">
      <c r="A134" s="167" t="s">
        <v>20</v>
      </c>
      <c r="I134" s="12"/>
      <c r="J134" s="172"/>
      <c r="M134" s="175"/>
      <c r="N134" s="172"/>
      <c r="Q134" s="212"/>
      <c r="R134" s="212"/>
    </row>
    <row r="135" spans="1:18">
      <c r="A135" s="171" t="s">
        <v>7</v>
      </c>
      <c r="C135" s="156">
        <v>157116</v>
      </c>
      <c r="E135" s="172">
        <v>53</v>
      </c>
      <c r="F135" s="172"/>
      <c r="G135" s="157">
        <v>8327148</v>
      </c>
      <c r="J135" s="193"/>
      <c r="N135" s="193"/>
      <c r="Q135" s="213" t="s">
        <v>179</v>
      </c>
      <c r="R135" s="214"/>
    </row>
    <row r="136" spans="1:18">
      <c r="A136" s="171" t="s">
        <v>19</v>
      </c>
      <c r="C136" s="156">
        <v>0</v>
      </c>
      <c r="E136" s="172">
        <v>636</v>
      </c>
      <c r="F136" s="172"/>
      <c r="G136" s="157">
        <v>0</v>
      </c>
      <c r="I136" s="12"/>
      <c r="J136" s="172"/>
      <c r="M136" s="175"/>
      <c r="N136" s="172"/>
      <c r="Q136" s="215" t="s">
        <v>11</v>
      </c>
      <c r="R136" s="216">
        <f>SUM(O146,O158,O170,O181,O195-O207,O221-O232,O246-O257,O271-O281)</f>
        <v>-281752.78879999998</v>
      </c>
    </row>
    <row r="137" spans="1:18">
      <c r="A137" s="171" t="s">
        <v>232</v>
      </c>
      <c r="C137" s="156">
        <v>14</v>
      </c>
      <c r="E137" s="172">
        <v>53</v>
      </c>
      <c r="F137" s="193"/>
      <c r="G137" s="157">
        <v>742</v>
      </c>
      <c r="I137" s="12"/>
      <c r="J137" s="172"/>
      <c r="M137" s="175"/>
      <c r="N137" s="172"/>
      <c r="Q137" s="178" t="s">
        <v>12</v>
      </c>
      <c r="R137" s="179">
        <f>('Exhibit-RMP(RMM-1) page 2'!K20)*1000</f>
        <v>-292887.64424802258</v>
      </c>
    </row>
    <row r="138" spans="1:18">
      <c r="A138" s="171" t="s">
        <v>28</v>
      </c>
      <c r="C138" s="156">
        <v>15576842</v>
      </c>
      <c r="E138" s="172">
        <v>3.99</v>
      </c>
      <c r="F138" s="172"/>
      <c r="G138" s="157">
        <v>62151600</v>
      </c>
      <c r="I138" s="12"/>
      <c r="J138" s="172"/>
      <c r="M138" s="175"/>
      <c r="N138" s="172"/>
      <c r="Q138" s="180" t="s">
        <v>13</v>
      </c>
      <c r="R138" s="181">
        <f>R137-R136</f>
        <v>-11134.855448022601</v>
      </c>
    </row>
    <row r="139" spans="1:18">
      <c r="A139" s="171" t="s">
        <v>233</v>
      </c>
      <c r="C139" s="156">
        <v>6921590</v>
      </c>
      <c r="E139" s="193">
        <v>13.27</v>
      </c>
      <c r="F139" s="193"/>
      <c r="G139" s="157">
        <v>91849499</v>
      </c>
      <c r="I139" s="100">
        <v>-6.9999999999999999E-4</v>
      </c>
      <c r="J139" s="172"/>
      <c r="K139" s="157">
        <f t="shared" ref="K139:K142" si="14">$G139*I139</f>
        <v>-64294.649299999997</v>
      </c>
      <c r="M139" s="217">
        <f>R139</f>
        <v>-6.9999999999999999E-4</v>
      </c>
      <c r="N139" s="172"/>
      <c r="O139" s="157">
        <f t="shared" ref="O139:O142" si="15">$G139*M139</f>
        <v>-64294.649299999997</v>
      </c>
      <c r="Q139" s="183" t="s">
        <v>14</v>
      </c>
      <c r="R139" s="99">
        <f>ROUND(R137/SUM(G139:G142,G153:G156,G165:G168,G176:G179)*R140,$R$9)</f>
        <v>-6.9999999999999999E-4</v>
      </c>
    </row>
    <row r="140" spans="1:18">
      <c r="A140" s="171" t="s">
        <v>234</v>
      </c>
      <c r="C140" s="156">
        <v>8655252</v>
      </c>
      <c r="E140" s="193">
        <v>11.74</v>
      </c>
      <c r="F140" s="193"/>
      <c r="G140" s="157">
        <v>101612658</v>
      </c>
      <c r="I140" s="12">
        <f>I$139</f>
        <v>-6.9999999999999999E-4</v>
      </c>
      <c r="J140" s="172"/>
      <c r="K140" s="157">
        <f t="shared" si="14"/>
        <v>-71128.8606</v>
      </c>
      <c r="M140" s="12">
        <f>M$139</f>
        <v>-6.9999999999999999E-4</v>
      </c>
      <c r="N140" s="172"/>
      <c r="O140" s="157">
        <f t="shared" si="15"/>
        <v>-71128.8606</v>
      </c>
      <c r="Q140" s="218" t="s">
        <v>16</v>
      </c>
      <c r="R140" s="219">
        <v>1.0223936357091086</v>
      </c>
    </row>
    <row r="141" spans="1:18">
      <c r="A141" s="171" t="s">
        <v>235</v>
      </c>
      <c r="C141" s="156">
        <v>2063156225.1889281</v>
      </c>
      <c r="E141" s="209">
        <v>3.8877999999999999</v>
      </c>
      <c r="F141" s="182" t="s">
        <v>10</v>
      </c>
      <c r="G141" s="157">
        <v>80211388</v>
      </c>
      <c r="I141" s="12">
        <f t="shared" ref="I141:I142" si="16">I$139</f>
        <v>-6.9999999999999999E-4</v>
      </c>
      <c r="J141" s="172"/>
      <c r="K141" s="157">
        <f t="shared" si="14"/>
        <v>-56147.971599999997</v>
      </c>
      <c r="M141" s="12">
        <f t="shared" ref="M141:M142" si="17">M$139</f>
        <v>-6.9999999999999999E-4</v>
      </c>
      <c r="N141" s="172"/>
      <c r="O141" s="157">
        <f t="shared" si="15"/>
        <v>-56147.971599999997</v>
      </c>
      <c r="Q141" s="220" t="s">
        <v>374</v>
      </c>
      <c r="R141" s="102"/>
    </row>
    <row r="142" spans="1:18">
      <c r="A142" s="171" t="s">
        <v>236</v>
      </c>
      <c r="C142" s="156">
        <v>3526754594</v>
      </c>
      <c r="E142" s="209">
        <v>3.4405000000000001</v>
      </c>
      <c r="F142" s="182" t="s">
        <v>10</v>
      </c>
      <c r="G142" s="157">
        <v>121337992</v>
      </c>
      <c r="I142" s="12">
        <f t="shared" si="16"/>
        <v>-6.9999999999999999E-4</v>
      </c>
      <c r="J142" s="172"/>
      <c r="K142" s="157">
        <f t="shared" si="14"/>
        <v>-84936.594400000002</v>
      </c>
      <c r="M142" s="12">
        <f t="shared" si="17"/>
        <v>-6.9999999999999999E-4</v>
      </c>
      <c r="N142" s="172"/>
      <c r="O142" s="157">
        <f t="shared" si="15"/>
        <v>-84936.594400000002</v>
      </c>
    </row>
    <row r="143" spans="1:18">
      <c r="A143" s="171" t="s">
        <v>18</v>
      </c>
      <c r="C143" s="156">
        <v>569738</v>
      </c>
      <c r="E143" s="172">
        <v>-0.96</v>
      </c>
      <c r="F143" s="172"/>
      <c r="G143" s="157">
        <v>-546948</v>
      </c>
      <c r="I143" s="12"/>
      <c r="J143" s="172"/>
      <c r="M143" s="175"/>
      <c r="N143" s="172"/>
      <c r="Q143" s="212"/>
      <c r="R143" s="212"/>
    </row>
    <row r="144" spans="1:18">
      <c r="A144" s="189" t="s">
        <v>214</v>
      </c>
      <c r="C144" s="156">
        <v>1977670</v>
      </c>
      <c r="E144" s="209">
        <v>7.125</v>
      </c>
      <c r="F144" s="182" t="s">
        <v>10</v>
      </c>
      <c r="G144" s="157">
        <v>140909</v>
      </c>
      <c r="I144" s="12"/>
      <c r="J144" s="172"/>
      <c r="M144" s="175"/>
      <c r="N144" s="172"/>
      <c r="Q144" s="212"/>
      <c r="R144" s="212"/>
    </row>
    <row r="145" spans="1:18">
      <c r="A145" s="189" t="s">
        <v>215</v>
      </c>
      <c r="C145" s="156">
        <v>25489</v>
      </c>
      <c r="E145" s="168"/>
      <c r="F145" s="193"/>
      <c r="I145" s="12"/>
      <c r="J145" s="172"/>
      <c r="M145" s="175"/>
      <c r="N145" s="172"/>
      <c r="Q145" s="212"/>
      <c r="R145" s="212"/>
    </row>
    <row r="146" spans="1:18" ht="16.5" thickBot="1">
      <c r="A146" s="171" t="s">
        <v>15</v>
      </c>
      <c r="C146" s="221">
        <v>5591913978.1889286</v>
      </c>
      <c r="E146" s="200"/>
      <c r="G146" s="196">
        <v>465084988</v>
      </c>
      <c r="I146" s="211"/>
      <c r="K146" s="208">
        <f>SUM(K135:K145)</f>
        <v>-276508.0759</v>
      </c>
      <c r="M146" s="211"/>
      <c r="O146" s="208">
        <f>SUM(O135:O145)</f>
        <v>-276508.0759</v>
      </c>
      <c r="Q146" s="212"/>
      <c r="R146" s="212"/>
    </row>
    <row r="147" spans="1:18" ht="16.5" thickTop="1">
      <c r="I147" s="175"/>
      <c r="J147" s="172"/>
      <c r="M147" s="175"/>
      <c r="N147" s="172"/>
      <c r="Q147" s="212"/>
      <c r="R147" s="212"/>
    </row>
    <row r="148" spans="1:18">
      <c r="A148" s="167" t="s">
        <v>242</v>
      </c>
      <c r="I148" s="12"/>
      <c r="J148" s="172"/>
      <c r="M148" s="175"/>
      <c r="N148" s="172"/>
      <c r="Q148" s="212"/>
      <c r="R148" s="212"/>
    </row>
    <row r="149" spans="1:18">
      <c r="A149" s="171" t="s">
        <v>7</v>
      </c>
      <c r="C149" s="156">
        <v>4434</v>
      </c>
      <c r="E149" s="172">
        <v>53</v>
      </c>
      <c r="F149" s="172"/>
      <c r="G149" s="157">
        <v>235002</v>
      </c>
      <c r="I149" s="12"/>
      <c r="J149" s="172"/>
      <c r="M149" s="175"/>
      <c r="N149" s="172"/>
      <c r="Q149" s="212"/>
      <c r="R149" s="212"/>
    </row>
    <row r="150" spans="1:18">
      <c r="A150" s="171" t="s">
        <v>19</v>
      </c>
      <c r="C150" s="156">
        <v>0</v>
      </c>
      <c r="E150" s="172">
        <v>636</v>
      </c>
      <c r="F150" s="172"/>
      <c r="G150" s="157">
        <v>0</v>
      </c>
      <c r="I150" s="12"/>
      <c r="J150" s="172"/>
      <c r="M150" s="175"/>
      <c r="N150" s="172"/>
      <c r="Q150" s="212"/>
      <c r="R150" s="212"/>
    </row>
    <row r="151" spans="1:18">
      <c r="A151" s="171" t="s">
        <v>232</v>
      </c>
      <c r="C151" s="156">
        <v>0</v>
      </c>
      <c r="E151" s="193">
        <v>53</v>
      </c>
      <c r="F151" s="193"/>
      <c r="G151" s="157">
        <v>0</v>
      </c>
      <c r="I151" s="12"/>
      <c r="J151" s="172"/>
      <c r="M151" s="175"/>
      <c r="N151" s="172"/>
      <c r="Q151" s="212"/>
      <c r="R151" s="212"/>
    </row>
    <row r="152" spans="1:18">
      <c r="A152" s="171" t="s">
        <v>28</v>
      </c>
      <c r="C152" s="156">
        <v>505379</v>
      </c>
      <c r="E152" s="172">
        <v>3.99</v>
      </c>
      <c r="F152" s="172"/>
      <c r="G152" s="157">
        <v>2016462</v>
      </c>
      <c r="I152" s="12"/>
      <c r="J152" s="172"/>
      <c r="M152" s="175"/>
      <c r="N152" s="172"/>
      <c r="Q152" s="212"/>
      <c r="R152" s="212"/>
    </row>
    <row r="153" spans="1:18">
      <c r="A153" s="171" t="s">
        <v>233</v>
      </c>
      <c r="C153" s="156">
        <v>206980</v>
      </c>
      <c r="E153" s="193">
        <v>13.27</v>
      </c>
      <c r="F153" s="193"/>
      <c r="G153" s="157">
        <v>2746625</v>
      </c>
      <c r="I153" s="12">
        <f t="shared" ref="I153:I156" si="18">I$139</f>
        <v>-6.9999999999999999E-4</v>
      </c>
      <c r="J153" s="172"/>
      <c r="K153" s="157">
        <f t="shared" ref="K153:K156" si="19">$G153*I153</f>
        <v>-1922.6375</v>
      </c>
      <c r="M153" s="12">
        <f t="shared" ref="M153:M156" si="20">M$139</f>
        <v>-6.9999999999999999E-4</v>
      </c>
      <c r="N153" s="172"/>
      <c r="O153" s="157">
        <f t="shared" ref="O153:O156" si="21">$G153*M153</f>
        <v>-1922.6375</v>
      </c>
      <c r="Q153" s="212"/>
      <c r="R153" s="212"/>
    </row>
    <row r="154" spans="1:18">
      <c r="A154" s="171" t="s">
        <v>234</v>
      </c>
      <c r="C154" s="156">
        <v>298398</v>
      </c>
      <c r="E154" s="193">
        <v>11.74</v>
      </c>
      <c r="F154" s="193"/>
      <c r="G154" s="157">
        <v>3503193</v>
      </c>
      <c r="I154" s="12">
        <f t="shared" si="18"/>
        <v>-6.9999999999999999E-4</v>
      </c>
      <c r="J154" s="172"/>
      <c r="K154" s="157">
        <f t="shared" si="19"/>
        <v>-2452.2350999999999</v>
      </c>
      <c r="M154" s="12">
        <f t="shared" si="20"/>
        <v>-6.9999999999999999E-4</v>
      </c>
      <c r="N154" s="172"/>
      <c r="O154" s="157">
        <f t="shared" si="21"/>
        <v>-2452.2350999999999</v>
      </c>
      <c r="Q154" s="212"/>
      <c r="R154" s="212"/>
    </row>
    <row r="155" spans="1:18">
      <c r="A155" s="171" t="s">
        <v>235</v>
      </c>
      <c r="C155" s="156">
        <v>60590665.781530641</v>
      </c>
      <c r="E155" s="209">
        <v>3.8877999999999999</v>
      </c>
      <c r="F155" s="182" t="s">
        <v>10</v>
      </c>
      <c r="G155" s="157">
        <v>2355644</v>
      </c>
      <c r="I155" s="12">
        <f t="shared" si="18"/>
        <v>-6.9999999999999999E-4</v>
      </c>
      <c r="J155" s="172"/>
      <c r="K155" s="157">
        <f t="shared" si="19"/>
        <v>-1648.9508000000001</v>
      </c>
      <c r="M155" s="12">
        <f t="shared" si="20"/>
        <v>-6.9999999999999999E-4</v>
      </c>
      <c r="N155" s="172"/>
      <c r="O155" s="157">
        <f t="shared" si="21"/>
        <v>-1648.9508000000001</v>
      </c>
      <c r="Q155" s="212"/>
      <c r="R155" s="212"/>
    </row>
    <row r="156" spans="1:18">
      <c r="A156" s="171" t="s">
        <v>236</v>
      </c>
      <c r="C156" s="156">
        <v>109661557.70953687</v>
      </c>
      <c r="E156" s="209">
        <v>3.4405000000000001</v>
      </c>
      <c r="F156" s="182" t="s">
        <v>10</v>
      </c>
      <c r="G156" s="157">
        <v>3772906</v>
      </c>
      <c r="I156" s="12">
        <f t="shared" si="18"/>
        <v>-6.9999999999999999E-4</v>
      </c>
      <c r="J156" s="172"/>
      <c r="K156" s="157">
        <f t="shared" si="19"/>
        <v>-2641.0342000000001</v>
      </c>
      <c r="M156" s="12">
        <f t="shared" si="20"/>
        <v>-6.9999999999999999E-4</v>
      </c>
      <c r="N156" s="172"/>
      <c r="O156" s="157">
        <f t="shared" si="21"/>
        <v>-2641.0342000000001</v>
      </c>
      <c r="Q156" s="212"/>
      <c r="R156" s="212"/>
    </row>
    <row r="157" spans="1:18">
      <c r="A157" s="171" t="s">
        <v>18</v>
      </c>
      <c r="C157" s="156">
        <v>26614</v>
      </c>
      <c r="E157" s="172">
        <v>-0.96</v>
      </c>
      <c r="F157" s="172"/>
      <c r="G157" s="157">
        <v>-25549</v>
      </c>
      <c r="I157" s="12"/>
      <c r="J157" s="172"/>
      <c r="M157" s="175"/>
      <c r="N157" s="172"/>
      <c r="Q157" s="212"/>
      <c r="R157" s="212"/>
    </row>
    <row r="158" spans="1:18" ht="16.5" thickBot="1">
      <c r="A158" s="171" t="s">
        <v>15</v>
      </c>
      <c r="C158" s="221">
        <v>170252223.49106753</v>
      </c>
      <c r="E158" s="200"/>
      <c r="G158" s="208">
        <v>14604283</v>
      </c>
      <c r="I158" s="211"/>
      <c r="K158" s="208">
        <f>SUM(K149:K157)</f>
        <v>-8664.8575999999994</v>
      </c>
      <c r="M158" s="211"/>
      <c r="O158" s="208">
        <f>SUM(O149:O157)</f>
        <v>-8664.8575999999994</v>
      </c>
      <c r="Q158" s="212"/>
      <c r="R158" s="212"/>
    </row>
    <row r="159" spans="1:18" ht="16.5" thickTop="1">
      <c r="I159" s="12"/>
      <c r="J159" s="172"/>
      <c r="M159" s="175"/>
      <c r="N159" s="172"/>
      <c r="Q159" s="212"/>
      <c r="R159" s="212"/>
    </row>
    <row r="160" spans="1:18">
      <c r="A160" s="167" t="s">
        <v>243</v>
      </c>
      <c r="I160" s="175"/>
      <c r="J160" s="172"/>
      <c r="M160" s="175"/>
      <c r="N160" s="172"/>
      <c r="Q160" s="212"/>
      <c r="R160" s="212"/>
    </row>
    <row r="161" spans="1:18">
      <c r="A161" s="171" t="s">
        <v>7</v>
      </c>
      <c r="C161" s="156">
        <v>611</v>
      </c>
      <c r="E161" s="193">
        <v>53</v>
      </c>
      <c r="F161" s="193"/>
      <c r="G161" s="157">
        <v>32383</v>
      </c>
      <c r="I161" s="12"/>
      <c r="J161" s="172"/>
      <c r="M161" s="175"/>
      <c r="N161" s="172"/>
      <c r="Q161" s="212"/>
      <c r="R161" s="212"/>
    </row>
    <row r="162" spans="1:18">
      <c r="A162" s="171" t="s">
        <v>19</v>
      </c>
      <c r="C162" s="156">
        <v>0</v>
      </c>
      <c r="E162" s="193">
        <v>636</v>
      </c>
      <c r="F162" s="193"/>
      <c r="G162" s="157">
        <v>0</v>
      </c>
      <c r="I162" s="12"/>
      <c r="J162" s="172"/>
      <c r="M162" s="175"/>
      <c r="N162" s="172"/>
      <c r="Q162" s="212"/>
      <c r="R162" s="212"/>
    </row>
    <row r="163" spans="1:18">
      <c r="A163" s="171" t="s">
        <v>205</v>
      </c>
      <c r="C163" s="156">
        <v>59</v>
      </c>
      <c r="E163" s="193">
        <v>2</v>
      </c>
      <c r="F163" s="193"/>
      <c r="G163" s="157">
        <v>118</v>
      </c>
      <c r="I163" s="12"/>
      <c r="J163" s="172"/>
      <c r="M163" s="175"/>
      <c r="N163" s="172"/>
      <c r="Q163" s="212"/>
      <c r="R163" s="212"/>
    </row>
    <row r="164" spans="1:18">
      <c r="A164" s="171" t="s">
        <v>28</v>
      </c>
      <c r="C164" s="156">
        <v>94165</v>
      </c>
      <c r="E164" s="193">
        <v>3.99</v>
      </c>
      <c r="F164" s="193"/>
      <c r="G164" s="157">
        <v>375718</v>
      </c>
      <c r="I164" s="12"/>
      <c r="J164" s="172"/>
      <c r="M164" s="175"/>
      <c r="N164" s="172"/>
      <c r="Q164" s="212"/>
      <c r="R164" s="212"/>
    </row>
    <row r="165" spans="1:18">
      <c r="A165" s="171" t="s">
        <v>233</v>
      </c>
      <c r="C165" s="156">
        <v>40576</v>
      </c>
      <c r="E165" s="193">
        <v>13.27</v>
      </c>
      <c r="F165" s="193"/>
      <c r="G165" s="157">
        <v>538444</v>
      </c>
      <c r="I165" s="12">
        <f t="shared" ref="I165:I168" si="22">I$139</f>
        <v>-6.9999999999999999E-4</v>
      </c>
      <c r="J165" s="172"/>
      <c r="K165" s="157">
        <f t="shared" ref="K165:K168" si="23">$G165*I165</f>
        <v>-376.91079999999999</v>
      </c>
      <c r="M165" s="12">
        <f t="shared" ref="M165:M168" si="24">M$139</f>
        <v>-6.9999999999999999E-4</v>
      </c>
      <c r="N165" s="172"/>
      <c r="O165" s="157">
        <f t="shared" ref="O165:O168" si="25">$G165*M165</f>
        <v>-376.91079999999999</v>
      </c>
      <c r="Q165" s="212"/>
      <c r="R165" s="212"/>
    </row>
    <row r="166" spans="1:18">
      <c r="A166" s="171" t="s">
        <v>234</v>
      </c>
      <c r="C166" s="156">
        <v>53589</v>
      </c>
      <c r="E166" s="193">
        <v>11.74</v>
      </c>
      <c r="F166" s="193"/>
      <c r="G166" s="157">
        <v>629135</v>
      </c>
      <c r="I166" s="12">
        <f t="shared" si="22"/>
        <v>-6.9999999999999999E-4</v>
      </c>
      <c r="J166" s="172"/>
      <c r="K166" s="157">
        <f t="shared" si="23"/>
        <v>-440.39449999999999</v>
      </c>
      <c r="M166" s="12">
        <f t="shared" si="24"/>
        <v>-6.9999999999999999E-4</v>
      </c>
      <c r="N166" s="172"/>
      <c r="O166" s="157">
        <f t="shared" si="25"/>
        <v>-440.39449999999999</v>
      </c>
      <c r="Q166" s="212"/>
      <c r="R166" s="212"/>
    </row>
    <row r="167" spans="1:18">
      <c r="A167" s="171" t="s">
        <v>235</v>
      </c>
      <c r="C167" s="156">
        <v>8593598.8227068186</v>
      </c>
      <c r="E167" s="209">
        <v>3.8877999999999999</v>
      </c>
      <c r="F167" s="182" t="s">
        <v>10</v>
      </c>
      <c r="G167" s="157">
        <v>334102</v>
      </c>
      <c r="I167" s="12">
        <f t="shared" si="22"/>
        <v>-6.9999999999999999E-4</v>
      </c>
      <c r="J167" s="172"/>
      <c r="K167" s="157">
        <f t="shared" si="23"/>
        <v>-233.87139999999999</v>
      </c>
      <c r="M167" s="12">
        <f t="shared" si="24"/>
        <v>-6.9999999999999999E-4</v>
      </c>
      <c r="N167" s="172"/>
      <c r="O167" s="157">
        <f t="shared" si="25"/>
        <v>-233.87139999999999</v>
      </c>
      <c r="Q167" s="212"/>
      <c r="R167" s="212"/>
    </row>
    <row r="168" spans="1:18">
      <c r="A168" s="171" t="s">
        <v>236</v>
      </c>
      <c r="C168" s="156">
        <v>15566357.794983968</v>
      </c>
      <c r="E168" s="209">
        <v>3.4405000000000001</v>
      </c>
      <c r="F168" s="182" t="s">
        <v>10</v>
      </c>
      <c r="G168" s="157">
        <v>535561</v>
      </c>
      <c r="I168" s="12">
        <f t="shared" si="22"/>
        <v>-6.9999999999999999E-4</v>
      </c>
      <c r="J168" s="172"/>
      <c r="K168" s="157">
        <f t="shared" si="23"/>
        <v>-374.89269999999999</v>
      </c>
      <c r="M168" s="12">
        <f t="shared" si="24"/>
        <v>-6.9999999999999999E-4</v>
      </c>
      <c r="N168" s="172"/>
      <c r="O168" s="157">
        <f t="shared" si="25"/>
        <v>-374.89269999999999</v>
      </c>
      <c r="Q168" s="212"/>
      <c r="R168" s="212"/>
    </row>
    <row r="169" spans="1:18">
      <c r="A169" s="171" t="s">
        <v>18</v>
      </c>
      <c r="C169" s="156">
        <v>0</v>
      </c>
      <c r="E169" s="193">
        <v>-0.96</v>
      </c>
      <c r="F169" s="193"/>
      <c r="G169" s="157">
        <v>0</v>
      </c>
      <c r="I169" s="12"/>
      <c r="J169" s="172"/>
      <c r="M169" s="175"/>
      <c r="N169" s="172"/>
      <c r="Q169" s="212"/>
      <c r="R169" s="212"/>
    </row>
    <row r="170" spans="1:18" ht="16.5" thickBot="1">
      <c r="A170" s="171" t="s">
        <v>15</v>
      </c>
      <c r="C170" s="221">
        <v>24159956.617690787</v>
      </c>
      <c r="E170" s="200"/>
      <c r="G170" s="208">
        <v>2445461</v>
      </c>
      <c r="I170" s="211"/>
      <c r="K170" s="208">
        <f>SUM(K161:K169)</f>
        <v>-1426.0693999999999</v>
      </c>
      <c r="M170" s="211"/>
      <c r="O170" s="208">
        <f>SUM(O161:O169)</f>
        <v>-1426.0693999999999</v>
      </c>
      <c r="Q170" s="212"/>
      <c r="R170" s="212"/>
    </row>
    <row r="171" spans="1:18" ht="16.5" thickTop="1">
      <c r="I171" s="11"/>
      <c r="J171" s="12"/>
      <c r="M171" s="11"/>
      <c r="N171" s="12"/>
      <c r="Q171" s="212"/>
      <c r="R171" s="212"/>
    </row>
    <row r="172" spans="1:18">
      <c r="A172" s="167" t="s">
        <v>175</v>
      </c>
      <c r="D172" s="193"/>
      <c r="Q172" s="212"/>
      <c r="R172" s="212"/>
    </row>
    <row r="173" spans="1:18">
      <c r="A173" s="171" t="s">
        <v>7</v>
      </c>
      <c r="C173" s="156">
        <v>192</v>
      </c>
      <c r="E173" s="172">
        <v>53</v>
      </c>
      <c r="F173" s="172"/>
      <c r="G173" s="157">
        <v>10176</v>
      </c>
      <c r="I173" s="12"/>
      <c r="J173" s="172"/>
      <c r="M173" s="175"/>
      <c r="N173" s="172"/>
      <c r="Q173" s="212"/>
      <c r="R173" s="212"/>
    </row>
    <row r="174" spans="1:18">
      <c r="A174" s="171" t="s">
        <v>19</v>
      </c>
      <c r="C174" s="156">
        <v>0</v>
      </c>
      <c r="D174" s="193"/>
      <c r="E174" s="172">
        <v>636</v>
      </c>
      <c r="F174" s="172"/>
      <c r="G174" s="157">
        <v>0</v>
      </c>
      <c r="I174" s="12"/>
      <c r="J174" s="172"/>
      <c r="M174" s="175"/>
      <c r="N174" s="172"/>
      <c r="Q174" s="212"/>
      <c r="R174" s="212"/>
    </row>
    <row r="175" spans="1:18">
      <c r="A175" s="171" t="s">
        <v>28</v>
      </c>
      <c r="C175" s="156">
        <v>14844</v>
      </c>
      <c r="E175" s="172">
        <v>3.99</v>
      </c>
      <c r="F175" s="172"/>
      <c r="G175" s="157">
        <v>59228</v>
      </c>
      <c r="I175" s="12"/>
      <c r="J175" s="172"/>
      <c r="M175" s="175"/>
      <c r="N175" s="172"/>
      <c r="Q175" s="212"/>
      <c r="R175" s="212"/>
    </row>
    <row r="176" spans="1:18">
      <c r="A176" s="171" t="s">
        <v>240</v>
      </c>
      <c r="C176" s="156">
        <v>4915</v>
      </c>
      <c r="E176" s="193">
        <v>13.27</v>
      </c>
      <c r="F176" s="193"/>
      <c r="G176" s="157">
        <v>65222</v>
      </c>
      <c r="I176" s="12">
        <f t="shared" ref="I176:I179" si="26">I$139</f>
        <v>-6.9999999999999999E-4</v>
      </c>
      <c r="J176" s="172"/>
      <c r="K176" s="157">
        <f t="shared" ref="K176:K179" si="27">$G176*I176</f>
        <v>-45.6554</v>
      </c>
      <c r="M176" s="12">
        <f t="shared" ref="M176:M179" si="28">M$139</f>
        <v>-6.9999999999999999E-4</v>
      </c>
      <c r="N176" s="172"/>
      <c r="O176" s="157">
        <f t="shared" ref="O176:O179" si="29">$G176*M176</f>
        <v>-45.6554</v>
      </c>
      <c r="Q176" s="212"/>
      <c r="R176" s="212"/>
    </row>
    <row r="177" spans="1:18">
      <c r="A177" s="171" t="s">
        <v>241</v>
      </c>
      <c r="C177" s="156">
        <v>6971</v>
      </c>
      <c r="E177" s="193">
        <v>11.74</v>
      </c>
      <c r="F177" s="193"/>
      <c r="G177" s="157">
        <v>81840</v>
      </c>
      <c r="I177" s="12">
        <f t="shared" si="26"/>
        <v>-6.9999999999999999E-4</v>
      </c>
      <c r="J177" s="172"/>
      <c r="K177" s="157">
        <f t="shared" si="27"/>
        <v>-57.287999999999997</v>
      </c>
      <c r="M177" s="12">
        <f t="shared" si="28"/>
        <v>-6.9999999999999999E-4</v>
      </c>
      <c r="N177" s="172"/>
      <c r="O177" s="157">
        <f t="shared" si="29"/>
        <v>-57.287999999999997</v>
      </c>
      <c r="Q177" s="212"/>
      <c r="R177" s="212"/>
    </row>
    <row r="178" spans="1:18">
      <c r="A178" s="171" t="s">
        <v>235</v>
      </c>
      <c r="C178" s="156">
        <v>1281170</v>
      </c>
      <c r="E178" s="209">
        <v>3.8877999999999999</v>
      </c>
      <c r="F178" s="182" t="s">
        <v>10</v>
      </c>
      <c r="G178" s="157">
        <v>49809</v>
      </c>
      <c r="I178" s="12">
        <f t="shared" si="26"/>
        <v>-6.9999999999999999E-4</v>
      </c>
      <c r="J178" s="172"/>
      <c r="K178" s="157">
        <f t="shared" si="27"/>
        <v>-34.866300000000003</v>
      </c>
      <c r="M178" s="12">
        <f t="shared" si="28"/>
        <v>-6.9999999999999999E-4</v>
      </c>
      <c r="N178" s="172"/>
      <c r="O178" s="157">
        <f t="shared" si="29"/>
        <v>-34.866300000000003</v>
      </c>
      <c r="Q178" s="212"/>
      <c r="R178" s="212"/>
    </row>
    <row r="179" spans="1:18">
      <c r="A179" s="171" t="s">
        <v>236</v>
      </c>
      <c r="C179" s="156">
        <v>2099521</v>
      </c>
      <c r="E179" s="209">
        <v>3.4405000000000001</v>
      </c>
      <c r="F179" s="182" t="s">
        <v>10</v>
      </c>
      <c r="G179" s="157">
        <v>72234</v>
      </c>
      <c r="I179" s="12">
        <f t="shared" si="26"/>
        <v>-6.9999999999999999E-4</v>
      </c>
      <c r="J179" s="172"/>
      <c r="K179" s="157">
        <f t="shared" si="27"/>
        <v>-50.563800000000001</v>
      </c>
      <c r="M179" s="12">
        <f t="shared" si="28"/>
        <v>-6.9999999999999999E-4</v>
      </c>
      <c r="N179" s="172"/>
      <c r="O179" s="157">
        <f t="shared" si="29"/>
        <v>-50.563800000000001</v>
      </c>
      <c r="Q179" s="212"/>
      <c r="R179" s="212"/>
    </row>
    <row r="180" spans="1:18">
      <c r="A180" s="171" t="s">
        <v>18</v>
      </c>
      <c r="C180" s="156">
        <v>0</v>
      </c>
      <c r="E180" s="172">
        <v>-0.96</v>
      </c>
      <c r="F180" s="172"/>
      <c r="G180" s="157">
        <v>0</v>
      </c>
      <c r="I180" s="12"/>
      <c r="J180" s="172"/>
      <c r="M180" s="175"/>
      <c r="N180" s="172"/>
      <c r="Q180" s="212"/>
      <c r="R180" s="212"/>
    </row>
    <row r="181" spans="1:18" ht="16.5" thickBot="1">
      <c r="A181" s="171" t="s">
        <v>15</v>
      </c>
      <c r="C181" s="221">
        <v>3380691</v>
      </c>
      <c r="E181" s="200"/>
      <c r="G181" s="208">
        <v>338509</v>
      </c>
      <c r="I181" s="211"/>
      <c r="K181" s="208">
        <f>SUM(K172:K180)</f>
        <v>-188.37349999999998</v>
      </c>
      <c r="M181" s="211"/>
      <c r="O181" s="208">
        <f>SUM(O172:O180)</f>
        <v>-188.37349999999998</v>
      </c>
      <c r="Q181" s="212"/>
      <c r="R181" s="212"/>
    </row>
    <row r="182" spans="1:18" ht="16.5" thickTop="1">
      <c r="I182" s="12"/>
      <c r="J182" s="172"/>
      <c r="M182" s="175"/>
      <c r="N182" s="172"/>
      <c r="Q182" s="212"/>
      <c r="R182" s="212"/>
    </row>
    <row r="183" spans="1:18">
      <c r="A183" s="167" t="s">
        <v>222</v>
      </c>
      <c r="I183" s="12"/>
      <c r="J183" s="172"/>
      <c r="M183" s="175"/>
      <c r="N183" s="172"/>
    </row>
    <row r="184" spans="1:18">
      <c r="A184" s="171" t="s">
        <v>7</v>
      </c>
      <c r="C184" s="156">
        <v>16184.594130320329</v>
      </c>
      <c r="E184" s="172">
        <v>53</v>
      </c>
      <c r="F184" s="172"/>
      <c r="G184" s="157">
        <v>857783</v>
      </c>
      <c r="I184" s="12"/>
      <c r="J184" s="172"/>
      <c r="M184" s="175"/>
      <c r="N184" s="172"/>
    </row>
    <row r="185" spans="1:18">
      <c r="A185" s="171" t="s">
        <v>223</v>
      </c>
      <c r="C185" s="156">
        <v>22837905.528605085</v>
      </c>
      <c r="D185" s="193"/>
      <c r="E185" s="222">
        <v>22.156199999999998</v>
      </c>
      <c r="F185" s="182" t="s">
        <v>10</v>
      </c>
      <c r="G185" s="157">
        <v>5060012</v>
      </c>
      <c r="I185" s="12">
        <f t="shared" ref="I185:I192" si="30">I$284</f>
        <v>-8.9999999999999998E-4</v>
      </c>
      <c r="J185" s="172"/>
      <c r="K185" s="157">
        <f t="shared" ref="K185:K192" si="31">$G185*I185</f>
        <v>-4554.0108</v>
      </c>
      <c r="M185" s="12">
        <f t="shared" ref="M185:M192" si="32">M$284</f>
        <v>-5.0000000000000001E-4</v>
      </c>
      <c r="N185" s="172"/>
      <c r="O185" s="157">
        <f t="shared" ref="O185:O192" si="33">$G185*M185</f>
        <v>-2530.0059999999999</v>
      </c>
    </row>
    <row r="186" spans="1:18">
      <c r="A186" s="171" t="s">
        <v>224</v>
      </c>
      <c r="C186" s="156">
        <v>52553411.422486275</v>
      </c>
      <c r="D186" s="193"/>
      <c r="E186" s="222">
        <v>4.309899999999999</v>
      </c>
      <c r="F186" s="182" t="s">
        <v>10</v>
      </c>
      <c r="G186" s="157">
        <v>2264999</v>
      </c>
      <c r="I186" s="12">
        <f t="shared" si="30"/>
        <v>-8.9999999999999998E-4</v>
      </c>
      <c r="J186" s="172"/>
      <c r="K186" s="157">
        <f t="shared" si="31"/>
        <v>-2038.4991</v>
      </c>
      <c r="M186" s="12">
        <f t="shared" si="32"/>
        <v>-5.0000000000000001E-4</v>
      </c>
      <c r="N186" s="172"/>
      <c r="O186" s="157">
        <f t="shared" si="33"/>
        <v>-1132.4995000000001</v>
      </c>
    </row>
    <row r="187" spans="1:18">
      <c r="A187" s="171" t="s">
        <v>225</v>
      </c>
      <c r="C187" s="156">
        <v>39702141.256844603</v>
      </c>
      <c r="D187" s="193"/>
      <c r="E187" s="222">
        <v>19.607299999999999</v>
      </c>
      <c r="F187" s="182" t="s">
        <v>10</v>
      </c>
      <c r="G187" s="157">
        <v>7784518</v>
      </c>
      <c r="I187" s="12">
        <f t="shared" si="30"/>
        <v>-8.9999999999999998E-4</v>
      </c>
      <c r="J187" s="172"/>
      <c r="K187" s="157">
        <f t="shared" si="31"/>
        <v>-7006.0662000000002</v>
      </c>
      <c r="M187" s="12">
        <f t="shared" si="32"/>
        <v>-5.0000000000000001E-4</v>
      </c>
      <c r="N187" s="172"/>
      <c r="O187" s="157">
        <f t="shared" si="33"/>
        <v>-3892.259</v>
      </c>
    </row>
    <row r="188" spans="1:18">
      <c r="A188" s="171" t="s">
        <v>226</v>
      </c>
      <c r="C188" s="156">
        <v>93250801.351241559</v>
      </c>
      <c r="D188" s="193"/>
      <c r="E188" s="222">
        <v>3.8140999999999989</v>
      </c>
      <c r="F188" s="182" t="s">
        <v>10</v>
      </c>
      <c r="G188" s="157">
        <v>3556679</v>
      </c>
      <c r="I188" s="12">
        <f t="shared" si="30"/>
        <v>-8.9999999999999998E-4</v>
      </c>
      <c r="J188" s="172"/>
      <c r="K188" s="157">
        <f t="shared" si="31"/>
        <v>-3201.0110999999997</v>
      </c>
      <c r="M188" s="12">
        <f t="shared" si="32"/>
        <v>-5.0000000000000001E-4</v>
      </c>
      <c r="N188" s="172"/>
      <c r="O188" s="157">
        <f t="shared" si="33"/>
        <v>-1778.3395</v>
      </c>
    </row>
    <row r="189" spans="1:18">
      <c r="A189" s="171" t="s">
        <v>227</v>
      </c>
      <c r="C189" s="156">
        <v>41868605.849641204</v>
      </c>
      <c r="D189" s="193"/>
      <c r="E189" s="222">
        <v>6</v>
      </c>
      <c r="F189" s="182" t="s">
        <v>10</v>
      </c>
      <c r="G189" s="157">
        <v>2512116</v>
      </c>
      <c r="I189" s="12">
        <f t="shared" si="30"/>
        <v>-8.9999999999999998E-4</v>
      </c>
      <c r="J189" s="172"/>
      <c r="K189" s="157">
        <f t="shared" si="31"/>
        <v>-2260.9043999999999</v>
      </c>
      <c r="M189" s="12">
        <f t="shared" si="32"/>
        <v>-5.0000000000000001E-4</v>
      </c>
      <c r="N189" s="172"/>
      <c r="O189" s="157">
        <f t="shared" si="33"/>
        <v>-1256.058</v>
      </c>
    </row>
    <row r="190" spans="1:18">
      <c r="A190" s="171" t="s">
        <v>228</v>
      </c>
      <c r="C190" s="156">
        <v>33522711.101450153</v>
      </c>
      <c r="D190" s="193"/>
      <c r="E190" s="222">
        <v>-2.335799999999999</v>
      </c>
      <c r="F190" s="182" t="s">
        <v>10</v>
      </c>
      <c r="G190" s="157">
        <v>-783023</v>
      </c>
      <c r="I190" s="12">
        <f t="shared" si="30"/>
        <v>-8.9999999999999998E-4</v>
      </c>
      <c r="J190" s="172"/>
      <c r="K190" s="157">
        <f t="shared" si="31"/>
        <v>704.72069999999997</v>
      </c>
      <c r="M190" s="12">
        <f t="shared" si="32"/>
        <v>-5.0000000000000001E-4</v>
      </c>
      <c r="N190" s="172"/>
      <c r="O190" s="157">
        <f t="shared" si="33"/>
        <v>391.51150000000001</v>
      </c>
    </row>
    <row r="191" spans="1:18">
      <c r="A191" s="171" t="s">
        <v>229</v>
      </c>
      <c r="C191" s="156">
        <v>73835483.656813219</v>
      </c>
      <c r="D191" s="193"/>
      <c r="E191" s="222">
        <v>5.3097000000000003</v>
      </c>
      <c r="F191" s="182" t="s">
        <v>10</v>
      </c>
      <c r="G191" s="157">
        <v>3920443</v>
      </c>
      <c r="I191" s="12">
        <f t="shared" si="30"/>
        <v>-8.9999999999999998E-4</v>
      </c>
      <c r="J191" s="172"/>
      <c r="K191" s="157">
        <f t="shared" si="31"/>
        <v>-3528.3986999999997</v>
      </c>
      <c r="M191" s="12">
        <f t="shared" si="32"/>
        <v>-5.0000000000000001E-4</v>
      </c>
      <c r="N191" s="172"/>
      <c r="O191" s="157">
        <f t="shared" si="33"/>
        <v>-1960.2215000000001</v>
      </c>
    </row>
    <row r="192" spans="1:18">
      <c r="A192" s="171" t="s">
        <v>230</v>
      </c>
      <c r="C192" s="156">
        <v>59117458.951272905</v>
      </c>
      <c r="D192" s="193"/>
      <c r="E192" s="222">
        <v>-2.0670999999999999</v>
      </c>
      <c r="F192" s="182" t="s">
        <v>10</v>
      </c>
      <c r="G192" s="157">
        <v>-1222017</v>
      </c>
      <c r="I192" s="12">
        <f t="shared" si="30"/>
        <v>-8.9999999999999998E-4</v>
      </c>
      <c r="J192" s="172"/>
      <c r="K192" s="157">
        <f t="shared" si="31"/>
        <v>1099.8153</v>
      </c>
      <c r="M192" s="12">
        <f t="shared" si="32"/>
        <v>-5.0000000000000001E-4</v>
      </c>
      <c r="N192" s="172"/>
      <c r="O192" s="157">
        <f t="shared" si="33"/>
        <v>611.00850000000003</v>
      </c>
    </row>
    <row r="193" spans="1:15">
      <c r="A193" s="171" t="s">
        <v>18</v>
      </c>
      <c r="C193" s="156">
        <v>56872.363899238364</v>
      </c>
      <c r="E193" s="172">
        <v>-0.61</v>
      </c>
      <c r="F193" s="172"/>
      <c r="G193" s="157">
        <v>-34692</v>
      </c>
      <c r="I193" s="12"/>
      <c r="J193" s="172"/>
      <c r="M193" s="175"/>
      <c r="N193" s="172"/>
    </row>
    <row r="194" spans="1:15">
      <c r="A194" s="189" t="s">
        <v>214</v>
      </c>
      <c r="C194" s="156">
        <v>758838.16754595097</v>
      </c>
      <c r="E194" s="209">
        <v>7.125</v>
      </c>
      <c r="F194" s="182" t="s">
        <v>10</v>
      </c>
      <c r="G194" s="157">
        <v>54067</v>
      </c>
      <c r="I194" s="12"/>
      <c r="J194" s="172"/>
      <c r="M194" s="175"/>
      <c r="N194" s="172"/>
    </row>
    <row r="195" spans="1:15">
      <c r="A195" s="171" t="s">
        <v>231</v>
      </c>
      <c r="C195" s="156">
        <v>209103097.7267234</v>
      </c>
      <c r="E195" s="172"/>
      <c r="F195" s="172"/>
      <c r="G195" s="157">
        <v>23970885</v>
      </c>
      <c r="I195" s="103"/>
      <c r="J195" s="172"/>
      <c r="K195" s="223">
        <f>SUM(K185:K194)</f>
        <v>-20784.354300000003</v>
      </c>
      <c r="M195" s="175"/>
      <c r="N195" s="172"/>
      <c r="O195" s="223">
        <f>SUM(O185:O194)</f>
        <v>-11546.863499999999</v>
      </c>
    </row>
    <row r="196" spans="1:15">
      <c r="A196" s="171"/>
      <c r="E196" s="172"/>
      <c r="F196" s="172"/>
      <c r="I196" s="12"/>
      <c r="J196" s="172"/>
      <c r="M196" s="175"/>
      <c r="N196" s="172"/>
    </row>
    <row r="197" spans="1:15">
      <c r="A197" s="171" t="s">
        <v>7</v>
      </c>
      <c r="C197" s="156">
        <v>16184.594130320329</v>
      </c>
      <c r="E197" s="172">
        <v>53</v>
      </c>
      <c r="F197" s="172"/>
      <c r="G197" s="157">
        <v>857783</v>
      </c>
      <c r="I197" s="12"/>
      <c r="J197" s="172"/>
      <c r="M197" s="175"/>
      <c r="N197" s="172"/>
    </row>
    <row r="198" spans="1:15">
      <c r="A198" s="171" t="s">
        <v>19</v>
      </c>
      <c r="C198" s="156">
        <v>0</v>
      </c>
      <c r="E198" s="172">
        <v>636</v>
      </c>
      <c r="F198" s="172"/>
      <c r="G198" s="157">
        <v>0</v>
      </c>
    </row>
    <row r="199" spans="1:15">
      <c r="A199" s="171" t="s">
        <v>232</v>
      </c>
      <c r="C199" s="156">
        <v>0</v>
      </c>
      <c r="E199" s="193">
        <v>53</v>
      </c>
      <c r="F199" s="193"/>
      <c r="G199" s="157">
        <v>0</v>
      </c>
    </row>
    <row r="200" spans="1:15">
      <c r="A200" s="171" t="s">
        <v>28</v>
      </c>
      <c r="C200" s="156">
        <v>1281154</v>
      </c>
      <c r="E200" s="172">
        <v>3.99</v>
      </c>
      <c r="F200" s="172"/>
      <c r="G200" s="157">
        <v>5111804</v>
      </c>
    </row>
    <row r="201" spans="1:15">
      <c r="A201" s="171" t="s">
        <v>233</v>
      </c>
      <c r="C201" s="156">
        <v>467710</v>
      </c>
      <c r="E201" s="193">
        <v>13.27</v>
      </c>
      <c r="F201" s="193"/>
      <c r="G201" s="157">
        <v>6206512</v>
      </c>
      <c r="I201" s="12">
        <f t="shared" ref="I201:I204" si="34">I$139</f>
        <v>-6.9999999999999999E-4</v>
      </c>
      <c r="J201" s="172"/>
      <c r="K201" s="157">
        <f>$G201*I201</f>
        <v>-4344.5583999999999</v>
      </c>
      <c r="M201" s="12">
        <f t="shared" ref="M201:M204" si="35">M$139</f>
        <v>-6.9999999999999999E-4</v>
      </c>
      <c r="N201" s="172"/>
      <c r="O201" s="157">
        <f>$G201*M201</f>
        <v>-4344.5583999999999</v>
      </c>
    </row>
    <row r="202" spans="1:15">
      <c r="A202" s="171" t="s">
        <v>234</v>
      </c>
      <c r="C202" s="156">
        <v>813444</v>
      </c>
      <c r="E202" s="193">
        <v>11.74</v>
      </c>
      <c r="F202" s="193"/>
      <c r="G202" s="157">
        <v>9549833</v>
      </c>
      <c r="I202" s="12">
        <f t="shared" si="34"/>
        <v>-6.9999999999999999E-4</v>
      </c>
      <c r="J202" s="172"/>
      <c r="K202" s="157">
        <f>$G202*I202</f>
        <v>-6684.8831</v>
      </c>
      <c r="M202" s="12">
        <f t="shared" si="35"/>
        <v>-6.9999999999999999E-4</v>
      </c>
      <c r="N202" s="172"/>
      <c r="O202" s="157">
        <f>$G202*M202</f>
        <v>-6684.8831</v>
      </c>
    </row>
    <row r="203" spans="1:15">
      <c r="A203" s="171" t="s">
        <v>235</v>
      </c>
      <c r="C203" s="156">
        <v>75391316.726723433</v>
      </c>
      <c r="E203" s="209">
        <v>3.8877999999999999</v>
      </c>
      <c r="F203" s="182" t="s">
        <v>10</v>
      </c>
      <c r="G203" s="157">
        <v>2931064</v>
      </c>
      <c r="I203" s="12">
        <f t="shared" si="34"/>
        <v>-6.9999999999999999E-4</v>
      </c>
      <c r="J203" s="172"/>
      <c r="K203" s="157">
        <f>$G203*I203</f>
        <v>-2051.7447999999999</v>
      </c>
      <c r="M203" s="12">
        <f t="shared" si="35"/>
        <v>-6.9999999999999999E-4</v>
      </c>
      <c r="N203" s="172"/>
      <c r="O203" s="157">
        <f>$G203*M203</f>
        <v>-2051.7447999999999</v>
      </c>
    </row>
    <row r="204" spans="1:15">
      <c r="A204" s="171" t="s">
        <v>236</v>
      </c>
      <c r="C204" s="156">
        <v>132952943</v>
      </c>
      <c r="E204" s="209">
        <v>3.4405000000000001</v>
      </c>
      <c r="F204" s="182" t="s">
        <v>10</v>
      </c>
      <c r="G204" s="157">
        <v>4574246</v>
      </c>
      <c r="I204" s="12">
        <f t="shared" si="34"/>
        <v>-6.9999999999999999E-4</v>
      </c>
      <c r="J204" s="172"/>
      <c r="K204" s="157">
        <f>$G204*I204</f>
        <v>-3201.9722000000002</v>
      </c>
      <c r="M204" s="12">
        <f t="shared" si="35"/>
        <v>-6.9999999999999999E-4</v>
      </c>
      <c r="N204" s="172"/>
      <c r="O204" s="157">
        <f>$G204*M204</f>
        <v>-3201.9722000000002</v>
      </c>
    </row>
    <row r="205" spans="1:15">
      <c r="A205" s="171" t="s">
        <v>18</v>
      </c>
      <c r="C205" s="156">
        <v>56872.363899238364</v>
      </c>
      <c r="E205" s="172">
        <v>-0.96</v>
      </c>
      <c r="F205" s="172"/>
      <c r="G205" s="157">
        <v>-54597</v>
      </c>
    </row>
    <row r="206" spans="1:15">
      <c r="A206" s="189" t="s">
        <v>214</v>
      </c>
      <c r="C206" s="156">
        <v>758838</v>
      </c>
      <c r="E206" s="209">
        <v>7.125</v>
      </c>
      <c r="F206" s="182" t="s">
        <v>10</v>
      </c>
      <c r="G206" s="157">
        <v>54067</v>
      </c>
    </row>
    <row r="207" spans="1:15" ht="16.5" thickBot="1">
      <c r="A207" s="171" t="s">
        <v>15</v>
      </c>
      <c r="C207" s="221">
        <v>209103097.72672343</v>
      </c>
      <c r="E207" s="200"/>
      <c r="G207" s="208">
        <v>29230712</v>
      </c>
      <c r="I207" s="211"/>
      <c r="K207" s="208">
        <f>SUM(K201:K206)</f>
        <v>-16283.158500000001</v>
      </c>
      <c r="M207" s="211"/>
      <c r="O207" s="208">
        <f>SUM(O201:O206)</f>
        <v>-16283.158500000001</v>
      </c>
    </row>
    <row r="208" spans="1:15" ht="16.5" thickTop="1">
      <c r="I208" s="12"/>
      <c r="J208" s="172"/>
      <c r="M208" s="175"/>
      <c r="N208" s="172"/>
    </row>
    <row r="209" spans="1:15">
      <c r="A209" s="167" t="s">
        <v>237</v>
      </c>
      <c r="I209" s="175"/>
      <c r="J209" s="172"/>
      <c r="L209" s="193"/>
      <c r="M209" s="175"/>
      <c r="N209" s="172"/>
    </row>
    <row r="210" spans="1:15">
      <c r="A210" s="171" t="s">
        <v>7</v>
      </c>
      <c r="C210" s="156">
        <v>601.96638791828354</v>
      </c>
      <c r="E210" s="172">
        <v>53</v>
      </c>
      <c r="F210" s="172"/>
      <c r="G210" s="157">
        <v>31904</v>
      </c>
      <c r="I210" s="12"/>
      <c r="J210" s="172"/>
      <c r="L210" s="193"/>
      <c r="M210" s="175"/>
      <c r="N210" s="172"/>
    </row>
    <row r="211" spans="1:15">
      <c r="A211" s="171" t="s">
        <v>223</v>
      </c>
      <c r="C211" s="156">
        <v>617625.15581650264</v>
      </c>
      <c r="D211" s="193"/>
      <c r="E211" s="222">
        <v>22.156199999999998</v>
      </c>
      <c r="F211" s="182" t="s">
        <v>10</v>
      </c>
      <c r="G211" s="157">
        <v>136842</v>
      </c>
      <c r="I211" s="12">
        <f t="shared" ref="I211:I218" si="36">I$284</f>
        <v>-8.9999999999999998E-4</v>
      </c>
      <c r="J211" s="172"/>
      <c r="K211" s="157">
        <f t="shared" ref="K211:K218" si="37">$G211*I211</f>
        <v>-123.15779999999999</v>
      </c>
      <c r="M211" s="12">
        <f t="shared" ref="M211:M218" si="38">M$284</f>
        <v>-5.0000000000000001E-4</v>
      </c>
      <c r="N211" s="172"/>
      <c r="O211" s="157">
        <f t="shared" ref="O211:O218" si="39">$G211*M211</f>
        <v>-68.421000000000006</v>
      </c>
    </row>
    <row r="212" spans="1:15">
      <c r="A212" s="171" t="s">
        <v>224</v>
      </c>
      <c r="C212" s="156">
        <v>1470157.0589540326</v>
      </c>
      <c r="D212" s="193"/>
      <c r="E212" s="222">
        <v>4.309899999999999</v>
      </c>
      <c r="F212" s="182" t="s">
        <v>10</v>
      </c>
      <c r="G212" s="157">
        <v>63362</v>
      </c>
      <c r="I212" s="12">
        <f t="shared" si="36"/>
        <v>-8.9999999999999998E-4</v>
      </c>
      <c r="J212" s="172"/>
      <c r="K212" s="157">
        <f t="shared" si="37"/>
        <v>-57.025799999999997</v>
      </c>
      <c r="M212" s="12">
        <f t="shared" si="38"/>
        <v>-5.0000000000000001E-4</v>
      </c>
      <c r="N212" s="172"/>
      <c r="O212" s="157">
        <f t="shared" si="39"/>
        <v>-31.681000000000001</v>
      </c>
    </row>
    <row r="213" spans="1:15">
      <c r="A213" s="171" t="s">
        <v>225</v>
      </c>
      <c r="C213" s="156">
        <v>1069622.9798240834</v>
      </c>
      <c r="D213" s="193"/>
      <c r="E213" s="222">
        <v>19.607299999999999</v>
      </c>
      <c r="F213" s="182" t="s">
        <v>10</v>
      </c>
      <c r="G213" s="157">
        <v>209724</v>
      </c>
      <c r="I213" s="12">
        <f t="shared" si="36"/>
        <v>-8.9999999999999998E-4</v>
      </c>
      <c r="J213" s="172"/>
      <c r="K213" s="157">
        <f t="shared" si="37"/>
        <v>-188.7516</v>
      </c>
      <c r="M213" s="12">
        <f t="shared" si="38"/>
        <v>-5.0000000000000001E-4</v>
      </c>
      <c r="N213" s="172"/>
      <c r="O213" s="157">
        <f t="shared" si="39"/>
        <v>-104.86200000000001</v>
      </c>
    </row>
    <row r="214" spans="1:15">
      <c r="A214" s="171" t="s">
        <v>226</v>
      </c>
      <c r="C214" s="156">
        <v>2803065.8686222499</v>
      </c>
      <c r="D214" s="193"/>
      <c r="E214" s="222">
        <v>3.8140999999999989</v>
      </c>
      <c r="F214" s="182" t="s">
        <v>10</v>
      </c>
      <c r="G214" s="157">
        <v>106912</v>
      </c>
      <c r="I214" s="12">
        <f t="shared" si="36"/>
        <v>-8.9999999999999998E-4</v>
      </c>
      <c r="J214" s="172"/>
      <c r="K214" s="157">
        <f t="shared" si="37"/>
        <v>-96.220799999999997</v>
      </c>
      <c r="M214" s="12">
        <f t="shared" si="38"/>
        <v>-5.0000000000000001E-4</v>
      </c>
      <c r="N214" s="172"/>
      <c r="O214" s="157">
        <f t="shared" si="39"/>
        <v>-53.456000000000003</v>
      </c>
    </row>
    <row r="215" spans="1:15">
      <c r="A215" s="171" t="s">
        <v>227</v>
      </c>
      <c r="C215" s="156">
        <v>1159450.9047616925</v>
      </c>
      <c r="D215" s="193"/>
      <c r="E215" s="222">
        <v>6</v>
      </c>
      <c r="F215" s="182" t="s">
        <v>10</v>
      </c>
      <c r="G215" s="157">
        <v>69567</v>
      </c>
      <c r="I215" s="12">
        <f t="shared" si="36"/>
        <v>-8.9999999999999998E-4</v>
      </c>
      <c r="J215" s="172"/>
      <c r="K215" s="157">
        <f t="shared" si="37"/>
        <v>-62.610299999999995</v>
      </c>
      <c r="M215" s="12">
        <f t="shared" si="38"/>
        <v>-5.0000000000000001E-4</v>
      </c>
      <c r="N215" s="172"/>
      <c r="O215" s="157">
        <f t="shared" si="39"/>
        <v>-34.783500000000004</v>
      </c>
    </row>
    <row r="216" spans="1:15">
      <c r="A216" s="171" t="s">
        <v>228</v>
      </c>
      <c r="C216" s="156">
        <v>928331.31000884238</v>
      </c>
      <c r="D216" s="193"/>
      <c r="E216" s="222">
        <v>-2.335799999999999</v>
      </c>
      <c r="F216" s="182" t="s">
        <v>10</v>
      </c>
      <c r="G216" s="157">
        <v>-21684</v>
      </c>
      <c r="I216" s="12">
        <f t="shared" si="36"/>
        <v>-8.9999999999999998E-4</v>
      </c>
      <c r="J216" s="172"/>
      <c r="K216" s="157">
        <f t="shared" si="37"/>
        <v>19.515599999999999</v>
      </c>
      <c r="M216" s="12">
        <f t="shared" si="38"/>
        <v>-5.0000000000000001E-4</v>
      </c>
      <c r="N216" s="172"/>
      <c r="O216" s="157">
        <f t="shared" si="39"/>
        <v>10.842000000000001</v>
      </c>
    </row>
    <row r="217" spans="1:15">
      <c r="A217" s="171" t="s">
        <v>229</v>
      </c>
      <c r="C217" s="156">
        <v>2150699.7029788997</v>
      </c>
      <c r="D217" s="193"/>
      <c r="E217" s="222">
        <v>5.3097000000000003</v>
      </c>
      <c r="F217" s="182" t="s">
        <v>10</v>
      </c>
      <c r="G217" s="157">
        <v>114196</v>
      </c>
      <c r="I217" s="12">
        <f t="shared" si="36"/>
        <v>-8.9999999999999998E-4</v>
      </c>
      <c r="J217" s="172"/>
      <c r="K217" s="157">
        <f t="shared" si="37"/>
        <v>-102.7764</v>
      </c>
      <c r="M217" s="12">
        <f t="shared" si="38"/>
        <v>-5.0000000000000001E-4</v>
      </c>
      <c r="N217" s="172"/>
      <c r="O217" s="157">
        <f t="shared" si="39"/>
        <v>-57.097999999999999</v>
      </c>
    </row>
    <row r="218" spans="1:15">
      <c r="A218" s="171" t="s">
        <v>230</v>
      </c>
      <c r="C218" s="156">
        <v>1721989.1454674334</v>
      </c>
      <c r="D218" s="193"/>
      <c r="E218" s="222">
        <v>-2.0670999999999999</v>
      </c>
      <c r="F218" s="182" t="s">
        <v>10</v>
      </c>
      <c r="G218" s="157">
        <v>-35595</v>
      </c>
      <c r="I218" s="12">
        <f t="shared" si="36"/>
        <v>-8.9999999999999998E-4</v>
      </c>
      <c r="J218" s="172"/>
      <c r="K218" s="157">
        <f t="shared" si="37"/>
        <v>32.035499999999999</v>
      </c>
      <c r="M218" s="12">
        <f t="shared" si="38"/>
        <v>-5.0000000000000001E-4</v>
      </c>
      <c r="N218" s="172"/>
      <c r="O218" s="157">
        <f t="shared" si="39"/>
        <v>17.797499999999999</v>
      </c>
    </row>
    <row r="219" spans="1:15">
      <c r="A219" s="171" t="s">
        <v>18</v>
      </c>
      <c r="C219" s="156">
        <v>0</v>
      </c>
      <c r="E219" s="172">
        <v>-0.61</v>
      </c>
      <c r="F219" s="172"/>
      <c r="G219" s="157">
        <v>0</v>
      </c>
      <c r="I219" s="12"/>
      <c r="J219" s="172"/>
      <c r="M219" s="175"/>
      <c r="N219" s="172"/>
    </row>
    <row r="220" spans="1:15">
      <c r="A220" s="189" t="s">
        <v>214</v>
      </c>
      <c r="C220" s="156">
        <v>0</v>
      </c>
      <c r="E220" s="209">
        <v>7.125</v>
      </c>
      <c r="F220" s="182" t="s">
        <v>10</v>
      </c>
      <c r="G220" s="157">
        <v>0</v>
      </c>
      <c r="I220" s="12"/>
      <c r="J220" s="172"/>
      <c r="M220" s="175"/>
      <c r="N220" s="172"/>
    </row>
    <row r="221" spans="1:15">
      <c r="A221" s="171" t="s">
        <v>231</v>
      </c>
      <c r="C221" s="156">
        <v>5960471.0632168679</v>
      </c>
      <c r="E221" s="172"/>
      <c r="F221" s="172"/>
      <c r="G221" s="157">
        <v>675228</v>
      </c>
      <c r="I221" s="103"/>
      <c r="J221" s="172"/>
      <c r="K221" s="223">
        <f>SUM(K211:K220)</f>
        <v>-578.99160000000006</v>
      </c>
      <c r="M221" s="175"/>
      <c r="N221" s="172"/>
      <c r="O221" s="223">
        <f>SUM(O211:O220)</f>
        <v>-321.66200000000003</v>
      </c>
    </row>
    <row r="222" spans="1:15">
      <c r="A222" s="171"/>
      <c r="E222" s="172"/>
      <c r="F222" s="172"/>
      <c r="I222" s="12"/>
      <c r="J222" s="172"/>
      <c r="M222" s="175"/>
      <c r="N222" s="172"/>
    </row>
    <row r="223" spans="1:15">
      <c r="A223" s="171" t="s">
        <v>7</v>
      </c>
      <c r="C223" s="156">
        <v>601.96638791828354</v>
      </c>
      <c r="E223" s="172">
        <v>53</v>
      </c>
      <c r="F223" s="172"/>
      <c r="G223" s="157">
        <v>31904</v>
      </c>
      <c r="I223" s="12"/>
      <c r="J223" s="172"/>
      <c r="M223" s="175"/>
      <c r="N223" s="172"/>
    </row>
    <row r="224" spans="1:15">
      <c r="A224" s="171" t="s">
        <v>19</v>
      </c>
      <c r="C224" s="156">
        <v>0</v>
      </c>
      <c r="E224" s="172">
        <v>636</v>
      </c>
      <c r="F224" s="172"/>
      <c r="G224" s="157">
        <v>0</v>
      </c>
    </row>
    <row r="225" spans="1:18">
      <c r="A225" s="171" t="s">
        <v>232</v>
      </c>
      <c r="C225" s="156">
        <v>0</v>
      </c>
      <c r="E225" s="193">
        <v>53</v>
      </c>
      <c r="F225" s="193"/>
      <c r="G225" s="157">
        <v>0</v>
      </c>
    </row>
    <row r="226" spans="1:18">
      <c r="A226" s="171" t="s">
        <v>28</v>
      </c>
      <c r="C226" s="156">
        <v>42952</v>
      </c>
      <c r="E226" s="172">
        <v>3.99</v>
      </c>
      <c r="F226" s="172"/>
      <c r="G226" s="157">
        <v>171378</v>
      </c>
    </row>
    <row r="227" spans="1:18">
      <c r="A227" s="171" t="s">
        <v>233</v>
      </c>
      <c r="C227" s="156">
        <v>16126</v>
      </c>
      <c r="E227" s="193">
        <v>13.27</v>
      </c>
      <c r="F227" s="193"/>
      <c r="G227" s="157">
        <v>213992</v>
      </c>
      <c r="I227" s="12">
        <f>I$139</f>
        <v>-6.9999999999999999E-4</v>
      </c>
      <c r="J227" s="172"/>
      <c r="K227" s="157">
        <f>$G227*I227</f>
        <v>-149.7944</v>
      </c>
      <c r="M227" s="12">
        <f>M$139</f>
        <v>-6.9999999999999999E-4</v>
      </c>
      <c r="N227" s="172"/>
      <c r="O227" s="157">
        <f>$G227*M227</f>
        <v>-149.7944</v>
      </c>
    </row>
    <row r="228" spans="1:18">
      <c r="A228" s="171" t="s">
        <v>234</v>
      </c>
      <c r="C228" s="156">
        <v>26826</v>
      </c>
      <c r="E228" s="193">
        <v>11.74</v>
      </c>
      <c r="F228" s="193"/>
      <c r="G228" s="157">
        <v>314937</v>
      </c>
      <c r="I228" s="12">
        <f t="shared" ref="I228:I230" si="40">I$139</f>
        <v>-6.9999999999999999E-4</v>
      </c>
      <c r="J228" s="172"/>
      <c r="K228" s="157">
        <f>$G228*I228</f>
        <v>-220.45589999999999</v>
      </c>
      <c r="M228" s="12">
        <f t="shared" ref="M228:M230" si="41">M$139</f>
        <v>-6.9999999999999999E-4</v>
      </c>
      <c r="N228" s="172"/>
      <c r="O228" s="157">
        <f>$G228*M228</f>
        <v>-220.45589999999999</v>
      </c>
      <c r="Q228" s="154"/>
      <c r="R228" s="173"/>
    </row>
    <row r="229" spans="1:18">
      <c r="A229" s="171" t="s">
        <v>235</v>
      </c>
      <c r="C229" s="156">
        <v>2218023.3846987919</v>
      </c>
      <c r="E229" s="209">
        <v>3.8877999999999999</v>
      </c>
      <c r="F229" s="182" t="s">
        <v>10</v>
      </c>
      <c r="G229" s="157">
        <v>86232</v>
      </c>
      <c r="I229" s="12">
        <f t="shared" si="40"/>
        <v>-6.9999999999999999E-4</v>
      </c>
      <c r="J229" s="172"/>
      <c r="K229" s="157">
        <f>$G229*I229</f>
        <v>-60.362400000000001</v>
      </c>
      <c r="M229" s="12">
        <f t="shared" si="41"/>
        <v>-6.9999999999999999E-4</v>
      </c>
      <c r="N229" s="172"/>
      <c r="O229" s="157">
        <f>$G229*M229</f>
        <v>-60.362400000000001</v>
      </c>
      <c r="Q229" s="154"/>
      <c r="R229" s="173"/>
    </row>
    <row r="230" spans="1:18">
      <c r="A230" s="171" t="s">
        <v>236</v>
      </c>
      <c r="C230" s="156">
        <v>4105852</v>
      </c>
      <c r="E230" s="209">
        <v>3.4405000000000001</v>
      </c>
      <c r="F230" s="182" t="s">
        <v>10</v>
      </c>
      <c r="G230" s="157">
        <v>141262</v>
      </c>
      <c r="I230" s="12">
        <f t="shared" si="40"/>
        <v>-6.9999999999999999E-4</v>
      </c>
      <c r="J230" s="172"/>
      <c r="K230" s="157">
        <f>$G230*I230</f>
        <v>-98.883399999999995</v>
      </c>
      <c r="M230" s="12">
        <f t="shared" si="41"/>
        <v>-6.9999999999999999E-4</v>
      </c>
      <c r="N230" s="172"/>
      <c r="O230" s="157">
        <f>$G230*M230</f>
        <v>-98.883399999999995</v>
      </c>
      <c r="Q230" s="210"/>
      <c r="R230" s="173"/>
    </row>
    <row r="231" spans="1:18">
      <c r="A231" s="171" t="s">
        <v>18</v>
      </c>
      <c r="C231" s="156">
        <v>0</v>
      </c>
      <c r="E231" s="172">
        <v>-0.96</v>
      </c>
      <c r="F231" s="172"/>
      <c r="G231" s="157">
        <v>0</v>
      </c>
      <c r="I231" s="12"/>
      <c r="J231" s="182"/>
      <c r="M231" s="175"/>
      <c r="N231" s="182"/>
      <c r="Q231" s="154"/>
      <c r="R231" s="101"/>
    </row>
    <row r="232" spans="1:18" ht="16.5" thickBot="1">
      <c r="A232" s="171" t="s">
        <v>15</v>
      </c>
      <c r="C232" s="221">
        <v>6323875.3846987914</v>
      </c>
      <c r="E232" s="200"/>
      <c r="G232" s="208">
        <v>959705</v>
      </c>
      <c r="I232" s="211"/>
      <c r="K232" s="208">
        <f>SUM(K227:K231)</f>
        <v>-529.49609999999996</v>
      </c>
      <c r="M232" s="211"/>
      <c r="O232" s="208">
        <f>SUM(O227:O231)</f>
        <v>-529.49609999999996</v>
      </c>
    </row>
    <row r="233" spans="1:18" ht="16.5" thickTop="1"/>
    <row r="234" spans="1:18" hidden="1">
      <c r="A234" s="167" t="s">
        <v>238</v>
      </c>
    </row>
    <row r="235" spans="1:18" hidden="1">
      <c r="A235" s="171" t="s">
        <v>7</v>
      </c>
      <c r="C235" s="156">
        <v>157.84953632148375</v>
      </c>
      <c r="E235" s="172">
        <v>53</v>
      </c>
      <c r="F235" s="172"/>
      <c r="G235" s="157">
        <v>8366</v>
      </c>
    </row>
    <row r="236" spans="1:18" hidden="1">
      <c r="A236" s="171" t="s">
        <v>223</v>
      </c>
      <c r="C236" s="156">
        <v>446919.92134186177</v>
      </c>
      <c r="D236" s="193"/>
      <c r="E236" s="222">
        <v>22.156199999999998</v>
      </c>
      <c r="F236" s="182" t="s">
        <v>10</v>
      </c>
      <c r="G236" s="157">
        <v>99020</v>
      </c>
      <c r="I236" s="12">
        <f t="shared" ref="I236:I243" si="42">I$284</f>
        <v>-8.9999999999999998E-4</v>
      </c>
      <c r="J236" s="172"/>
      <c r="K236" s="157">
        <f t="shared" ref="K236:K243" si="43">$G236*I236</f>
        <v>-89.117999999999995</v>
      </c>
      <c r="M236" s="12">
        <f t="shared" ref="M236:M243" si="44">M$284</f>
        <v>-5.0000000000000001E-4</v>
      </c>
      <c r="N236" s="172"/>
      <c r="O236" s="157">
        <f t="shared" ref="O236:O243" si="45">$G236*M236</f>
        <v>-49.51</v>
      </c>
      <c r="Q236" s="154"/>
      <c r="R236" s="173"/>
    </row>
    <row r="237" spans="1:18" hidden="1">
      <c r="A237" s="171" t="s">
        <v>224</v>
      </c>
      <c r="C237" s="156">
        <v>1064811.2609841989</v>
      </c>
      <c r="D237" s="193"/>
      <c r="E237" s="222">
        <v>4.309899999999999</v>
      </c>
      <c r="F237" s="182" t="s">
        <v>10</v>
      </c>
      <c r="G237" s="157">
        <v>45892</v>
      </c>
      <c r="I237" s="12">
        <f t="shared" si="42"/>
        <v>-8.9999999999999998E-4</v>
      </c>
      <c r="J237" s="172"/>
      <c r="K237" s="157">
        <f t="shared" si="43"/>
        <v>-41.302799999999998</v>
      </c>
      <c r="M237" s="12">
        <f t="shared" si="44"/>
        <v>-5.0000000000000001E-4</v>
      </c>
      <c r="N237" s="172"/>
      <c r="O237" s="157">
        <f t="shared" si="45"/>
        <v>-22.946000000000002</v>
      </c>
      <c r="Q237" s="154"/>
      <c r="R237" s="173"/>
    </row>
    <row r="238" spans="1:18" hidden="1">
      <c r="A238" s="171" t="s">
        <v>225</v>
      </c>
      <c r="C238" s="156">
        <v>604584.22636234248</v>
      </c>
      <c r="D238" s="193"/>
      <c r="E238" s="222">
        <v>19.607299999999999</v>
      </c>
      <c r="F238" s="182" t="s">
        <v>10</v>
      </c>
      <c r="G238" s="157">
        <v>118543</v>
      </c>
      <c r="I238" s="12">
        <f t="shared" si="42"/>
        <v>-8.9999999999999998E-4</v>
      </c>
      <c r="J238" s="172"/>
      <c r="K238" s="157">
        <f t="shared" si="43"/>
        <v>-106.6887</v>
      </c>
      <c r="M238" s="12">
        <f t="shared" si="44"/>
        <v>-5.0000000000000001E-4</v>
      </c>
      <c r="N238" s="172"/>
      <c r="O238" s="157">
        <f t="shared" si="45"/>
        <v>-59.271500000000003</v>
      </c>
      <c r="Q238" s="210"/>
      <c r="R238" s="173"/>
    </row>
    <row r="239" spans="1:18" hidden="1">
      <c r="A239" s="171" t="s">
        <v>226</v>
      </c>
      <c r="C239" s="156">
        <v>1835924.9717515896</v>
      </c>
      <c r="D239" s="193"/>
      <c r="E239" s="222">
        <v>3.8140999999999989</v>
      </c>
      <c r="F239" s="182" t="s">
        <v>10</v>
      </c>
      <c r="G239" s="157">
        <v>70024</v>
      </c>
      <c r="I239" s="12">
        <f t="shared" si="42"/>
        <v>-8.9999999999999998E-4</v>
      </c>
      <c r="J239" s="172"/>
      <c r="K239" s="157">
        <f t="shared" si="43"/>
        <v>-63.021599999999999</v>
      </c>
      <c r="M239" s="12">
        <f t="shared" si="44"/>
        <v>-5.0000000000000001E-4</v>
      </c>
      <c r="N239" s="172"/>
      <c r="O239" s="157">
        <f t="shared" si="45"/>
        <v>-35.012</v>
      </c>
      <c r="Q239" s="154"/>
      <c r="R239" s="101"/>
    </row>
    <row r="240" spans="1:18" hidden="1">
      <c r="A240" s="171" t="s">
        <v>227</v>
      </c>
      <c r="C240" s="156">
        <v>839540.67368902243</v>
      </c>
      <c r="D240" s="193"/>
      <c r="E240" s="222">
        <v>6</v>
      </c>
      <c r="F240" s="182" t="s">
        <v>10</v>
      </c>
      <c r="G240" s="157">
        <v>50372</v>
      </c>
      <c r="I240" s="12">
        <f t="shared" si="42"/>
        <v>-8.9999999999999998E-4</v>
      </c>
      <c r="J240" s="172"/>
      <c r="K240" s="157">
        <f t="shared" si="43"/>
        <v>-45.334800000000001</v>
      </c>
      <c r="M240" s="12">
        <f t="shared" si="44"/>
        <v>-5.0000000000000001E-4</v>
      </c>
      <c r="N240" s="172"/>
      <c r="O240" s="157">
        <f t="shared" si="45"/>
        <v>-25.186</v>
      </c>
    </row>
    <row r="241" spans="1:15" hidden="1">
      <c r="A241" s="171" t="s">
        <v>228</v>
      </c>
      <c r="C241" s="156">
        <v>672190.50863703794</v>
      </c>
      <c r="D241" s="193"/>
      <c r="E241" s="222">
        <v>-2.335799999999999</v>
      </c>
      <c r="F241" s="182" t="s">
        <v>10</v>
      </c>
      <c r="G241" s="157">
        <v>-15701</v>
      </c>
      <c r="I241" s="12">
        <f t="shared" si="42"/>
        <v>-8.9999999999999998E-4</v>
      </c>
      <c r="J241" s="172"/>
      <c r="K241" s="157">
        <f t="shared" si="43"/>
        <v>14.1309</v>
      </c>
      <c r="M241" s="12">
        <f t="shared" si="44"/>
        <v>-5.0000000000000001E-4</v>
      </c>
      <c r="N241" s="172"/>
      <c r="O241" s="157">
        <f t="shared" si="45"/>
        <v>7.8505000000000003</v>
      </c>
    </row>
    <row r="242" spans="1:15" hidden="1">
      <c r="A242" s="171" t="s">
        <v>229</v>
      </c>
      <c r="C242" s="156">
        <v>1355338.0126592533</v>
      </c>
      <c r="D242" s="193"/>
      <c r="E242" s="222">
        <v>5.3097000000000003</v>
      </c>
      <c r="F242" s="182" t="s">
        <v>10</v>
      </c>
      <c r="G242" s="157">
        <v>71964</v>
      </c>
      <c r="I242" s="12">
        <f t="shared" si="42"/>
        <v>-8.9999999999999998E-4</v>
      </c>
      <c r="J242" s="172"/>
      <c r="K242" s="157">
        <f t="shared" si="43"/>
        <v>-64.767600000000002</v>
      </c>
      <c r="M242" s="12">
        <f t="shared" si="44"/>
        <v>-5.0000000000000001E-4</v>
      </c>
      <c r="N242" s="172"/>
      <c r="O242" s="157">
        <f t="shared" si="45"/>
        <v>-35.981999999999999</v>
      </c>
    </row>
    <row r="243" spans="1:15" hidden="1">
      <c r="A243" s="171" t="s">
        <v>230</v>
      </c>
      <c r="C243" s="156">
        <v>1085171.1854546787</v>
      </c>
      <c r="D243" s="193"/>
      <c r="E243" s="222">
        <v>-2.0670999999999999</v>
      </c>
      <c r="F243" s="182" t="s">
        <v>10</v>
      </c>
      <c r="G243" s="157">
        <v>-22432</v>
      </c>
      <c r="I243" s="12">
        <f t="shared" si="42"/>
        <v>-8.9999999999999998E-4</v>
      </c>
      <c r="J243" s="172"/>
      <c r="K243" s="157">
        <f t="shared" si="43"/>
        <v>20.188800000000001</v>
      </c>
      <c r="M243" s="12">
        <f t="shared" si="44"/>
        <v>-5.0000000000000001E-4</v>
      </c>
      <c r="N243" s="172"/>
      <c r="O243" s="157">
        <f t="shared" si="45"/>
        <v>11.216000000000001</v>
      </c>
    </row>
    <row r="244" spans="1:15" hidden="1">
      <c r="A244" s="171" t="s">
        <v>18</v>
      </c>
      <c r="C244" s="156">
        <v>0</v>
      </c>
      <c r="E244" s="172">
        <v>-0.61</v>
      </c>
      <c r="F244" s="172"/>
      <c r="G244" s="157">
        <v>0</v>
      </c>
    </row>
    <row r="245" spans="1:15" hidden="1">
      <c r="A245" s="189" t="s">
        <v>214</v>
      </c>
      <c r="C245" s="156">
        <v>0</v>
      </c>
      <c r="E245" s="209">
        <v>7.125</v>
      </c>
      <c r="F245" s="182" t="s">
        <v>10</v>
      </c>
      <c r="G245" s="157">
        <v>0</v>
      </c>
      <c r="J245" s="193"/>
      <c r="N245" s="193"/>
    </row>
    <row r="246" spans="1:15" hidden="1">
      <c r="A246" s="171" t="s">
        <v>231</v>
      </c>
      <c r="C246" s="156">
        <v>3952240.3804399925</v>
      </c>
      <c r="E246" s="172"/>
      <c r="F246" s="172"/>
      <c r="G246" s="157">
        <v>426048</v>
      </c>
      <c r="I246" s="103"/>
      <c r="J246" s="182"/>
      <c r="K246" s="223">
        <f>SUM(K236:K245)</f>
        <v>-375.91379999999992</v>
      </c>
      <c r="N246" s="182"/>
      <c r="O246" s="223">
        <f>SUM(O236:O245)</f>
        <v>-208.84100000000001</v>
      </c>
    </row>
    <row r="247" spans="1:15" hidden="1">
      <c r="A247" s="171"/>
      <c r="E247" s="172"/>
      <c r="F247" s="172"/>
    </row>
    <row r="248" spans="1:15">
      <c r="A248" s="171" t="s">
        <v>7</v>
      </c>
      <c r="C248" s="156">
        <v>157.84953632148375</v>
      </c>
      <c r="E248" s="193">
        <v>53</v>
      </c>
      <c r="F248" s="193"/>
      <c r="G248" s="157">
        <v>8366</v>
      </c>
    </row>
    <row r="249" spans="1:15">
      <c r="A249" s="171" t="s">
        <v>19</v>
      </c>
      <c r="C249" s="156">
        <v>0</v>
      </c>
      <c r="E249" s="193">
        <v>636</v>
      </c>
      <c r="F249" s="193"/>
      <c r="G249" s="157">
        <v>0</v>
      </c>
    </row>
    <row r="250" spans="1:15">
      <c r="A250" s="171" t="s">
        <v>205</v>
      </c>
      <c r="C250" s="156">
        <v>0</v>
      </c>
      <c r="E250" s="193">
        <v>53</v>
      </c>
      <c r="F250" s="193"/>
      <c r="G250" s="157">
        <v>0</v>
      </c>
      <c r="I250" s="12"/>
      <c r="J250" s="12"/>
      <c r="M250" s="12"/>
      <c r="N250" s="12"/>
    </row>
    <row r="251" spans="1:15">
      <c r="A251" s="171" t="s">
        <v>28</v>
      </c>
      <c r="C251" s="156">
        <v>21101</v>
      </c>
      <c r="E251" s="193">
        <v>3.99</v>
      </c>
      <c r="F251" s="193"/>
      <c r="G251" s="157">
        <v>84193</v>
      </c>
    </row>
    <row r="252" spans="1:15">
      <c r="A252" s="171" t="s">
        <v>233</v>
      </c>
      <c r="C252" s="156">
        <v>8990</v>
      </c>
      <c r="E252" s="193">
        <v>13.27</v>
      </c>
      <c r="F252" s="193"/>
      <c r="G252" s="157">
        <v>119297</v>
      </c>
      <c r="I252" s="12">
        <f t="shared" ref="I252:I255" si="46">I$139</f>
        <v>-6.9999999999999999E-4</v>
      </c>
      <c r="J252" s="172"/>
      <c r="K252" s="157">
        <f>$G252*I252</f>
        <v>-83.507899999999992</v>
      </c>
      <c r="M252" s="12">
        <f t="shared" ref="M252:M255" si="47">M$139</f>
        <v>-6.9999999999999999E-4</v>
      </c>
      <c r="N252" s="172"/>
      <c r="O252" s="157">
        <f>$G252*M252</f>
        <v>-83.507899999999992</v>
      </c>
    </row>
    <row r="253" spans="1:15">
      <c r="A253" s="171" t="s">
        <v>234</v>
      </c>
      <c r="C253" s="156">
        <v>12111</v>
      </c>
      <c r="E253" s="193">
        <v>11.74</v>
      </c>
      <c r="F253" s="193"/>
      <c r="G253" s="157">
        <v>142183</v>
      </c>
      <c r="I253" s="12">
        <f t="shared" si="46"/>
        <v>-6.9999999999999999E-4</v>
      </c>
      <c r="J253" s="172"/>
      <c r="K253" s="157">
        <f>$G253*I253</f>
        <v>-99.528099999999995</v>
      </c>
      <c r="M253" s="12">
        <f t="shared" si="47"/>
        <v>-6.9999999999999999E-4</v>
      </c>
      <c r="N253" s="172"/>
      <c r="O253" s="157">
        <f>$G253*M253</f>
        <v>-99.528099999999995</v>
      </c>
    </row>
    <row r="254" spans="1:15">
      <c r="A254" s="171" t="s">
        <v>235</v>
      </c>
      <c r="C254" s="156">
        <v>1511731.3804399925</v>
      </c>
      <c r="E254" s="209">
        <v>3.8877999999999999</v>
      </c>
      <c r="F254" s="182" t="s">
        <v>10</v>
      </c>
      <c r="G254" s="157">
        <v>58773</v>
      </c>
      <c r="I254" s="12">
        <f t="shared" si="46"/>
        <v>-6.9999999999999999E-4</v>
      </c>
      <c r="J254" s="172"/>
      <c r="K254" s="157">
        <f>$G254*I254</f>
        <v>-41.141100000000002</v>
      </c>
      <c r="M254" s="12">
        <f t="shared" si="47"/>
        <v>-6.9999999999999999E-4</v>
      </c>
      <c r="N254" s="172"/>
      <c r="O254" s="157">
        <f>$G254*M254</f>
        <v>-41.141100000000002</v>
      </c>
    </row>
    <row r="255" spans="1:15">
      <c r="A255" s="171" t="s">
        <v>236</v>
      </c>
      <c r="C255" s="156">
        <v>2440509</v>
      </c>
      <c r="E255" s="209">
        <v>3.4405000000000001</v>
      </c>
      <c r="F255" s="182" t="s">
        <v>10</v>
      </c>
      <c r="G255" s="157">
        <v>83966</v>
      </c>
      <c r="I255" s="12">
        <f t="shared" si="46"/>
        <v>-6.9999999999999999E-4</v>
      </c>
      <c r="J255" s="172"/>
      <c r="K255" s="157">
        <f>$G255*I255</f>
        <v>-58.776200000000003</v>
      </c>
      <c r="M255" s="12">
        <f t="shared" si="47"/>
        <v>-6.9999999999999999E-4</v>
      </c>
      <c r="N255" s="172"/>
      <c r="O255" s="157">
        <f>$G255*M255</f>
        <v>-58.776200000000003</v>
      </c>
    </row>
    <row r="256" spans="1:15">
      <c r="A256" s="171" t="s">
        <v>18</v>
      </c>
      <c r="C256" s="156">
        <v>0</v>
      </c>
      <c r="E256" s="193">
        <v>-0.96</v>
      </c>
      <c r="F256" s="193"/>
      <c r="G256" s="157">
        <v>0</v>
      </c>
      <c r="J256" s="193"/>
      <c r="N256" s="193"/>
    </row>
    <row r="257" spans="1:18" ht="16.5" thickBot="1">
      <c r="A257" s="171" t="s">
        <v>15</v>
      </c>
      <c r="C257" s="221">
        <v>3952240.3804399925</v>
      </c>
      <c r="E257" s="200"/>
      <c r="G257" s="208">
        <v>496778</v>
      </c>
      <c r="I257" s="211"/>
      <c r="K257" s="208">
        <f>SUM(K252:K256)</f>
        <v>-282.95330000000001</v>
      </c>
      <c r="M257" s="211"/>
      <c r="O257" s="208">
        <f>SUM(O252:O256)</f>
        <v>-282.95330000000001</v>
      </c>
    </row>
    <row r="258" spans="1:18" ht="16.5" thickTop="1">
      <c r="I258" s="12"/>
      <c r="J258" s="182"/>
      <c r="N258" s="182"/>
    </row>
    <row r="259" spans="1:18">
      <c r="A259" s="167" t="s">
        <v>239</v>
      </c>
      <c r="D259" s="193"/>
    </row>
    <row r="260" spans="1:18">
      <c r="A260" s="171" t="s">
        <v>7</v>
      </c>
      <c r="C260" s="156">
        <v>69.151622418879057</v>
      </c>
      <c r="E260" s="172">
        <v>53</v>
      </c>
      <c r="F260" s="172"/>
      <c r="G260" s="157">
        <v>3665</v>
      </c>
    </row>
    <row r="261" spans="1:18">
      <c r="A261" s="171" t="s">
        <v>223</v>
      </c>
      <c r="C261" s="156">
        <v>23181.405554894285</v>
      </c>
      <c r="D261" s="193"/>
      <c r="E261" s="222">
        <v>22.156199999999998</v>
      </c>
      <c r="F261" s="182" t="s">
        <v>10</v>
      </c>
      <c r="G261" s="157">
        <v>5136</v>
      </c>
      <c r="I261" s="12">
        <f t="shared" ref="I261:I268" si="48">I$284</f>
        <v>-8.9999999999999998E-4</v>
      </c>
      <c r="J261" s="172"/>
      <c r="K261" s="157">
        <f t="shared" ref="K261:K268" si="49">$G261*I261</f>
        <v>-4.6223999999999998</v>
      </c>
      <c r="M261" s="12">
        <f t="shared" ref="M261:M268" si="50">M$284</f>
        <v>-5.0000000000000001E-4</v>
      </c>
      <c r="N261" s="172"/>
      <c r="O261" s="157">
        <f t="shared" ref="O261:O268" si="51">$G261*M261</f>
        <v>-2.5680000000000001</v>
      </c>
    </row>
    <row r="262" spans="1:18">
      <c r="A262" s="171" t="s">
        <v>224</v>
      </c>
      <c r="C262" s="156">
        <v>32182.25158153542</v>
      </c>
      <c r="D262" s="193"/>
      <c r="E262" s="222">
        <v>4.309899999999999</v>
      </c>
      <c r="F262" s="182" t="s">
        <v>10</v>
      </c>
      <c r="G262" s="157">
        <v>1387</v>
      </c>
      <c r="I262" s="12">
        <f t="shared" si="48"/>
        <v>-8.9999999999999998E-4</v>
      </c>
      <c r="J262" s="172"/>
      <c r="K262" s="157">
        <f t="shared" si="49"/>
        <v>-1.2483</v>
      </c>
      <c r="M262" s="12">
        <f t="shared" si="50"/>
        <v>-5.0000000000000001E-4</v>
      </c>
      <c r="N262" s="172"/>
      <c r="O262" s="157">
        <f t="shared" si="51"/>
        <v>-0.69350000000000001</v>
      </c>
    </row>
    <row r="263" spans="1:18">
      <c r="A263" s="171" t="s">
        <v>225</v>
      </c>
      <c r="C263" s="156">
        <v>59234.229549653035</v>
      </c>
      <c r="D263" s="193"/>
      <c r="E263" s="222">
        <v>19.607299999999999</v>
      </c>
      <c r="F263" s="182" t="s">
        <v>10</v>
      </c>
      <c r="G263" s="157">
        <v>11614</v>
      </c>
      <c r="I263" s="12">
        <f t="shared" si="48"/>
        <v>-8.9999999999999998E-4</v>
      </c>
      <c r="J263" s="172"/>
      <c r="K263" s="157">
        <f t="shared" si="49"/>
        <v>-10.4526</v>
      </c>
      <c r="M263" s="12">
        <f t="shared" si="50"/>
        <v>-5.0000000000000001E-4</v>
      </c>
      <c r="N263" s="172"/>
      <c r="O263" s="157">
        <f t="shared" si="51"/>
        <v>-5.8070000000000004</v>
      </c>
    </row>
    <row r="264" spans="1:18">
      <c r="A264" s="171" t="s">
        <v>226</v>
      </c>
      <c r="C264" s="156">
        <v>26202.396718020587</v>
      </c>
      <c r="D264" s="193"/>
      <c r="E264" s="222">
        <v>3.8140999999999989</v>
      </c>
      <c r="F264" s="182" t="s">
        <v>10</v>
      </c>
      <c r="G264" s="157">
        <v>999</v>
      </c>
      <c r="I264" s="12">
        <f t="shared" si="48"/>
        <v>-8.9999999999999998E-4</v>
      </c>
      <c r="J264" s="172"/>
      <c r="K264" s="157">
        <f t="shared" si="49"/>
        <v>-0.89910000000000001</v>
      </c>
      <c r="M264" s="12">
        <f t="shared" si="50"/>
        <v>-5.0000000000000001E-4</v>
      </c>
      <c r="N264" s="172"/>
      <c r="O264" s="157">
        <f t="shared" si="51"/>
        <v>-0.4995</v>
      </c>
    </row>
    <row r="265" spans="1:18">
      <c r="A265" s="171" t="s">
        <v>227</v>
      </c>
      <c r="C265" s="156">
        <v>30746.234881977271</v>
      </c>
      <c r="D265" s="193"/>
      <c r="E265" s="222">
        <v>6</v>
      </c>
      <c r="F265" s="182" t="s">
        <v>10</v>
      </c>
      <c r="G265" s="157">
        <v>1845</v>
      </c>
      <c r="I265" s="12">
        <f t="shared" si="48"/>
        <v>-8.9999999999999998E-4</v>
      </c>
      <c r="J265" s="172"/>
      <c r="K265" s="157">
        <f t="shared" si="49"/>
        <v>-1.6604999999999999</v>
      </c>
      <c r="M265" s="12">
        <f t="shared" si="50"/>
        <v>-5.0000000000000001E-4</v>
      </c>
      <c r="N265" s="172"/>
      <c r="O265" s="157">
        <f t="shared" si="51"/>
        <v>-0.92249999999999999</v>
      </c>
    </row>
    <row r="266" spans="1:18">
      <c r="A266" s="171" t="s">
        <v>228</v>
      </c>
      <c r="C266" s="156">
        <v>24617.422254452438</v>
      </c>
      <c r="D266" s="193"/>
      <c r="E266" s="222">
        <v>-2.335799999999999</v>
      </c>
      <c r="F266" s="182" t="s">
        <v>10</v>
      </c>
      <c r="G266" s="157">
        <v>-575</v>
      </c>
      <c r="I266" s="12">
        <f t="shared" si="48"/>
        <v>-8.9999999999999998E-4</v>
      </c>
      <c r="J266" s="172"/>
      <c r="K266" s="157">
        <f t="shared" si="49"/>
        <v>0.51749999999999996</v>
      </c>
      <c r="M266" s="12">
        <f t="shared" si="50"/>
        <v>-5.0000000000000001E-4</v>
      </c>
      <c r="N266" s="172"/>
      <c r="O266" s="157">
        <f t="shared" si="51"/>
        <v>0.28750000000000003</v>
      </c>
    </row>
    <row r="267" spans="1:18">
      <c r="A267" s="171" t="s">
        <v>229</v>
      </c>
      <c r="C267" s="156">
        <v>47447.273439259698</v>
      </c>
      <c r="D267" s="193"/>
      <c r="E267" s="222">
        <v>5.3097000000000003</v>
      </c>
      <c r="F267" s="182" t="s">
        <v>10</v>
      </c>
      <c r="G267" s="157">
        <v>2519</v>
      </c>
      <c r="I267" s="12">
        <f t="shared" si="48"/>
        <v>-8.9999999999999998E-4</v>
      </c>
      <c r="J267" s="172"/>
      <c r="K267" s="157">
        <f t="shared" si="49"/>
        <v>-2.2671000000000001</v>
      </c>
      <c r="M267" s="12">
        <f t="shared" si="50"/>
        <v>-5.0000000000000001E-4</v>
      </c>
      <c r="N267" s="172"/>
      <c r="O267" s="157">
        <f t="shared" si="51"/>
        <v>-1.2595000000000001</v>
      </c>
    </row>
    <row r="268" spans="1:18">
      <c r="A268" s="171" t="s">
        <v>230</v>
      </c>
      <c r="C268" s="156">
        <v>37989.352828413917</v>
      </c>
      <c r="D268" s="193"/>
      <c r="E268" s="222">
        <v>-2.0670999999999999</v>
      </c>
      <c r="F268" s="182" t="s">
        <v>10</v>
      </c>
      <c r="G268" s="157">
        <v>-785</v>
      </c>
      <c r="I268" s="12">
        <f t="shared" si="48"/>
        <v>-8.9999999999999998E-4</v>
      </c>
      <c r="J268" s="172"/>
      <c r="K268" s="157">
        <f t="shared" si="49"/>
        <v>0.70650000000000002</v>
      </c>
      <c r="M268" s="12">
        <f t="shared" si="50"/>
        <v>-5.0000000000000001E-4</v>
      </c>
      <c r="N268" s="172"/>
      <c r="O268" s="157">
        <f t="shared" si="51"/>
        <v>0.39250000000000002</v>
      </c>
    </row>
    <row r="269" spans="1:18">
      <c r="A269" s="171" t="s">
        <v>18</v>
      </c>
      <c r="C269" s="156">
        <v>0</v>
      </c>
      <c r="E269" s="172">
        <v>-0.61</v>
      </c>
      <c r="F269" s="172"/>
      <c r="G269" s="157">
        <v>0</v>
      </c>
      <c r="I269" s="12"/>
      <c r="J269" s="172"/>
      <c r="M269" s="175"/>
      <c r="N269" s="172"/>
    </row>
    <row r="270" spans="1:18">
      <c r="A270" s="189" t="s">
        <v>214</v>
      </c>
      <c r="C270" s="156">
        <v>0</v>
      </c>
      <c r="E270" s="209">
        <v>7.125</v>
      </c>
      <c r="F270" s="182" t="s">
        <v>10</v>
      </c>
      <c r="G270" s="157">
        <v>0</v>
      </c>
      <c r="I270" s="12"/>
      <c r="J270" s="172"/>
      <c r="M270" s="175"/>
      <c r="N270" s="172"/>
      <c r="Q270" s="212"/>
      <c r="R270" s="212"/>
    </row>
    <row r="271" spans="1:18">
      <c r="A271" s="171" t="s">
        <v>231</v>
      </c>
      <c r="C271" s="156">
        <v>140800.28340410333</v>
      </c>
      <c r="E271" s="172"/>
      <c r="F271" s="172"/>
      <c r="G271" s="157">
        <v>25805</v>
      </c>
      <c r="I271" s="103"/>
      <c r="J271" s="172"/>
      <c r="K271" s="223">
        <f>SUM(K261:K270)</f>
        <v>-19.926000000000002</v>
      </c>
      <c r="M271" s="175"/>
      <c r="N271" s="172"/>
      <c r="O271" s="223">
        <f>SUM(O261:O270)</f>
        <v>-11.069999999999999</v>
      </c>
      <c r="Q271" s="212"/>
      <c r="R271" s="212"/>
    </row>
    <row r="272" spans="1:18">
      <c r="A272" s="171"/>
      <c r="E272" s="172"/>
      <c r="F272" s="172"/>
      <c r="I272" s="12"/>
      <c r="J272" s="172"/>
      <c r="M272" s="175"/>
      <c r="N272" s="172"/>
      <c r="Q272" s="212"/>
      <c r="R272" s="212"/>
    </row>
    <row r="273" spans="1:18">
      <c r="A273" s="171" t="s">
        <v>7</v>
      </c>
      <c r="C273" s="156">
        <v>69.151622418879057</v>
      </c>
      <c r="E273" s="172">
        <v>53</v>
      </c>
      <c r="F273" s="172"/>
      <c r="G273" s="157">
        <v>3665</v>
      </c>
      <c r="I273" s="12"/>
      <c r="J273" s="172"/>
      <c r="M273" s="175"/>
      <c r="N273" s="172"/>
      <c r="Q273" s="212"/>
      <c r="R273" s="212"/>
    </row>
    <row r="274" spans="1:18">
      <c r="A274" s="171" t="s">
        <v>19</v>
      </c>
      <c r="C274" s="156">
        <v>0</v>
      </c>
      <c r="D274" s="193"/>
      <c r="E274" s="172">
        <v>636</v>
      </c>
      <c r="F274" s="172"/>
      <c r="G274" s="157">
        <v>0</v>
      </c>
      <c r="I274" s="12"/>
      <c r="J274" s="172"/>
      <c r="M274" s="175"/>
      <c r="N274" s="172"/>
      <c r="Q274" s="212"/>
      <c r="R274" s="212"/>
    </row>
    <row r="275" spans="1:18">
      <c r="A275" s="171" t="s">
        <v>28</v>
      </c>
      <c r="C275" s="156">
        <v>2794</v>
      </c>
      <c r="E275" s="172">
        <v>3.99</v>
      </c>
      <c r="F275" s="172"/>
      <c r="G275" s="157">
        <v>11148</v>
      </c>
      <c r="I275" s="12"/>
      <c r="J275" s="172"/>
      <c r="M275" s="175"/>
      <c r="N275" s="172"/>
      <c r="Q275" s="212"/>
      <c r="R275" s="212"/>
    </row>
    <row r="276" spans="1:18">
      <c r="A276" s="171" t="s">
        <v>240</v>
      </c>
      <c r="C276" s="156">
        <v>832</v>
      </c>
      <c r="E276" s="193">
        <v>13.27</v>
      </c>
      <c r="F276" s="193"/>
      <c r="G276" s="157">
        <v>11041</v>
      </c>
      <c r="I276" s="12">
        <f t="shared" ref="I276:I279" si="52">I$139</f>
        <v>-6.9999999999999999E-4</v>
      </c>
      <c r="J276" s="172"/>
      <c r="K276" s="157">
        <f>$G276*I276</f>
        <v>-7.7286999999999999</v>
      </c>
      <c r="M276" s="12">
        <f t="shared" ref="M276:M279" si="53">M$139</f>
        <v>-6.9999999999999999E-4</v>
      </c>
      <c r="N276" s="172"/>
      <c r="O276" s="157">
        <f>$G276*M276</f>
        <v>-7.7286999999999999</v>
      </c>
      <c r="Q276" s="212"/>
      <c r="R276" s="212"/>
    </row>
    <row r="277" spans="1:18">
      <c r="A277" s="171" t="s">
        <v>241</v>
      </c>
      <c r="C277" s="156">
        <v>1962</v>
      </c>
      <c r="E277" s="193">
        <v>11.74</v>
      </c>
      <c r="F277" s="193"/>
      <c r="G277" s="157">
        <v>23034</v>
      </c>
      <c r="I277" s="12">
        <f t="shared" si="52"/>
        <v>-6.9999999999999999E-4</v>
      </c>
      <c r="J277" s="172"/>
      <c r="K277" s="157">
        <f>$G277*I277</f>
        <v>-16.123799999999999</v>
      </c>
      <c r="M277" s="12">
        <f t="shared" si="53"/>
        <v>-6.9999999999999999E-4</v>
      </c>
      <c r="N277" s="172"/>
      <c r="O277" s="157">
        <f>$G277*M277</f>
        <v>-16.123799999999999</v>
      </c>
      <c r="Q277" s="212"/>
      <c r="R277" s="212"/>
    </row>
    <row r="278" spans="1:18">
      <c r="A278" s="171" t="s">
        <v>235</v>
      </c>
      <c r="C278" s="156">
        <v>55363.283404103327</v>
      </c>
      <c r="E278" s="209">
        <v>3.8877999999999999</v>
      </c>
      <c r="F278" s="182" t="s">
        <v>10</v>
      </c>
      <c r="G278" s="157">
        <v>2152</v>
      </c>
      <c r="I278" s="12">
        <f t="shared" si="52"/>
        <v>-6.9999999999999999E-4</v>
      </c>
      <c r="J278" s="172"/>
      <c r="K278" s="157">
        <f>$G278*I278</f>
        <v>-1.5064</v>
      </c>
      <c r="M278" s="12">
        <f t="shared" si="53"/>
        <v>-6.9999999999999999E-4</v>
      </c>
      <c r="N278" s="172"/>
      <c r="O278" s="157">
        <f>$G278*M278</f>
        <v>-1.5064</v>
      </c>
      <c r="Q278" s="212"/>
      <c r="R278" s="212"/>
    </row>
    <row r="279" spans="1:18">
      <c r="A279" s="171" t="s">
        <v>236</v>
      </c>
      <c r="C279" s="156">
        <v>85437</v>
      </c>
      <c r="E279" s="209">
        <v>3.4405000000000001</v>
      </c>
      <c r="F279" s="182" t="s">
        <v>10</v>
      </c>
      <c r="G279" s="157">
        <v>2939</v>
      </c>
      <c r="I279" s="12">
        <f t="shared" si="52"/>
        <v>-6.9999999999999999E-4</v>
      </c>
      <c r="J279" s="172"/>
      <c r="K279" s="157">
        <f>$G279*I279</f>
        <v>-2.0573000000000001</v>
      </c>
      <c r="M279" s="12">
        <f t="shared" si="53"/>
        <v>-6.9999999999999999E-4</v>
      </c>
      <c r="N279" s="172"/>
      <c r="O279" s="157">
        <f>$G279*M279</f>
        <v>-2.0573000000000001</v>
      </c>
      <c r="Q279" s="212"/>
      <c r="R279" s="212"/>
    </row>
    <row r="280" spans="1:18">
      <c r="A280" s="171" t="s">
        <v>18</v>
      </c>
      <c r="C280" s="156">
        <v>0</v>
      </c>
      <c r="E280" s="172">
        <v>-0.96</v>
      </c>
      <c r="F280" s="172"/>
      <c r="G280" s="157">
        <v>0</v>
      </c>
      <c r="I280" s="12"/>
      <c r="J280" s="172"/>
      <c r="M280" s="175"/>
      <c r="N280" s="172"/>
      <c r="Q280" s="212"/>
      <c r="R280" s="212"/>
    </row>
    <row r="281" spans="1:18" ht="16.5" thickBot="1">
      <c r="A281" s="171" t="s">
        <v>15</v>
      </c>
      <c r="C281" s="221">
        <v>140800.28340410333</v>
      </c>
      <c r="E281" s="200"/>
      <c r="G281" s="208">
        <v>53979</v>
      </c>
      <c r="I281" s="211"/>
      <c r="K281" s="208">
        <f>SUM(K276:K280)</f>
        <v>-27.4162</v>
      </c>
      <c r="M281" s="211"/>
      <c r="O281" s="208">
        <f>SUM(O276:O280)</f>
        <v>-27.4162</v>
      </c>
      <c r="Q281" s="212"/>
      <c r="R281" s="212"/>
    </row>
    <row r="282" spans="1:18" ht="16.5" thickTop="1">
      <c r="I282" s="12"/>
      <c r="J282" s="172"/>
      <c r="M282" s="175"/>
      <c r="N282" s="172"/>
      <c r="Q282" s="212"/>
      <c r="R282" s="212"/>
    </row>
    <row r="283" spans="1:18">
      <c r="A283" s="167" t="s">
        <v>21</v>
      </c>
      <c r="E283" s="209"/>
      <c r="F283" s="209"/>
      <c r="I283" s="12"/>
      <c r="J283" s="172"/>
      <c r="M283" s="175"/>
      <c r="N283" s="172"/>
      <c r="Q283" s="212"/>
      <c r="R283" s="212"/>
    </row>
    <row r="284" spans="1:18">
      <c r="A284" s="171" t="s">
        <v>223</v>
      </c>
      <c r="C284" s="156">
        <v>44585441.124639124</v>
      </c>
      <c r="D284" s="193"/>
      <c r="E284" s="222">
        <v>22.156199999999998</v>
      </c>
      <c r="F284" s="182" t="s">
        <v>10</v>
      </c>
      <c r="G284" s="157">
        <v>9878440</v>
      </c>
      <c r="I284" s="100">
        <v>-8.9999999999999998E-4</v>
      </c>
      <c r="J284" s="172"/>
      <c r="K284" s="157">
        <f>$G284*I284</f>
        <v>-8890.5959999999995</v>
      </c>
      <c r="M284" s="217">
        <f>R288</f>
        <v>-5.0000000000000001E-4</v>
      </c>
      <c r="N284" s="172"/>
      <c r="O284" s="157">
        <f>$G284*M284</f>
        <v>-4939.22</v>
      </c>
      <c r="Q284" s="154" t="s">
        <v>336</v>
      </c>
    </row>
    <row r="285" spans="1:18">
      <c r="A285" s="171" t="s">
        <v>224</v>
      </c>
      <c r="C285" s="156">
        <v>80754202</v>
      </c>
      <c r="D285" s="193"/>
      <c r="E285" s="222">
        <v>4.309899999999999</v>
      </c>
      <c r="F285" s="182" t="s">
        <v>10</v>
      </c>
      <c r="G285" s="157">
        <v>3480425</v>
      </c>
      <c r="I285" s="12">
        <f>I$284</f>
        <v>-8.9999999999999998E-4</v>
      </c>
      <c r="J285" s="172"/>
      <c r="K285" s="157">
        <f>$G285*I285</f>
        <v>-3132.3824999999997</v>
      </c>
      <c r="M285" s="12">
        <f>M$284</f>
        <v>-5.0000000000000001E-4</v>
      </c>
      <c r="N285" s="172"/>
      <c r="O285" s="157">
        <f>$G285*M285</f>
        <v>-1740.2125000000001</v>
      </c>
      <c r="Q285" s="215" t="s">
        <v>11</v>
      </c>
      <c r="R285" s="216">
        <f>SUM(O296,O309,O526)</f>
        <v>-21672.785999999996</v>
      </c>
    </row>
    <row r="286" spans="1:18">
      <c r="A286" s="171" t="s">
        <v>225</v>
      </c>
      <c r="C286" s="156">
        <v>73546803</v>
      </c>
      <c r="D286" s="193"/>
      <c r="E286" s="222">
        <v>19.607299999999999</v>
      </c>
      <c r="F286" s="182" t="s">
        <v>10</v>
      </c>
      <c r="G286" s="157">
        <v>14420542</v>
      </c>
      <c r="I286" s="12">
        <f t="shared" ref="I286:I291" si="54">I$284</f>
        <v>-8.9999999999999998E-4</v>
      </c>
      <c r="J286" s="172"/>
      <c r="K286" s="157">
        <f t="shared" ref="K286:K291" si="55">$G286*I286</f>
        <v>-12978.487799999999</v>
      </c>
      <c r="M286" s="12">
        <f t="shared" ref="M286:M291" si="56">M$284</f>
        <v>-5.0000000000000001E-4</v>
      </c>
      <c r="N286" s="172"/>
      <c r="O286" s="157">
        <f t="shared" ref="O286:O291" si="57">$G286*M286</f>
        <v>-7210.2709999999997</v>
      </c>
      <c r="Q286" s="178" t="s">
        <v>12</v>
      </c>
      <c r="R286" s="179">
        <f>'Exhibit-RMP(RMM-1) page 2'!K21*1000</f>
        <v>-20297.735683600109</v>
      </c>
    </row>
    <row r="287" spans="1:18">
      <c r="A287" s="171" t="s">
        <v>226</v>
      </c>
      <c r="C287" s="156">
        <v>153778261</v>
      </c>
      <c r="D287" s="193"/>
      <c r="E287" s="222">
        <v>3.8140999999999989</v>
      </c>
      <c r="F287" s="182" t="s">
        <v>10</v>
      </c>
      <c r="G287" s="157">
        <v>5865257</v>
      </c>
      <c r="I287" s="12">
        <f t="shared" si="54"/>
        <v>-8.9999999999999998E-4</v>
      </c>
      <c r="J287" s="172"/>
      <c r="K287" s="157">
        <f t="shared" si="55"/>
        <v>-5278.7312999999995</v>
      </c>
      <c r="M287" s="12">
        <f t="shared" si="56"/>
        <v>-5.0000000000000001E-4</v>
      </c>
      <c r="N287" s="172"/>
      <c r="O287" s="157">
        <f t="shared" si="57"/>
        <v>-2932.6285000000003</v>
      </c>
      <c r="Q287" s="180" t="s">
        <v>13</v>
      </c>
      <c r="R287" s="181">
        <f>R286-R285</f>
        <v>1375.0503163998874</v>
      </c>
    </row>
    <row r="288" spans="1:18">
      <c r="A288" s="171" t="s">
        <v>227</v>
      </c>
      <c r="C288" s="156">
        <v>65422495.124639124</v>
      </c>
      <c r="D288" s="193"/>
      <c r="E288" s="224">
        <v>6</v>
      </c>
      <c r="F288" s="182" t="s">
        <v>10</v>
      </c>
      <c r="G288" s="157">
        <v>3925350</v>
      </c>
      <c r="I288" s="12">
        <f t="shared" si="54"/>
        <v>-8.9999999999999998E-4</v>
      </c>
      <c r="J288" s="172"/>
      <c r="K288" s="157">
        <f t="shared" si="55"/>
        <v>-3532.8150000000001</v>
      </c>
      <c r="M288" s="12">
        <f t="shared" si="56"/>
        <v>-5.0000000000000001E-4</v>
      </c>
      <c r="N288" s="172"/>
      <c r="O288" s="157">
        <f t="shared" si="57"/>
        <v>-1962.675</v>
      </c>
      <c r="Q288" s="183" t="s">
        <v>14</v>
      </c>
      <c r="R288" s="99">
        <f>ROUND(R286/SUM(G284:G291,G299:G306,G518:G525),$R$9)</f>
        <v>-5.0000000000000001E-4</v>
      </c>
    </row>
    <row r="289" spans="1:18">
      <c r="A289" s="171" t="s">
        <v>228</v>
      </c>
      <c r="C289" s="156">
        <v>59917149</v>
      </c>
      <c r="D289" s="193"/>
      <c r="E289" s="222">
        <v>-2.335799999999999</v>
      </c>
      <c r="F289" s="182" t="s">
        <v>10</v>
      </c>
      <c r="G289" s="157">
        <v>-1399545</v>
      </c>
      <c r="I289" s="12">
        <f t="shared" si="54"/>
        <v>-8.9999999999999998E-4</v>
      </c>
      <c r="J289" s="172"/>
      <c r="K289" s="157">
        <f t="shared" si="55"/>
        <v>1259.5905</v>
      </c>
      <c r="M289" s="12">
        <f t="shared" si="56"/>
        <v>-5.0000000000000001E-4</v>
      </c>
      <c r="N289" s="172"/>
      <c r="O289" s="157">
        <f t="shared" si="57"/>
        <v>699.77250000000004</v>
      </c>
      <c r="Q289" s="212"/>
      <c r="R289" s="212"/>
    </row>
    <row r="290" spans="1:18">
      <c r="A290" s="171" t="s">
        <v>229</v>
      </c>
      <c r="C290" s="156">
        <v>124025012</v>
      </c>
      <c r="D290" s="193"/>
      <c r="E290" s="224">
        <v>5.3097000000000003</v>
      </c>
      <c r="F290" s="182" t="s">
        <v>10</v>
      </c>
      <c r="G290" s="157">
        <v>6585356</v>
      </c>
      <c r="I290" s="12">
        <f t="shared" si="54"/>
        <v>-8.9999999999999998E-4</v>
      </c>
      <c r="J290" s="172"/>
      <c r="K290" s="157">
        <f t="shared" si="55"/>
        <v>-5926.8203999999996</v>
      </c>
      <c r="M290" s="12">
        <f t="shared" si="56"/>
        <v>-5.0000000000000001E-4</v>
      </c>
      <c r="N290" s="172"/>
      <c r="O290" s="157">
        <f t="shared" si="57"/>
        <v>-3292.6779999999999</v>
      </c>
      <c r="Q290" s="212"/>
      <c r="R290" s="212"/>
    </row>
    <row r="291" spans="1:18">
      <c r="A291" s="171" t="s">
        <v>230</v>
      </c>
      <c r="C291" s="156">
        <v>103300051</v>
      </c>
      <c r="D291" s="193"/>
      <c r="E291" s="222">
        <v>-2.0670999999999999</v>
      </c>
      <c r="F291" s="182" t="s">
        <v>10</v>
      </c>
      <c r="G291" s="157">
        <v>-2135315</v>
      </c>
      <c r="I291" s="12">
        <f t="shared" si="54"/>
        <v>-8.9999999999999998E-4</v>
      </c>
      <c r="J291" s="172"/>
      <c r="K291" s="157">
        <f t="shared" si="55"/>
        <v>1921.7835</v>
      </c>
      <c r="M291" s="12">
        <f t="shared" si="56"/>
        <v>-5.0000000000000001E-4</v>
      </c>
      <c r="N291" s="172"/>
      <c r="O291" s="157">
        <f t="shared" si="57"/>
        <v>1067.6575</v>
      </c>
      <c r="Q291" s="212"/>
      <c r="R291" s="212"/>
    </row>
    <row r="292" spans="1:18">
      <c r="A292" s="171" t="s">
        <v>7</v>
      </c>
      <c r="C292" s="156">
        <v>31870</v>
      </c>
      <c r="E292" s="172">
        <v>53</v>
      </c>
      <c r="F292" s="172"/>
      <c r="G292" s="157">
        <v>1689110</v>
      </c>
      <c r="I292" s="175"/>
      <c r="J292" s="172"/>
      <c r="M292" s="175"/>
      <c r="N292" s="172"/>
      <c r="Q292" s="212"/>
      <c r="R292" s="212"/>
    </row>
    <row r="293" spans="1:18">
      <c r="A293" s="171" t="s">
        <v>18</v>
      </c>
      <c r="C293" s="156">
        <v>203454</v>
      </c>
      <c r="D293" s="193"/>
      <c r="E293" s="172">
        <v>-0.61</v>
      </c>
      <c r="F293" s="172"/>
      <c r="G293" s="157">
        <v>-124107</v>
      </c>
      <c r="I293" s="12"/>
      <c r="J293" s="172"/>
      <c r="M293" s="175"/>
      <c r="N293" s="172"/>
      <c r="Q293" s="212"/>
      <c r="R293" s="212"/>
    </row>
    <row r="294" spans="1:18">
      <c r="A294" s="189" t="s">
        <v>214</v>
      </c>
      <c r="C294" s="156">
        <v>29568815</v>
      </c>
      <c r="E294" s="209">
        <v>7.125</v>
      </c>
      <c r="F294" s="182" t="s">
        <v>10</v>
      </c>
      <c r="G294" s="157">
        <v>2106778</v>
      </c>
      <c r="I294" s="12"/>
      <c r="J294" s="172"/>
      <c r="M294" s="175"/>
      <c r="N294" s="172"/>
      <c r="Q294" s="212"/>
      <c r="R294" s="212"/>
    </row>
    <row r="295" spans="1:18">
      <c r="A295" s="189" t="s">
        <v>215</v>
      </c>
      <c r="C295" s="156">
        <v>-1649518</v>
      </c>
      <c r="E295" s="168"/>
      <c r="F295" s="193"/>
      <c r="I295" s="12"/>
      <c r="J295" s="172"/>
      <c r="M295" s="175"/>
      <c r="N295" s="172"/>
      <c r="Q295" s="212"/>
      <c r="R295" s="212"/>
    </row>
    <row r="296" spans="1:18" ht="16.5" thickBot="1">
      <c r="A296" s="171" t="s">
        <v>15</v>
      </c>
      <c r="C296" s="221">
        <v>380584004.12463915</v>
      </c>
      <c r="E296" s="200"/>
      <c r="G296" s="196">
        <v>44292291</v>
      </c>
      <c r="I296" s="211"/>
      <c r="K296" s="208">
        <f>SUM(K284:K295)</f>
        <v>-36558.459000000003</v>
      </c>
      <c r="M296" s="211"/>
      <c r="O296" s="208">
        <f>SUM(O284:O295)</f>
        <v>-20310.254999999997</v>
      </c>
      <c r="Q296" s="212"/>
      <c r="R296" s="212"/>
    </row>
    <row r="297" spans="1:18" ht="16.5" thickTop="1">
      <c r="I297" s="175"/>
      <c r="J297" s="172"/>
      <c r="M297" s="175"/>
      <c r="N297" s="172"/>
      <c r="Q297" s="212"/>
      <c r="R297" s="212"/>
    </row>
    <row r="298" spans="1:18">
      <c r="A298" s="167" t="s">
        <v>244</v>
      </c>
      <c r="E298" s="209"/>
      <c r="F298" s="209"/>
      <c r="I298" s="12"/>
      <c r="J298" s="172"/>
      <c r="M298" s="175"/>
      <c r="N298" s="172"/>
      <c r="Q298" s="212"/>
      <c r="R298" s="212"/>
    </row>
    <row r="299" spans="1:18">
      <c r="A299" s="171" t="s">
        <v>223</v>
      </c>
      <c r="C299" s="156">
        <v>1790597.1011697315</v>
      </c>
      <c r="D299" s="193"/>
      <c r="E299" s="222">
        <v>22.156199999999998</v>
      </c>
      <c r="F299" s="182" t="s">
        <v>10</v>
      </c>
      <c r="G299" s="157">
        <v>396728</v>
      </c>
      <c r="I299" s="12">
        <f>I$284</f>
        <v>-8.9999999999999998E-4</v>
      </c>
      <c r="J299" s="172"/>
      <c r="K299" s="157">
        <f>$G299*I299</f>
        <v>-357.05520000000001</v>
      </c>
      <c r="M299" s="12">
        <f>M$284</f>
        <v>-5.0000000000000001E-4</v>
      </c>
      <c r="N299" s="172"/>
      <c r="O299" s="157">
        <f>$G299*M299</f>
        <v>-198.364</v>
      </c>
      <c r="Q299" s="212"/>
      <c r="R299" s="212"/>
    </row>
    <row r="300" spans="1:18">
      <c r="A300" s="171" t="s">
        <v>224</v>
      </c>
      <c r="C300" s="156">
        <v>3521773</v>
      </c>
      <c r="D300" s="193"/>
      <c r="E300" s="222">
        <v>4.309899999999999</v>
      </c>
      <c r="F300" s="182" t="s">
        <v>10</v>
      </c>
      <c r="G300" s="157">
        <v>151785</v>
      </c>
      <c r="I300" s="12">
        <f t="shared" ref="I300:I306" si="58">I$284</f>
        <v>-8.9999999999999998E-4</v>
      </c>
      <c r="J300" s="172"/>
      <c r="K300" s="157">
        <f t="shared" ref="K300:K305" si="59">$G300*I300</f>
        <v>-136.60649999999998</v>
      </c>
      <c r="M300" s="12">
        <f t="shared" ref="M300:M306" si="60">M$284</f>
        <v>-5.0000000000000001E-4</v>
      </c>
      <c r="N300" s="172"/>
      <c r="O300" s="157">
        <f t="shared" ref="O300:O305" si="61">$G300*M300</f>
        <v>-75.892499999999998</v>
      </c>
      <c r="Q300" s="212"/>
      <c r="R300" s="212"/>
    </row>
    <row r="301" spans="1:18">
      <c r="A301" s="171" t="s">
        <v>225</v>
      </c>
      <c r="C301" s="156">
        <v>5330608</v>
      </c>
      <c r="D301" s="193"/>
      <c r="E301" s="222">
        <v>19.607299999999999</v>
      </c>
      <c r="F301" s="182" t="s">
        <v>10</v>
      </c>
      <c r="G301" s="157">
        <v>1045188</v>
      </c>
      <c r="I301" s="12">
        <f t="shared" si="58"/>
        <v>-8.9999999999999998E-4</v>
      </c>
      <c r="J301" s="172"/>
      <c r="K301" s="157">
        <f t="shared" si="59"/>
        <v>-940.66919999999993</v>
      </c>
      <c r="M301" s="12">
        <f t="shared" si="60"/>
        <v>-5.0000000000000001E-4</v>
      </c>
      <c r="N301" s="172"/>
      <c r="O301" s="157">
        <f t="shared" si="61"/>
        <v>-522.59400000000005</v>
      </c>
      <c r="Q301" s="212"/>
      <c r="R301" s="212"/>
    </row>
    <row r="302" spans="1:18">
      <c r="A302" s="171" t="s">
        <v>226</v>
      </c>
      <c r="C302" s="156">
        <v>12790668</v>
      </c>
      <c r="D302" s="193"/>
      <c r="E302" s="222">
        <v>3.8140999999999989</v>
      </c>
      <c r="F302" s="182" t="s">
        <v>10</v>
      </c>
      <c r="G302" s="157">
        <v>487849</v>
      </c>
      <c r="I302" s="12">
        <f t="shared" si="58"/>
        <v>-8.9999999999999998E-4</v>
      </c>
      <c r="J302" s="172"/>
      <c r="K302" s="157">
        <f t="shared" si="59"/>
        <v>-439.0641</v>
      </c>
      <c r="M302" s="12">
        <f t="shared" si="60"/>
        <v>-5.0000000000000001E-4</v>
      </c>
      <c r="N302" s="172"/>
      <c r="O302" s="157">
        <f t="shared" si="61"/>
        <v>-243.92449999999999</v>
      </c>
      <c r="Q302" s="212"/>
      <c r="R302" s="212"/>
    </row>
    <row r="303" spans="1:18">
      <c r="A303" s="171" t="s">
        <v>227</v>
      </c>
      <c r="C303" s="156">
        <v>3345042.1011697315</v>
      </c>
      <c r="D303" s="193"/>
      <c r="E303" s="222">
        <v>6</v>
      </c>
      <c r="F303" s="182" t="s">
        <v>10</v>
      </c>
      <c r="G303" s="157">
        <v>200703</v>
      </c>
      <c r="I303" s="12">
        <f t="shared" si="58"/>
        <v>-8.9999999999999998E-4</v>
      </c>
      <c r="J303" s="172"/>
      <c r="K303" s="157">
        <f t="shared" si="59"/>
        <v>-180.6327</v>
      </c>
      <c r="M303" s="12">
        <f t="shared" si="60"/>
        <v>-5.0000000000000001E-4</v>
      </c>
      <c r="N303" s="172"/>
      <c r="O303" s="157">
        <f t="shared" si="61"/>
        <v>-100.3515</v>
      </c>
      <c r="Q303" s="212"/>
      <c r="R303" s="212"/>
    </row>
    <row r="304" spans="1:18">
      <c r="A304" s="171" t="s">
        <v>228</v>
      </c>
      <c r="C304" s="156">
        <v>1967328</v>
      </c>
      <c r="D304" s="193"/>
      <c r="E304" s="222">
        <v>-2.335799999999999</v>
      </c>
      <c r="F304" s="182" t="s">
        <v>10</v>
      </c>
      <c r="G304" s="157">
        <v>-45953</v>
      </c>
      <c r="I304" s="12">
        <f t="shared" si="58"/>
        <v>-8.9999999999999998E-4</v>
      </c>
      <c r="J304" s="172"/>
      <c r="K304" s="157">
        <f t="shared" si="59"/>
        <v>41.357700000000001</v>
      </c>
      <c r="M304" s="12">
        <f t="shared" si="60"/>
        <v>-5.0000000000000001E-4</v>
      </c>
      <c r="N304" s="172"/>
      <c r="O304" s="157">
        <f t="shared" si="61"/>
        <v>22.976500000000001</v>
      </c>
      <c r="Q304" s="212"/>
      <c r="R304" s="212"/>
    </row>
    <row r="305" spans="1:18">
      <c r="A305" s="171" t="s">
        <v>229</v>
      </c>
      <c r="C305" s="156">
        <v>10972800</v>
      </c>
      <c r="D305" s="193"/>
      <c r="E305" s="222">
        <v>5.3097000000000003</v>
      </c>
      <c r="F305" s="182" t="s">
        <v>10</v>
      </c>
      <c r="G305" s="157">
        <v>582623</v>
      </c>
      <c r="I305" s="12">
        <f t="shared" si="58"/>
        <v>-8.9999999999999998E-4</v>
      </c>
      <c r="J305" s="172"/>
      <c r="K305" s="157">
        <f t="shared" si="59"/>
        <v>-524.36069999999995</v>
      </c>
      <c r="M305" s="12">
        <f t="shared" si="60"/>
        <v>-5.0000000000000001E-4</v>
      </c>
      <c r="N305" s="172"/>
      <c r="O305" s="157">
        <f t="shared" si="61"/>
        <v>-291.31150000000002</v>
      </c>
      <c r="Q305" s="212"/>
      <c r="R305" s="212"/>
    </row>
    <row r="306" spans="1:18">
      <c r="A306" s="171" t="s">
        <v>230</v>
      </c>
      <c r="C306" s="156">
        <v>7148476</v>
      </c>
      <c r="D306" s="193"/>
      <c r="E306" s="222">
        <v>-2.0670999999999999</v>
      </c>
      <c r="F306" s="182" t="s">
        <v>10</v>
      </c>
      <c r="G306" s="157">
        <v>-147766</v>
      </c>
      <c r="I306" s="12">
        <f t="shared" si="58"/>
        <v>-8.9999999999999998E-4</v>
      </c>
      <c r="J306" s="172"/>
      <c r="K306" s="157">
        <f t="shared" ref="K306" si="62">$G306*I306</f>
        <v>132.98939999999999</v>
      </c>
      <c r="M306" s="12">
        <f t="shared" si="60"/>
        <v>-5.0000000000000001E-4</v>
      </c>
      <c r="N306" s="172"/>
      <c r="O306" s="157">
        <f t="shared" ref="O306" si="63">$G306*M306</f>
        <v>73.882999999999996</v>
      </c>
      <c r="Q306" s="212"/>
      <c r="R306" s="212"/>
    </row>
    <row r="307" spans="1:18">
      <c r="A307" s="171" t="s">
        <v>7</v>
      </c>
      <c r="C307" s="156">
        <v>1797</v>
      </c>
      <c r="E307" s="172">
        <v>53</v>
      </c>
      <c r="F307" s="172"/>
      <c r="G307" s="157">
        <v>95241</v>
      </c>
      <c r="I307" s="12"/>
      <c r="J307" s="172"/>
      <c r="M307" s="175"/>
      <c r="N307" s="172"/>
      <c r="Q307" s="212"/>
      <c r="R307" s="212"/>
    </row>
    <row r="308" spans="1:18">
      <c r="A308" s="171" t="s">
        <v>18</v>
      </c>
      <c r="C308" s="156">
        <v>16106</v>
      </c>
      <c r="D308" s="193"/>
      <c r="E308" s="172">
        <v>-0.61</v>
      </c>
      <c r="F308" s="172"/>
      <c r="G308" s="157">
        <v>-9825</v>
      </c>
      <c r="I308" s="175"/>
      <c r="J308" s="172"/>
      <c r="M308" s="175"/>
      <c r="N308" s="172"/>
      <c r="Q308" s="212"/>
      <c r="R308" s="212"/>
    </row>
    <row r="309" spans="1:18" ht="16.5" thickBot="1">
      <c r="A309" s="171" t="s">
        <v>15</v>
      </c>
      <c r="C309" s="221">
        <v>23433646.101169731</v>
      </c>
      <c r="E309" s="200"/>
      <c r="G309" s="208">
        <v>2756573</v>
      </c>
      <c r="I309" s="211"/>
      <c r="K309" s="208">
        <f>SUM(K299:K308)</f>
        <v>-2404.0413000000003</v>
      </c>
      <c r="M309" s="211"/>
      <c r="O309" s="208">
        <f>SUM(O299:O308)</f>
        <v>-1335.5785000000001</v>
      </c>
      <c r="Q309" s="212"/>
      <c r="R309" s="212"/>
    </row>
    <row r="310" spans="1:18" ht="16.5" thickTop="1">
      <c r="I310" s="12"/>
      <c r="J310" s="172"/>
      <c r="M310" s="175"/>
      <c r="N310" s="172"/>
      <c r="Q310" s="212"/>
      <c r="R310" s="212"/>
    </row>
    <row r="311" spans="1:18">
      <c r="A311" s="167" t="s">
        <v>192</v>
      </c>
      <c r="I311" s="12"/>
      <c r="J311" s="172"/>
      <c r="M311" s="175"/>
      <c r="N311" s="172"/>
      <c r="Q311" s="225" t="s">
        <v>170</v>
      </c>
      <c r="R311" s="177"/>
    </row>
    <row r="312" spans="1:18" s="226" customFormat="1">
      <c r="A312" s="171" t="s">
        <v>318</v>
      </c>
      <c r="B312" s="154"/>
      <c r="C312" s="156">
        <v>80036.668179696673</v>
      </c>
      <c r="D312" s="154"/>
      <c r="E312" s="172">
        <v>9.1</v>
      </c>
      <c r="F312" s="172"/>
      <c r="G312" s="157">
        <f>C312*E312</f>
        <v>728333.68043523969</v>
      </c>
      <c r="I312" s="100">
        <v>-2.0000000000000001E-4</v>
      </c>
      <c r="J312" s="172"/>
      <c r="K312" s="157">
        <f t="shared" ref="K312:K314" si="64">$G312*I312</f>
        <v>-145.66673608704795</v>
      </c>
      <c r="L312" s="154"/>
      <c r="M312" s="217">
        <f>R315</f>
        <v>-2.9999999999999997E-4</v>
      </c>
      <c r="N312" s="172"/>
      <c r="O312" s="157">
        <f t="shared" ref="O312:O314" si="65">$G312*M312</f>
        <v>-218.50010413057188</v>
      </c>
      <c r="Q312" s="178" t="s">
        <v>11</v>
      </c>
      <c r="R312" s="179">
        <f>O316+O431+O499</f>
        <v>-1958.2650705227531</v>
      </c>
    </row>
    <row r="313" spans="1:18" s="226" customFormat="1">
      <c r="A313" s="171" t="s">
        <v>319</v>
      </c>
      <c r="B313" s="154"/>
      <c r="C313" s="156">
        <v>23297.820701740242</v>
      </c>
      <c r="D313" s="154"/>
      <c r="E313" s="172">
        <v>10.61</v>
      </c>
      <c r="F313" s="172"/>
      <c r="G313" s="157">
        <f t="shared" ref="G313:G314" si="66">C313*E313</f>
        <v>247189.87764546394</v>
      </c>
      <c r="I313" s="12">
        <f>I$312</f>
        <v>-2.0000000000000001E-4</v>
      </c>
      <c r="J313" s="172"/>
      <c r="K313" s="157">
        <f t="shared" si="64"/>
        <v>-49.437975529092789</v>
      </c>
      <c r="L313" s="154"/>
      <c r="M313" s="12">
        <f>M$312</f>
        <v>-2.9999999999999997E-4</v>
      </c>
      <c r="N313" s="172"/>
      <c r="O313" s="157">
        <f t="shared" si="65"/>
        <v>-74.15696329363918</v>
      </c>
      <c r="Q313" s="178" t="s">
        <v>12</v>
      </c>
      <c r="R313" s="179">
        <f>SUM('Exhibit-RMP(RMM-1) page 2'!K40:K42)*1000</f>
        <v>-2038.1083958567033</v>
      </c>
    </row>
    <row r="314" spans="1:18" s="226" customFormat="1">
      <c r="A314" s="171" t="s">
        <v>320</v>
      </c>
      <c r="B314" s="154"/>
      <c r="C314" s="156">
        <v>31461.675344580435</v>
      </c>
      <c r="D314" s="154"/>
      <c r="E314" s="172">
        <v>12.96</v>
      </c>
      <c r="F314" s="172"/>
      <c r="G314" s="157">
        <f t="shared" si="66"/>
        <v>407743.31246576249</v>
      </c>
      <c r="I314" s="12">
        <f>I$312</f>
        <v>-2.0000000000000001E-4</v>
      </c>
      <c r="J314" s="172"/>
      <c r="K314" s="157">
        <f t="shared" si="64"/>
        <v>-81.548662493152506</v>
      </c>
      <c r="L314" s="154"/>
      <c r="M314" s="12">
        <f>M$312</f>
        <v>-2.9999999999999997E-4</v>
      </c>
      <c r="N314" s="172"/>
      <c r="O314" s="157">
        <f t="shared" si="65"/>
        <v>-122.32299373972873</v>
      </c>
      <c r="Q314" s="180" t="s">
        <v>13</v>
      </c>
      <c r="R314" s="181">
        <f>R313-R312</f>
        <v>-79.843325333950133</v>
      </c>
    </row>
    <row r="315" spans="1:18">
      <c r="A315" s="171" t="s">
        <v>25</v>
      </c>
      <c r="C315" s="156">
        <v>6491</v>
      </c>
      <c r="G315" s="227"/>
      <c r="I315" s="12"/>
      <c r="J315" s="172"/>
      <c r="M315" s="175"/>
      <c r="N315" s="172"/>
      <c r="Q315" s="183" t="s">
        <v>14</v>
      </c>
      <c r="R315" s="99">
        <f>ROUND(R313/SUM(G316,G431,G499),$R$9)</f>
        <v>-2.9999999999999997E-4</v>
      </c>
    </row>
    <row r="316" spans="1:18" ht="16.5" thickBot="1">
      <c r="A316" s="171" t="s">
        <v>26</v>
      </c>
      <c r="C316" s="228">
        <v>10497984.469308628</v>
      </c>
      <c r="E316" s="195"/>
      <c r="G316" s="196">
        <v>1383266.8705464662</v>
      </c>
      <c r="I316" s="211"/>
      <c r="K316" s="208">
        <f>SUM(K312:K315)</f>
        <v>-276.65337410929328</v>
      </c>
      <c r="M316" s="211"/>
      <c r="O316" s="208">
        <f>SUM(O312:O315)</f>
        <v>-414.98006116393981</v>
      </c>
      <c r="Q316" s="212"/>
      <c r="R316" s="212"/>
    </row>
    <row r="317" spans="1:18" ht="16.5" thickTop="1">
      <c r="D317" s="193"/>
      <c r="I317" s="12"/>
      <c r="J317" s="172"/>
      <c r="M317" s="175"/>
      <c r="N317" s="172"/>
      <c r="Q317" s="212"/>
      <c r="R317" s="212"/>
    </row>
    <row r="318" spans="1:18">
      <c r="A318" s="167" t="s">
        <v>27</v>
      </c>
      <c r="I318" s="12"/>
      <c r="J318" s="172"/>
      <c r="M318" s="175"/>
      <c r="N318" s="172"/>
    </row>
    <row r="319" spans="1:18">
      <c r="A319" s="171" t="s">
        <v>7</v>
      </c>
      <c r="C319" s="156">
        <v>2823</v>
      </c>
      <c r="E319" s="172">
        <v>71</v>
      </c>
      <c r="F319" s="172"/>
      <c r="G319" s="157">
        <v>200433</v>
      </c>
      <c r="I319" s="175"/>
      <c r="J319" s="172"/>
      <c r="M319" s="175"/>
      <c r="N319" s="172"/>
      <c r="Q319" s="154" t="s">
        <v>171</v>
      </c>
    </row>
    <row r="320" spans="1:18">
      <c r="A320" s="171" t="s">
        <v>28</v>
      </c>
      <c r="C320" s="156">
        <v>4249794</v>
      </c>
      <c r="E320" s="172">
        <v>4.8099999999999996</v>
      </c>
      <c r="F320" s="172"/>
      <c r="G320" s="157">
        <v>20441509</v>
      </c>
      <c r="I320" s="16"/>
      <c r="J320" s="172"/>
      <c r="M320" s="16"/>
      <c r="N320" s="172"/>
      <c r="Q320" s="215" t="s">
        <v>11</v>
      </c>
      <c r="R320" s="216">
        <f>SUM(O328,O340,O669)</f>
        <v>-103917.19200000001</v>
      </c>
    </row>
    <row r="321" spans="1:18">
      <c r="A321" s="171" t="s">
        <v>245</v>
      </c>
      <c r="C321" s="156">
        <v>1442193</v>
      </c>
      <c r="E321" s="193">
        <v>15.73</v>
      </c>
      <c r="F321" s="193"/>
      <c r="G321" s="157">
        <v>22685696</v>
      </c>
      <c r="I321" s="100">
        <v>-5.9999999999999995E-4</v>
      </c>
      <c r="J321" s="172"/>
      <c r="K321" s="157">
        <f t="shared" ref="K321:K324" si="67">$G321*I321</f>
        <v>-13611.417599999999</v>
      </c>
      <c r="M321" s="217">
        <f>R323</f>
        <v>-8.0000000000000004E-4</v>
      </c>
      <c r="N321" s="172"/>
      <c r="O321" s="157">
        <f t="shared" ref="O321:O324" si="68">$G321*M321</f>
        <v>-18148.556800000002</v>
      </c>
      <c r="Q321" s="178" t="s">
        <v>12</v>
      </c>
      <c r="R321" s="179">
        <f>('Exhibit-RMP(RMM-1) page 2'!K23+'Exhibit-RMP(RMM-1) page 2'!K31*SUM('Exhibit-RMP(RMM-2)'!G662:G667)/SUM('Exhibit-RMP(RMM-2)'!G662:G667,'Exhibit-RMP(RMM-2)'!G671:G676))*1000</f>
        <v>-99331.544531325198</v>
      </c>
    </row>
    <row r="322" spans="1:18">
      <c r="A322" s="171" t="s">
        <v>246</v>
      </c>
      <c r="C322" s="156">
        <v>2597774</v>
      </c>
      <c r="E322" s="193">
        <v>13.92</v>
      </c>
      <c r="F322" s="193"/>
      <c r="G322" s="157">
        <v>36161014</v>
      </c>
      <c r="I322" s="12">
        <f>I$321</f>
        <v>-5.9999999999999995E-4</v>
      </c>
      <c r="J322" s="172"/>
      <c r="K322" s="157">
        <f t="shared" si="67"/>
        <v>-21696.608399999997</v>
      </c>
      <c r="M322" s="12">
        <f>M$321</f>
        <v>-8.0000000000000004E-4</v>
      </c>
      <c r="N322" s="172"/>
      <c r="O322" s="157">
        <f t="shared" si="68"/>
        <v>-28928.8112</v>
      </c>
      <c r="Q322" s="180" t="s">
        <v>13</v>
      </c>
      <c r="R322" s="181">
        <f>R321-R320</f>
        <v>4585.6474686748115</v>
      </c>
    </row>
    <row r="323" spans="1:18">
      <c r="A323" s="171" t="s">
        <v>207</v>
      </c>
      <c r="C323" s="156">
        <v>186186148.05356526</v>
      </c>
      <c r="E323" s="209">
        <v>5.8281999999999998</v>
      </c>
      <c r="F323" s="182" t="s">
        <v>10</v>
      </c>
      <c r="G323" s="157">
        <v>10851301</v>
      </c>
      <c r="I323" s="12">
        <f t="shared" ref="I323:I326" si="69">I$321</f>
        <v>-5.9999999999999995E-4</v>
      </c>
      <c r="J323" s="172"/>
      <c r="K323" s="157">
        <f t="shared" si="67"/>
        <v>-6510.7805999999991</v>
      </c>
      <c r="M323" s="12">
        <f t="shared" ref="M323:M326" si="70">M$321</f>
        <v>-8.0000000000000004E-4</v>
      </c>
      <c r="N323" s="172"/>
      <c r="O323" s="157">
        <f t="shared" si="68"/>
        <v>-8681.0408000000007</v>
      </c>
      <c r="Q323" s="183" t="s">
        <v>14</v>
      </c>
      <c r="R323" s="99">
        <f>ROUND(R321/SUM(G321:G326,G333:G338,G662:G667),$R$9)</f>
        <v>-8.0000000000000004E-4</v>
      </c>
    </row>
    <row r="324" spans="1:18">
      <c r="A324" s="171" t="s">
        <v>247</v>
      </c>
      <c r="C324" s="156">
        <v>270238556</v>
      </c>
      <c r="E324" s="209">
        <v>5.1577000000000002</v>
      </c>
      <c r="F324" s="182" t="s">
        <v>10</v>
      </c>
      <c r="G324" s="157">
        <v>13938094</v>
      </c>
      <c r="I324" s="12">
        <f t="shared" si="69"/>
        <v>-5.9999999999999995E-4</v>
      </c>
      <c r="J324" s="172"/>
      <c r="K324" s="157">
        <f t="shared" si="67"/>
        <v>-8362.8563999999988</v>
      </c>
      <c r="M324" s="12">
        <f t="shared" si="70"/>
        <v>-8.0000000000000004E-4</v>
      </c>
      <c r="N324" s="172"/>
      <c r="O324" s="157">
        <f t="shared" si="68"/>
        <v>-11150.475200000001</v>
      </c>
      <c r="Q324" s="212"/>
      <c r="R324" s="212"/>
    </row>
    <row r="325" spans="1:18">
      <c r="A325" s="171" t="s">
        <v>208</v>
      </c>
      <c r="C325" s="156">
        <v>524787623</v>
      </c>
      <c r="E325" s="209">
        <v>2.9624000000000001</v>
      </c>
      <c r="F325" s="182" t="s">
        <v>10</v>
      </c>
      <c r="G325" s="157">
        <v>15546309</v>
      </c>
      <c r="I325" s="12">
        <f t="shared" si="69"/>
        <v>-5.9999999999999995E-4</v>
      </c>
      <c r="J325" s="172"/>
      <c r="K325" s="157">
        <f>$G325*I325</f>
        <v>-9327.7853999999988</v>
      </c>
      <c r="M325" s="12">
        <f t="shared" si="70"/>
        <v>-8.0000000000000004E-4</v>
      </c>
      <c r="N325" s="172"/>
      <c r="O325" s="157">
        <f>$G325*M325</f>
        <v>-12437.047200000001</v>
      </c>
      <c r="Q325" s="212"/>
      <c r="R325" s="212"/>
    </row>
    <row r="326" spans="1:18">
      <c r="A326" s="171" t="s">
        <v>248</v>
      </c>
      <c r="C326" s="156">
        <v>976265495</v>
      </c>
      <c r="E326" s="209">
        <v>2.6215999999999999</v>
      </c>
      <c r="F326" s="182" t="s">
        <v>10</v>
      </c>
      <c r="G326" s="157">
        <v>25593776</v>
      </c>
      <c r="I326" s="12">
        <f t="shared" si="69"/>
        <v>-5.9999999999999995E-4</v>
      </c>
      <c r="J326" s="172"/>
      <c r="K326" s="157">
        <f>$G326*I326</f>
        <v>-15356.265599999999</v>
      </c>
      <c r="M326" s="12">
        <f t="shared" si="70"/>
        <v>-8.0000000000000004E-4</v>
      </c>
      <c r="N326" s="172"/>
      <c r="O326" s="157">
        <f>$G326*M326</f>
        <v>-20475.020800000002</v>
      </c>
      <c r="Q326" s="212"/>
      <c r="R326" s="212"/>
    </row>
    <row r="327" spans="1:18">
      <c r="A327" s="171" t="s">
        <v>18</v>
      </c>
      <c r="C327" s="156">
        <v>1886120</v>
      </c>
      <c r="E327" s="172">
        <v>-1.1299999999999999</v>
      </c>
      <c r="F327" s="172"/>
      <c r="G327" s="157">
        <v>-2131316</v>
      </c>
      <c r="Q327" s="212"/>
      <c r="R327" s="212"/>
    </row>
    <row r="328" spans="1:18" ht="16.5" thickBot="1">
      <c r="A328" s="171" t="s">
        <v>15</v>
      </c>
      <c r="C328" s="221">
        <v>1957477822.0535653</v>
      </c>
      <c r="E328" s="195"/>
      <c r="G328" s="196">
        <v>143286816</v>
      </c>
      <c r="I328" s="211"/>
      <c r="K328" s="208">
        <f>SUM(K321:K327)</f>
        <v>-74865.713999999993</v>
      </c>
      <c r="M328" s="211"/>
      <c r="O328" s="208">
        <f>SUM(O321:O327)</f>
        <v>-99820.952000000005</v>
      </c>
      <c r="Q328" s="212"/>
      <c r="R328" s="212"/>
    </row>
    <row r="329" spans="1:18" ht="16.5" thickTop="1">
      <c r="I329" s="12"/>
      <c r="J329" s="172"/>
      <c r="M329" s="175"/>
      <c r="N329" s="172"/>
      <c r="Q329" s="212"/>
      <c r="R329" s="212"/>
    </row>
    <row r="330" spans="1:18">
      <c r="A330" s="167" t="s">
        <v>249</v>
      </c>
      <c r="I330" s="12"/>
      <c r="J330" s="172"/>
      <c r="M330" s="175"/>
      <c r="N330" s="172"/>
      <c r="Q330" s="212"/>
      <c r="R330" s="212"/>
    </row>
    <row r="331" spans="1:18">
      <c r="A331" s="171" t="s">
        <v>7</v>
      </c>
      <c r="C331" s="156">
        <v>168</v>
      </c>
      <c r="E331" s="193">
        <v>71</v>
      </c>
      <c r="F331" s="193"/>
      <c r="G331" s="157">
        <v>11928</v>
      </c>
      <c r="J331" s="193"/>
      <c r="N331" s="193"/>
      <c r="Q331" s="212"/>
      <c r="R331" s="212"/>
    </row>
    <row r="332" spans="1:18">
      <c r="A332" s="171" t="s">
        <v>28</v>
      </c>
      <c r="C332" s="156">
        <v>150062</v>
      </c>
      <c r="E332" s="193">
        <v>4.8099999999999996</v>
      </c>
      <c r="F332" s="193"/>
      <c r="G332" s="157">
        <v>721798</v>
      </c>
      <c r="I332" s="12"/>
      <c r="J332" s="172"/>
      <c r="M332" s="175"/>
      <c r="N332" s="172"/>
      <c r="Q332" s="212"/>
      <c r="R332" s="212"/>
    </row>
    <row r="333" spans="1:18">
      <c r="A333" s="171" t="s">
        <v>245</v>
      </c>
      <c r="C333" s="156">
        <v>50706</v>
      </c>
      <c r="E333" s="193">
        <v>15.73</v>
      </c>
      <c r="F333" s="193"/>
      <c r="G333" s="157">
        <v>797605</v>
      </c>
      <c r="I333" s="12">
        <f t="shared" ref="I333:I338" si="71">I$321</f>
        <v>-5.9999999999999995E-4</v>
      </c>
      <c r="J333" s="172"/>
      <c r="K333" s="157">
        <f t="shared" ref="K333:K338" si="72">$G333*I333</f>
        <v>-478.56299999999993</v>
      </c>
      <c r="M333" s="12">
        <f t="shared" ref="M333:M338" si="73">M$321</f>
        <v>-8.0000000000000004E-4</v>
      </c>
      <c r="N333" s="172"/>
      <c r="O333" s="157">
        <f t="shared" ref="O333:O338" si="74">$G333*M333</f>
        <v>-638.08400000000006</v>
      </c>
      <c r="Q333" s="212"/>
      <c r="R333" s="212"/>
    </row>
    <row r="334" spans="1:18">
      <c r="A334" s="171" t="s">
        <v>246</v>
      </c>
      <c r="C334" s="156">
        <v>91835</v>
      </c>
      <c r="E334" s="193">
        <v>13.92</v>
      </c>
      <c r="F334" s="193"/>
      <c r="G334" s="157">
        <v>1278343</v>
      </c>
      <c r="I334" s="12">
        <f t="shared" si="71"/>
        <v>-5.9999999999999995E-4</v>
      </c>
      <c r="J334" s="172"/>
      <c r="K334" s="157">
        <f t="shared" si="72"/>
        <v>-767.00579999999991</v>
      </c>
      <c r="M334" s="12">
        <f t="shared" si="73"/>
        <v>-8.0000000000000004E-4</v>
      </c>
      <c r="N334" s="172"/>
      <c r="O334" s="157">
        <f t="shared" si="74"/>
        <v>-1022.6744000000001</v>
      </c>
      <c r="Q334" s="212"/>
      <c r="R334" s="212"/>
    </row>
    <row r="335" spans="1:18">
      <c r="A335" s="171" t="s">
        <v>207</v>
      </c>
      <c r="C335" s="156">
        <v>5879321.1969696805</v>
      </c>
      <c r="E335" s="209">
        <v>5.8281999999999998</v>
      </c>
      <c r="F335" s="182" t="s">
        <v>10</v>
      </c>
      <c r="G335" s="157">
        <v>342659</v>
      </c>
      <c r="I335" s="12">
        <f t="shared" si="71"/>
        <v>-5.9999999999999995E-4</v>
      </c>
      <c r="J335" s="172"/>
      <c r="K335" s="157">
        <f t="shared" si="72"/>
        <v>-205.59539999999998</v>
      </c>
      <c r="M335" s="12">
        <f t="shared" si="73"/>
        <v>-8.0000000000000004E-4</v>
      </c>
      <c r="N335" s="172"/>
      <c r="O335" s="157">
        <f t="shared" si="74"/>
        <v>-274.12720000000002</v>
      </c>
      <c r="Q335" s="212"/>
      <c r="R335" s="212"/>
    </row>
    <row r="336" spans="1:18">
      <c r="A336" s="171" t="s">
        <v>247</v>
      </c>
      <c r="C336" s="156">
        <v>8781642</v>
      </c>
      <c r="E336" s="209">
        <v>5.1577000000000002</v>
      </c>
      <c r="F336" s="182" t="s">
        <v>10</v>
      </c>
      <c r="G336" s="157">
        <v>452931</v>
      </c>
      <c r="I336" s="12">
        <f t="shared" si="71"/>
        <v>-5.9999999999999995E-4</v>
      </c>
      <c r="J336" s="172"/>
      <c r="K336" s="157">
        <f t="shared" si="72"/>
        <v>-271.7586</v>
      </c>
      <c r="M336" s="12">
        <f t="shared" si="73"/>
        <v>-8.0000000000000004E-4</v>
      </c>
      <c r="N336" s="172"/>
      <c r="O336" s="157">
        <f t="shared" si="74"/>
        <v>-362.34480000000002</v>
      </c>
      <c r="Q336" s="212"/>
      <c r="R336" s="212"/>
    </row>
    <row r="337" spans="1:18">
      <c r="A337" s="171" t="s">
        <v>208</v>
      </c>
      <c r="C337" s="156">
        <v>16950396</v>
      </c>
      <c r="E337" s="209">
        <v>2.9624000000000001</v>
      </c>
      <c r="F337" s="182" t="s">
        <v>10</v>
      </c>
      <c r="G337" s="157">
        <v>502139</v>
      </c>
      <c r="I337" s="12">
        <f t="shared" si="71"/>
        <v>-5.9999999999999995E-4</v>
      </c>
      <c r="J337" s="172"/>
      <c r="K337" s="157">
        <f t="shared" si="72"/>
        <v>-301.28339999999997</v>
      </c>
      <c r="M337" s="12">
        <f t="shared" si="73"/>
        <v>-8.0000000000000004E-4</v>
      </c>
      <c r="N337" s="172"/>
      <c r="O337" s="157">
        <f t="shared" si="74"/>
        <v>-401.71120000000002</v>
      </c>
      <c r="Q337" s="212"/>
      <c r="R337" s="212"/>
    </row>
    <row r="338" spans="1:18">
      <c r="A338" s="171" t="s">
        <v>248</v>
      </c>
      <c r="C338" s="156">
        <v>31614263</v>
      </c>
      <c r="E338" s="209">
        <v>2.6215999999999999</v>
      </c>
      <c r="F338" s="182" t="s">
        <v>10</v>
      </c>
      <c r="G338" s="157">
        <v>828800</v>
      </c>
      <c r="I338" s="12">
        <f t="shared" si="71"/>
        <v>-5.9999999999999995E-4</v>
      </c>
      <c r="J338" s="172"/>
      <c r="K338" s="157">
        <f t="shared" si="72"/>
        <v>-497.28</v>
      </c>
      <c r="M338" s="12">
        <f t="shared" si="73"/>
        <v>-8.0000000000000004E-4</v>
      </c>
      <c r="N338" s="172"/>
      <c r="O338" s="157">
        <f t="shared" si="74"/>
        <v>-663.04000000000008</v>
      </c>
      <c r="Q338" s="212"/>
      <c r="R338" s="212"/>
    </row>
    <row r="339" spans="1:18">
      <c r="A339" s="171" t="s">
        <v>18</v>
      </c>
      <c r="C339" s="156">
        <v>85966</v>
      </c>
      <c r="E339" s="193">
        <v>-1.1299999999999999</v>
      </c>
      <c r="F339" s="193"/>
      <c r="G339" s="157">
        <v>-97142</v>
      </c>
      <c r="I339" s="12"/>
      <c r="J339" s="172"/>
      <c r="M339" s="175"/>
      <c r="N339" s="172"/>
      <c r="Q339" s="212"/>
      <c r="R339" s="212"/>
    </row>
    <row r="340" spans="1:18" ht="16.5" thickBot="1">
      <c r="A340" s="171" t="s">
        <v>15</v>
      </c>
      <c r="C340" s="221">
        <v>63225622.19696968</v>
      </c>
      <c r="E340" s="200"/>
      <c r="G340" s="208">
        <v>4839061</v>
      </c>
      <c r="I340" s="211"/>
      <c r="K340" s="208">
        <f>SUM(K333:K339)</f>
        <v>-2521.4861999999998</v>
      </c>
      <c r="M340" s="211"/>
      <c r="O340" s="208">
        <f>SUM(O333:O339)</f>
        <v>-3361.9816000000001</v>
      </c>
      <c r="Q340" s="212"/>
      <c r="R340" s="212"/>
    </row>
    <row r="341" spans="1:18" ht="16.5" thickTop="1">
      <c r="A341" s="229"/>
      <c r="B341" s="229"/>
      <c r="C341" s="230"/>
      <c r="D341" s="229"/>
      <c r="E341" s="229"/>
      <c r="F341" s="229"/>
      <c r="G341" s="231"/>
      <c r="I341" s="12"/>
      <c r="J341" s="172"/>
      <c r="M341" s="175"/>
      <c r="N341" s="172"/>
      <c r="Q341" s="212"/>
      <c r="R341" s="212"/>
    </row>
    <row r="342" spans="1:18">
      <c r="A342" s="167" t="s">
        <v>30</v>
      </c>
      <c r="I342" s="12"/>
      <c r="J342" s="172"/>
      <c r="M342" s="175"/>
      <c r="N342" s="172"/>
    </row>
    <row r="343" spans="1:18">
      <c r="A343" s="171" t="s">
        <v>7</v>
      </c>
      <c r="C343" s="156">
        <v>1872</v>
      </c>
      <c r="E343" s="172">
        <v>266</v>
      </c>
      <c r="F343" s="172"/>
      <c r="G343" s="157">
        <v>497952</v>
      </c>
      <c r="I343" s="16"/>
      <c r="J343" s="172"/>
      <c r="M343" s="16"/>
      <c r="N343" s="172"/>
      <c r="Q343" s="155" t="s">
        <v>337</v>
      </c>
    </row>
    <row r="344" spans="1:18">
      <c r="A344" s="171" t="s">
        <v>28</v>
      </c>
      <c r="C344" s="156">
        <v>8792631</v>
      </c>
      <c r="E344" s="172">
        <v>2.2799999999999998</v>
      </c>
      <c r="F344" s="172"/>
      <c r="G344" s="157">
        <v>20047199</v>
      </c>
      <c r="I344" s="16"/>
      <c r="J344" s="172"/>
      <c r="M344" s="16"/>
      <c r="N344" s="172"/>
      <c r="Q344" s="215" t="s">
        <v>11</v>
      </c>
      <c r="R344" s="216">
        <f>SUM(O351,O536,O677,O721)</f>
        <v>-262855.07400000002</v>
      </c>
    </row>
    <row r="345" spans="1:18">
      <c r="A345" s="171" t="s">
        <v>245</v>
      </c>
      <c r="C345" s="156">
        <v>2857444</v>
      </c>
      <c r="E345" s="193">
        <v>14.33</v>
      </c>
      <c r="F345" s="193"/>
      <c r="G345" s="157">
        <v>40947173</v>
      </c>
      <c r="I345" s="100">
        <v>-8.9999999999999998E-4</v>
      </c>
      <c r="J345" s="172"/>
      <c r="K345" s="157">
        <f t="shared" ref="K345" si="75">$G345*I345</f>
        <v>-36852.455699999999</v>
      </c>
      <c r="M345" s="100">
        <f>R347</f>
        <v>-1E-3</v>
      </c>
      <c r="N345" s="172"/>
      <c r="O345" s="157">
        <f t="shared" ref="O345" si="76">$G345*M345</f>
        <v>-40947.173000000003</v>
      </c>
      <c r="Q345" s="178" t="s">
        <v>12</v>
      </c>
      <c r="R345" s="179">
        <f>('Exhibit-RMP(RMM-1) page 2'!K24+'Exhibit-RMP(RMM-1) page 2'!K32+'Exhibit-RMP(RMM-1) page 2'!K31*SUM('Exhibit-RMP(RMM-2)'!G671:G676)/SUM('Exhibit-RMP(RMM-2)'!G662:G667,'Exhibit-RMP(RMM-2)'!G671:G676))*1000</f>
        <v>-254782.28725792019</v>
      </c>
    </row>
    <row r="346" spans="1:18">
      <c r="A346" s="171" t="s">
        <v>246</v>
      </c>
      <c r="C346" s="156">
        <v>5600405</v>
      </c>
      <c r="E346" s="193">
        <v>12.68</v>
      </c>
      <c r="F346" s="193"/>
      <c r="G346" s="157">
        <v>71013135</v>
      </c>
      <c r="I346" s="12">
        <f>I$345</f>
        <v>-8.9999999999999998E-4</v>
      </c>
      <c r="J346" s="172"/>
      <c r="K346" s="157">
        <f t="shared" ref="K346" si="77">$G346*I346</f>
        <v>-63911.821499999998</v>
      </c>
      <c r="M346" s="12">
        <f>M$345</f>
        <v>-1E-3</v>
      </c>
      <c r="N346" s="172"/>
      <c r="O346" s="157">
        <f t="shared" ref="O346" si="78">$G346*M346</f>
        <v>-71013.134999999995</v>
      </c>
      <c r="Q346" s="180" t="s">
        <v>13</v>
      </c>
      <c r="R346" s="181">
        <f>R345-R344</f>
        <v>8072.7867420798284</v>
      </c>
    </row>
    <row r="347" spans="1:18">
      <c r="A347" s="171" t="s">
        <v>207</v>
      </c>
      <c r="C347" s="156">
        <v>337257779</v>
      </c>
      <c r="E347" s="209">
        <v>5.1477000000000004</v>
      </c>
      <c r="F347" s="182" t="s">
        <v>10</v>
      </c>
      <c r="G347" s="157">
        <v>17361019</v>
      </c>
      <c r="I347" s="12">
        <f t="shared" ref="I347:I350" si="79">I$345</f>
        <v>-8.9999999999999998E-4</v>
      </c>
      <c r="J347" s="172"/>
      <c r="K347" s="157">
        <f t="shared" ref="K347:K350" si="80">$G347*I347</f>
        <v>-15624.917099999999</v>
      </c>
      <c r="M347" s="12">
        <f t="shared" ref="M347:M350" si="81">M$345</f>
        <v>-1E-3</v>
      </c>
      <c r="N347" s="172"/>
      <c r="O347" s="157">
        <f t="shared" ref="O347:O350" si="82">$G347*M347</f>
        <v>-17361.019</v>
      </c>
      <c r="Q347" s="183" t="s">
        <v>14</v>
      </c>
      <c r="R347" s="104">
        <f>ROUND(R345/SUM(G345:G350,G530:G535,G671:G676,G715:G720),$R$9)</f>
        <v>-1E-3</v>
      </c>
    </row>
    <row r="348" spans="1:18">
      <c r="A348" s="171" t="s">
        <v>247</v>
      </c>
      <c r="C348" s="156">
        <v>653220065</v>
      </c>
      <c r="E348" s="209">
        <v>4.5555000000000003</v>
      </c>
      <c r="F348" s="182" t="s">
        <v>10</v>
      </c>
      <c r="G348" s="157">
        <v>29757440</v>
      </c>
      <c r="I348" s="12">
        <f t="shared" si="79"/>
        <v>-8.9999999999999998E-4</v>
      </c>
      <c r="J348" s="172"/>
      <c r="K348" s="157">
        <f t="shared" si="80"/>
        <v>-26781.696</v>
      </c>
      <c r="M348" s="12">
        <f t="shared" si="81"/>
        <v>-1E-3</v>
      </c>
      <c r="N348" s="172"/>
      <c r="O348" s="157">
        <f t="shared" si="82"/>
        <v>-29757.440000000002</v>
      </c>
      <c r="Q348" s="232"/>
      <c r="R348" s="102"/>
    </row>
    <row r="349" spans="1:18">
      <c r="A349" s="171" t="s">
        <v>208</v>
      </c>
      <c r="C349" s="156">
        <v>1318310247</v>
      </c>
      <c r="E349" s="209">
        <v>2.6164999999999998</v>
      </c>
      <c r="F349" s="182" t="s">
        <v>10</v>
      </c>
      <c r="G349" s="157">
        <v>34493588</v>
      </c>
      <c r="I349" s="12">
        <f t="shared" si="79"/>
        <v>-8.9999999999999998E-4</v>
      </c>
      <c r="J349" s="172"/>
      <c r="K349" s="157">
        <f t="shared" si="80"/>
        <v>-31044.229199999998</v>
      </c>
      <c r="M349" s="12">
        <f t="shared" si="81"/>
        <v>-1E-3</v>
      </c>
      <c r="N349" s="172"/>
      <c r="O349" s="157">
        <f t="shared" si="82"/>
        <v>-34493.588000000003</v>
      </c>
      <c r="Q349" s="218"/>
      <c r="R349" s="233"/>
    </row>
    <row r="350" spans="1:18">
      <c r="A350" s="171" t="s">
        <v>248</v>
      </c>
      <c r="C350" s="156">
        <v>2538543863.3051271</v>
      </c>
      <c r="E350" s="209">
        <v>2.3155000000000001</v>
      </c>
      <c r="F350" s="182" t="s">
        <v>10</v>
      </c>
      <c r="G350" s="157">
        <v>58779983</v>
      </c>
      <c r="I350" s="12">
        <f t="shared" si="79"/>
        <v>-8.9999999999999998E-4</v>
      </c>
      <c r="J350" s="172"/>
      <c r="K350" s="157">
        <f t="shared" si="80"/>
        <v>-52901.984700000001</v>
      </c>
      <c r="M350" s="12">
        <f t="shared" si="81"/>
        <v>-1E-3</v>
      </c>
      <c r="N350" s="172"/>
      <c r="O350" s="157">
        <f t="shared" si="82"/>
        <v>-58779.983</v>
      </c>
      <c r="Q350" s="212"/>
      <c r="R350" s="212"/>
    </row>
    <row r="351" spans="1:18" ht="16.5" thickBot="1">
      <c r="A351" s="171" t="s">
        <v>15</v>
      </c>
      <c r="C351" s="221">
        <v>4847331954.3051271</v>
      </c>
      <c r="E351" s="200"/>
      <c r="G351" s="208">
        <v>272897489</v>
      </c>
      <c r="I351" s="14"/>
      <c r="J351" s="13"/>
      <c r="K351" s="44">
        <f>SUM(K345:K350)</f>
        <v>-227117.1042</v>
      </c>
      <c r="M351" s="14"/>
      <c r="N351" s="13"/>
      <c r="O351" s="44">
        <f>SUM(O345:O350)</f>
        <v>-252352.33799999999</v>
      </c>
      <c r="Q351" s="212"/>
      <c r="R351" s="212"/>
    </row>
    <row r="352" spans="1:18" ht="16.5" thickTop="1">
      <c r="I352" s="11"/>
      <c r="J352" s="12"/>
      <c r="M352" s="11"/>
      <c r="N352" s="12"/>
      <c r="Q352" s="212"/>
      <c r="R352" s="212"/>
    </row>
    <row r="353" spans="1:18">
      <c r="A353" s="167" t="s">
        <v>176</v>
      </c>
      <c r="E353" s="209"/>
      <c r="F353" s="209"/>
      <c r="Q353" s="212"/>
      <c r="R353" s="212"/>
    </row>
    <row r="354" spans="1:18">
      <c r="A354" s="171" t="s">
        <v>7</v>
      </c>
      <c r="C354" s="156">
        <v>108</v>
      </c>
      <c r="E354" s="172">
        <v>266</v>
      </c>
      <c r="F354" s="172"/>
      <c r="G354" s="157">
        <v>28728</v>
      </c>
      <c r="Q354" s="215" t="s">
        <v>11</v>
      </c>
      <c r="R354" s="216">
        <f>O362</f>
        <v>-2651.2442000000001</v>
      </c>
    </row>
    <row r="355" spans="1:18">
      <c r="A355" s="171" t="s">
        <v>33</v>
      </c>
      <c r="C355" s="156">
        <v>243087</v>
      </c>
      <c r="E355" s="172">
        <v>2.2799999999999998</v>
      </c>
      <c r="F355" s="172"/>
      <c r="G355" s="157">
        <v>554238</v>
      </c>
      <c r="I355" s="175"/>
      <c r="J355" s="172"/>
      <c r="M355" s="175"/>
      <c r="N355" s="172"/>
      <c r="Q355" s="178" t="s">
        <v>12</v>
      </c>
      <c r="R355" s="179">
        <f>'Exhibit-RMP(RMM-1) page 2'!K25*1000</f>
        <v>-2767.3819009764611</v>
      </c>
    </row>
    <row r="356" spans="1:18">
      <c r="A356" s="171" t="s">
        <v>245</v>
      </c>
      <c r="C356" s="156">
        <v>76062</v>
      </c>
      <c r="E356" s="193">
        <v>4.7300000000000004</v>
      </c>
      <c r="F356" s="193"/>
      <c r="G356" s="157">
        <v>359773</v>
      </c>
      <c r="I356" s="100">
        <v>-1E-3</v>
      </c>
      <c r="J356" s="172"/>
      <c r="K356" s="157">
        <f t="shared" ref="K356:K357" si="83">$G356*I356</f>
        <v>-359.77300000000002</v>
      </c>
      <c r="M356" s="100">
        <f>R357</f>
        <v>-1.1000000000000001E-3</v>
      </c>
      <c r="N356" s="172"/>
      <c r="O356" s="157">
        <f t="shared" ref="O356:O357" si="84">$G356*M356</f>
        <v>-395.75030000000004</v>
      </c>
      <c r="Q356" s="180" t="s">
        <v>13</v>
      </c>
      <c r="R356" s="181">
        <f>R355-R354</f>
        <v>-116.13770097646102</v>
      </c>
    </row>
    <row r="357" spans="1:18">
      <c r="A357" s="171" t="s">
        <v>246</v>
      </c>
      <c r="C357" s="156">
        <v>169650</v>
      </c>
      <c r="E357" s="193">
        <v>4.18</v>
      </c>
      <c r="F357" s="193"/>
      <c r="G357" s="157">
        <v>709137</v>
      </c>
      <c r="I357" s="12">
        <f>I$356</f>
        <v>-1E-3</v>
      </c>
      <c r="J357" s="172"/>
      <c r="K357" s="157">
        <f t="shared" si="83"/>
        <v>-709.13700000000006</v>
      </c>
      <c r="M357" s="12">
        <f>M$356</f>
        <v>-1.1000000000000001E-3</v>
      </c>
      <c r="N357" s="172"/>
      <c r="O357" s="157">
        <f t="shared" si="84"/>
        <v>-780.05070000000001</v>
      </c>
      <c r="Q357" s="183" t="s">
        <v>14</v>
      </c>
      <c r="R357" s="99">
        <f>ROUND(R355/SUM(G356:G361),$R$9)</f>
        <v>-1.1000000000000001E-3</v>
      </c>
    </row>
    <row r="358" spans="1:18">
      <c r="A358" s="171" t="s">
        <v>207</v>
      </c>
      <c r="C358" s="156">
        <v>6818306</v>
      </c>
      <c r="E358" s="209">
        <v>5.1477000000000004</v>
      </c>
      <c r="F358" s="182" t="s">
        <v>10</v>
      </c>
      <c r="G358" s="157">
        <v>350986</v>
      </c>
      <c r="I358" s="12">
        <f t="shared" ref="I358:I361" si="85">I$356</f>
        <v>-1E-3</v>
      </c>
      <c r="J358" s="172"/>
      <c r="K358" s="157">
        <f t="shared" ref="K358:K361" si="86">$G358*I358</f>
        <v>-350.98599999999999</v>
      </c>
      <c r="M358" s="12">
        <f t="shared" ref="M358:M361" si="87">M$356</f>
        <v>-1.1000000000000001E-3</v>
      </c>
      <c r="N358" s="172"/>
      <c r="O358" s="157">
        <f t="shared" ref="O358:O361" si="88">$G358*M358</f>
        <v>-386.08460000000002</v>
      </c>
      <c r="Q358" s="212"/>
      <c r="R358" s="212"/>
    </row>
    <row r="359" spans="1:18">
      <c r="A359" s="171" t="s">
        <v>247</v>
      </c>
      <c r="C359" s="156">
        <v>7138084</v>
      </c>
      <c r="E359" s="209">
        <v>4.5555000000000003</v>
      </c>
      <c r="F359" s="182" t="s">
        <v>10</v>
      </c>
      <c r="G359" s="157">
        <v>325175</v>
      </c>
      <c r="I359" s="12">
        <f t="shared" si="85"/>
        <v>-1E-3</v>
      </c>
      <c r="J359" s="172"/>
      <c r="K359" s="157">
        <f t="shared" si="86"/>
        <v>-325.17500000000001</v>
      </c>
      <c r="M359" s="12">
        <f t="shared" si="87"/>
        <v>-1.1000000000000001E-3</v>
      </c>
      <c r="N359" s="172"/>
      <c r="O359" s="157">
        <f t="shared" si="88"/>
        <v>-357.6925</v>
      </c>
      <c r="Q359" s="212"/>
      <c r="R359" s="234"/>
    </row>
    <row r="360" spans="1:18">
      <c r="A360" s="171" t="s">
        <v>208</v>
      </c>
      <c r="C360" s="156">
        <v>5708900</v>
      </c>
      <c r="E360" s="209">
        <v>2.6164999999999998</v>
      </c>
      <c r="F360" s="182" t="s">
        <v>10</v>
      </c>
      <c r="G360" s="157">
        <v>149373</v>
      </c>
      <c r="I360" s="12">
        <f t="shared" si="85"/>
        <v>-1E-3</v>
      </c>
      <c r="J360" s="172"/>
      <c r="K360" s="157">
        <f t="shared" si="86"/>
        <v>-149.37299999999999</v>
      </c>
      <c r="M360" s="12">
        <f t="shared" si="87"/>
        <v>-1.1000000000000001E-3</v>
      </c>
      <c r="N360" s="172"/>
      <c r="O360" s="157">
        <f t="shared" si="88"/>
        <v>-164.31030000000001</v>
      </c>
      <c r="Q360" s="212"/>
      <c r="R360" s="234"/>
    </row>
    <row r="361" spans="1:18">
      <c r="A361" s="171" t="s">
        <v>248</v>
      </c>
      <c r="C361" s="156">
        <v>22274997.423445866</v>
      </c>
      <c r="E361" s="209">
        <v>2.3155000000000001</v>
      </c>
      <c r="F361" s="182" t="s">
        <v>10</v>
      </c>
      <c r="G361" s="157">
        <v>515778</v>
      </c>
      <c r="I361" s="12">
        <f t="shared" si="85"/>
        <v>-1E-3</v>
      </c>
      <c r="J361" s="172"/>
      <c r="K361" s="157">
        <f t="shared" si="86"/>
        <v>-515.77800000000002</v>
      </c>
      <c r="M361" s="12">
        <f t="shared" si="87"/>
        <v>-1.1000000000000001E-3</v>
      </c>
      <c r="N361" s="172"/>
      <c r="O361" s="157">
        <f t="shared" si="88"/>
        <v>-567.35580000000004</v>
      </c>
      <c r="Q361" s="212"/>
      <c r="R361" s="234"/>
    </row>
    <row r="362" spans="1:18" ht="16.5" thickBot="1">
      <c r="A362" s="171" t="s">
        <v>15</v>
      </c>
      <c r="C362" s="221">
        <v>41940288</v>
      </c>
      <c r="E362" s="200"/>
      <c r="G362" s="208">
        <v>2993188</v>
      </c>
      <c r="I362" s="14"/>
      <c r="J362" s="13"/>
      <c r="K362" s="44">
        <f>SUM(K356:K361)</f>
        <v>-2410.2220000000002</v>
      </c>
      <c r="M362" s="14"/>
      <c r="N362" s="13"/>
      <c r="O362" s="44">
        <f>SUM(O356:O361)</f>
        <v>-2651.2442000000001</v>
      </c>
    </row>
    <row r="363" spans="1:18" ht="16.5" thickTop="1"/>
    <row r="364" spans="1:18">
      <c r="A364" s="167" t="s">
        <v>35</v>
      </c>
      <c r="I364" s="12"/>
      <c r="J364" s="182"/>
      <c r="M364" s="175"/>
      <c r="N364" s="182"/>
    </row>
    <row r="365" spans="1:18">
      <c r="A365" s="171" t="s">
        <v>36</v>
      </c>
      <c r="C365" s="156">
        <v>10</v>
      </c>
      <c r="E365" s="193">
        <v>122</v>
      </c>
      <c r="F365" s="193"/>
      <c r="G365" s="157">
        <v>1220</v>
      </c>
      <c r="Q365" s="215" t="s">
        <v>11</v>
      </c>
      <c r="R365" s="216">
        <f>O377+O394+O409</f>
        <v>-8771.4720000000016</v>
      </c>
    </row>
    <row r="366" spans="1:18">
      <c r="A366" s="171" t="s">
        <v>37</v>
      </c>
      <c r="C366" s="156">
        <v>3273</v>
      </c>
      <c r="E366" s="193">
        <v>37</v>
      </c>
      <c r="F366" s="193"/>
      <c r="G366" s="157">
        <v>121101</v>
      </c>
      <c r="Q366" s="178" t="s">
        <v>12</v>
      </c>
      <c r="R366" s="179">
        <f>'Exhibit-RMP(RMM-1) page 2'!K29*1000</f>
        <v>-8575.4781348911674</v>
      </c>
    </row>
    <row r="367" spans="1:18">
      <c r="A367" s="171" t="s">
        <v>38</v>
      </c>
      <c r="C367" s="156">
        <v>14850</v>
      </c>
      <c r="E367" s="193">
        <v>14</v>
      </c>
      <c r="F367" s="193"/>
      <c r="G367" s="157">
        <v>207900</v>
      </c>
      <c r="I367" s="154"/>
      <c r="M367" s="154"/>
      <c r="Q367" s="180" t="s">
        <v>13</v>
      </c>
      <c r="R367" s="181">
        <f>R366-R365</f>
        <v>195.99386510883414</v>
      </c>
    </row>
    <row r="368" spans="1:18">
      <c r="A368" s="171" t="s">
        <v>39</v>
      </c>
      <c r="C368" s="156">
        <v>425282</v>
      </c>
      <c r="E368" s="193">
        <v>7.14</v>
      </c>
      <c r="F368" s="193"/>
      <c r="G368" s="157">
        <v>3036513</v>
      </c>
      <c r="I368" s="100">
        <v>-5.9999999999999995E-4</v>
      </c>
      <c r="J368" s="172"/>
      <c r="K368" s="157">
        <f t="shared" ref="K368" si="89">$G368*I368</f>
        <v>-1821.9078</v>
      </c>
      <c r="M368" s="100">
        <f>R368</f>
        <v>-5.0000000000000001E-4</v>
      </c>
      <c r="N368" s="172"/>
      <c r="O368" s="157">
        <f t="shared" ref="O368" si="90">$G368*M368</f>
        <v>-1518.2565</v>
      </c>
      <c r="Q368" s="183" t="s">
        <v>14</v>
      </c>
      <c r="R368" s="99">
        <f>ROUND(R366/SUM(G368,G370:G371,G375,G383,G385:G388,G392,G400,G402:G403,G407),$R$9)</f>
        <v>-5.0000000000000001E-4</v>
      </c>
    </row>
    <row r="369" spans="1:18">
      <c r="A369" s="171" t="s">
        <v>18</v>
      </c>
      <c r="C369" s="156">
        <v>4699</v>
      </c>
      <c r="E369" s="193">
        <v>-2.0499999999999998</v>
      </c>
      <c r="F369" s="193"/>
      <c r="G369" s="157">
        <v>-9633</v>
      </c>
      <c r="I369" s="11"/>
      <c r="J369" s="12"/>
      <c r="M369" s="11"/>
      <c r="N369" s="12"/>
      <c r="Q369" s="212"/>
      <c r="R369" s="212"/>
    </row>
    <row r="370" spans="1:18">
      <c r="A370" s="171" t="s">
        <v>40</v>
      </c>
      <c r="C370" s="156">
        <v>90734008</v>
      </c>
      <c r="E370" s="184">
        <v>7.1125999999999996</v>
      </c>
      <c r="F370" s="182" t="s">
        <v>10</v>
      </c>
      <c r="G370" s="157">
        <v>6453547</v>
      </c>
      <c r="I370" s="12">
        <f>I$368</f>
        <v>-5.9999999999999995E-4</v>
      </c>
      <c r="J370" s="172"/>
      <c r="K370" s="157">
        <f t="shared" ref="K370" si="91">$G370*I370</f>
        <v>-3872.1281999999997</v>
      </c>
      <c r="M370" s="12">
        <f>M$368</f>
        <v>-5.0000000000000001E-4</v>
      </c>
      <c r="N370" s="172"/>
      <c r="O370" s="157">
        <f t="shared" ref="O370" si="92">$G370*M370</f>
        <v>-3226.7735000000002</v>
      </c>
      <c r="Q370" s="212"/>
    </row>
    <row r="371" spans="1:18">
      <c r="A371" s="171" t="s">
        <v>41</v>
      </c>
      <c r="C371" s="235">
        <v>54847557</v>
      </c>
      <c r="E371" s="184">
        <v>5.2572999999999999</v>
      </c>
      <c r="F371" s="182" t="s">
        <v>10</v>
      </c>
      <c r="G371" s="157">
        <v>2883501</v>
      </c>
      <c r="I371" s="12">
        <f>I$368</f>
        <v>-5.9999999999999995E-4</v>
      </c>
      <c r="J371" s="172"/>
      <c r="K371" s="157">
        <f t="shared" ref="K371" si="93">$G371*I371</f>
        <v>-1730.1005999999998</v>
      </c>
      <c r="M371" s="12">
        <f>M$368</f>
        <v>-5.0000000000000001E-4</v>
      </c>
      <c r="N371" s="172"/>
      <c r="O371" s="157">
        <f t="shared" ref="O371" si="94">$G371*M371</f>
        <v>-1441.7505000000001</v>
      </c>
      <c r="Q371" s="236"/>
    </row>
    <row r="372" spans="1:18">
      <c r="A372" s="171" t="s">
        <v>42</v>
      </c>
      <c r="C372" s="235">
        <v>145581565</v>
      </c>
      <c r="E372" s="237"/>
      <c r="G372" s="199">
        <v>12694149</v>
      </c>
      <c r="I372" s="12"/>
      <c r="J372" s="182"/>
      <c r="M372" s="16"/>
      <c r="N372" s="182"/>
      <c r="Q372" s="154"/>
      <c r="R372" s="173"/>
    </row>
    <row r="373" spans="1:18">
      <c r="A373" s="171" t="s">
        <v>43</v>
      </c>
      <c r="I373" s="12"/>
      <c r="J373" s="182"/>
      <c r="M373" s="16"/>
      <c r="N373" s="182"/>
      <c r="Q373" s="154"/>
      <c r="R373" s="173"/>
    </row>
    <row r="374" spans="1:18">
      <c r="A374" s="171" t="s">
        <v>193</v>
      </c>
      <c r="C374" s="156">
        <v>7027</v>
      </c>
      <c r="E374" s="193">
        <v>14</v>
      </c>
      <c r="F374" s="193"/>
      <c r="G374" s="157">
        <v>98378</v>
      </c>
      <c r="I374" s="16"/>
      <c r="J374" s="15"/>
      <c r="M374" s="16"/>
      <c r="N374" s="15"/>
      <c r="Q374" s="210"/>
      <c r="R374" s="173"/>
    </row>
    <row r="375" spans="1:18">
      <c r="A375" s="171" t="s">
        <v>44</v>
      </c>
      <c r="C375" s="235">
        <v>51252091</v>
      </c>
      <c r="E375" s="184">
        <v>4.8788999999999998</v>
      </c>
      <c r="F375" s="182" t="s">
        <v>10</v>
      </c>
      <c r="G375" s="157">
        <v>2500538</v>
      </c>
      <c r="I375" s="12">
        <f>I$368</f>
        <v>-5.9999999999999995E-4</v>
      </c>
      <c r="J375" s="172"/>
      <c r="K375" s="157">
        <f t="shared" ref="K375" si="95">$G375*I375</f>
        <v>-1500.3227999999999</v>
      </c>
      <c r="M375" s="12">
        <f>M$368</f>
        <v>-5.0000000000000001E-4</v>
      </c>
      <c r="N375" s="172"/>
      <c r="O375" s="157">
        <f t="shared" ref="O375" si="96">$G375*M375</f>
        <v>-1250.269</v>
      </c>
      <c r="Q375" s="154"/>
      <c r="R375" s="101"/>
    </row>
    <row r="376" spans="1:18">
      <c r="A376" s="171" t="s">
        <v>45</v>
      </c>
      <c r="C376" s="235">
        <v>51252091</v>
      </c>
      <c r="E376" s="237"/>
      <c r="G376" s="199">
        <v>2598916</v>
      </c>
      <c r="J376" s="209"/>
      <c r="N376" s="209"/>
    </row>
    <row r="377" spans="1:18" ht="16.5" thickBot="1">
      <c r="A377" s="171" t="s">
        <v>46</v>
      </c>
      <c r="C377" s="221">
        <v>196833656</v>
      </c>
      <c r="E377" s="200"/>
      <c r="G377" s="208">
        <v>15293065</v>
      </c>
      <c r="I377" s="14"/>
      <c r="J377" s="13"/>
      <c r="K377" s="44">
        <f>SUM(K368:K376)</f>
        <v>-8924.4593999999997</v>
      </c>
      <c r="M377" s="14"/>
      <c r="N377" s="13"/>
      <c r="O377" s="44">
        <f>SUM(O368:O376)</f>
        <v>-7437.049500000001</v>
      </c>
      <c r="Q377" s="173"/>
    </row>
    <row r="378" spans="1:18" ht="16.5" thickTop="1">
      <c r="I378" s="175"/>
      <c r="J378" s="172"/>
      <c r="M378" s="175"/>
      <c r="N378" s="172"/>
      <c r="Q378" s="173"/>
    </row>
    <row r="379" spans="1:18">
      <c r="A379" s="167" t="s">
        <v>250</v>
      </c>
      <c r="I379" s="12"/>
      <c r="J379" s="182"/>
      <c r="M379" s="16"/>
      <c r="N379" s="182"/>
    </row>
    <row r="380" spans="1:18">
      <c r="A380" s="171" t="s">
        <v>36</v>
      </c>
      <c r="C380" s="156">
        <v>1</v>
      </c>
      <c r="E380" s="193">
        <v>122</v>
      </c>
      <c r="F380" s="193"/>
      <c r="G380" s="157">
        <v>122</v>
      </c>
      <c r="I380" s="12"/>
      <c r="J380" s="182"/>
      <c r="M380" s="16"/>
      <c r="N380" s="182"/>
    </row>
    <row r="381" spans="1:18">
      <c r="A381" s="171" t="s">
        <v>37</v>
      </c>
      <c r="C381" s="156">
        <v>55</v>
      </c>
      <c r="E381" s="193">
        <v>37</v>
      </c>
      <c r="F381" s="193"/>
      <c r="G381" s="157">
        <v>2035</v>
      </c>
      <c r="I381" s="16"/>
      <c r="J381" s="15"/>
      <c r="M381" s="16"/>
      <c r="N381" s="15"/>
    </row>
    <row r="382" spans="1:18">
      <c r="A382" s="171" t="s">
        <v>38</v>
      </c>
      <c r="C382" s="156">
        <v>285</v>
      </c>
      <c r="E382" s="193">
        <v>14</v>
      </c>
      <c r="F382" s="193"/>
      <c r="G382" s="157">
        <v>3990</v>
      </c>
      <c r="J382" s="209"/>
      <c r="N382" s="209"/>
    </row>
    <row r="383" spans="1:18">
      <c r="A383" s="171" t="s">
        <v>39</v>
      </c>
      <c r="C383" s="156">
        <v>26155</v>
      </c>
      <c r="E383" s="193">
        <v>7.14</v>
      </c>
      <c r="F383" s="193"/>
      <c r="G383" s="157">
        <v>186747</v>
      </c>
      <c r="I383" s="12">
        <f>I$368</f>
        <v>-5.9999999999999995E-4</v>
      </c>
      <c r="J383" s="172"/>
      <c r="K383" s="157">
        <f t="shared" ref="K383" si="97">$G383*I383</f>
        <v>-112.04819999999999</v>
      </c>
      <c r="M383" s="12">
        <f>M$368</f>
        <v>-5.0000000000000001E-4</v>
      </c>
      <c r="N383" s="172"/>
      <c r="O383" s="157">
        <f t="shared" ref="O383" si="98">$G383*M383</f>
        <v>-93.373500000000007</v>
      </c>
    </row>
    <row r="384" spans="1:18">
      <c r="A384" s="171" t="s">
        <v>18</v>
      </c>
      <c r="C384" s="156">
        <v>10</v>
      </c>
      <c r="E384" s="193">
        <v>-2.0499999999999998</v>
      </c>
      <c r="F384" s="193"/>
      <c r="G384" s="157">
        <v>-21</v>
      </c>
      <c r="R384" s="238"/>
    </row>
    <row r="385" spans="1:18">
      <c r="A385" s="171" t="s">
        <v>40</v>
      </c>
      <c r="C385" s="156">
        <v>3703888</v>
      </c>
      <c r="E385" s="184">
        <v>7.1125999999999996</v>
      </c>
      <c r="F385" s="182" t="s">
        <v>10</v>
      </c>
      <c r="G385" s="157">
        <v>263443</v>
      </c>
      <c r="I385" s="12">
        <f t="shared" ref="I385:I388" si="99">I$368</f>
        <v>-5.9999999999999995E-4</v>
      </c>
      <c r="J385" s="172"/>
      <c r="K385" s="157">
        <f t="shared" ref="K385:K388" si="100">$G385*I385</f>
        <v>-158.0658</v>
      </c>
      <c r="M385" s="12">
        <f t="shared" ref="M385:M388" si="101">M$368</f>
        <v>-5.0000000000000001E-4</v>
      </c>
      <c r="N385" s="172"/>
      <c r="O385" s="157">
        <f t="shared" ref="O385:O388" si="102">$G385*M385</f>
        <v>-131.72149999999999</v>
      </c>
      <c r="R385" s="239"/>
    </row>
    <row r="386" spans="1:18">
      <c r="A386" s="171" t="s">
        <v>41</v>
      </c>
      <c r="C386" s="235">
        <v>3271622</v>
      </c>
      <c r="E386" s="184">
        <v>5.2572999999999999</v>
      </c>
      <c r="F386" s="182" t="s">
        <v>10</v>
      </c>
      <c r="G386" s="157">
        <v>171999</v>
      </c>
      <c r="I386" s="12">
        <f t="shared" si="99"/>
        <v>-5.9999999999999995E-4</v>
      </c>
      <c r="J386" s="172"/>
      <c r="K386" s="157">
        <f t="shared" si="100"/>
        <v>-103.1994</v>
      </c>
      <c r="M386" s="12">
        <f t="shared" si="101"/>
        <v>-5.0000000000000001E-4</v>
      </c>
      <c r="N386" s="172"/>
      <c r="O386" s="157">
        <f t="shared" si="102"/>
        <v>-85.999499999999998</v>
      </c>
      <c r="Q386" s="154"/>
      <c r="R386" s="173"/>
    </row>
    <row r="387" spans="1:18">
      <c r="A387" s="171" t="s">
        <v>34</v>
      </c>
      <c r="C387" s="156">
        <v>132217</v>
      </c>
      <c r="E387" s="184">
        <v>14.052</v>
      </c>
      <c r="F387" s="182" t="s">
        <v>10</v>
      </c>
      <c r="G387" s="157">
        <v>18579</v>
      </c>
      <c r="I387" s="12">
        <f t="shared" si="99"/>
        <v>-5.9999999999999995E-4</v>
      </c>
      <c r="J387" s="172"/>
      <c r="K387" s="157">
        <f t="shared" si="100"/>
        <v>-11.147399999999999</v>
      </c>
      <c r="M387" s="12">
        <f t="shared" si="101"/>
        <v>-5.0000000000000001E-4</v>
      </c>
      <c r="N387" s="172"/>
      <c r="O387" s="157">
        <f t="shared" si="102"/>
        <v>-9.2895000000000003</v>
      </c>
      <c r="Q387" s="154"/>
      <c r="R387" s="173"/>
    </row>
    <row r="388" spans="1:18">
      <c r="A388" s="171" t="s">
        <v>29</v>
      </c>
      <c r="C388" s="235">
        <v>494707</v>
      </c>
      <c r="E388" s="184">
        <v>4.0491999999999999</v>
      </c>
      <c r="F388" s="182" t="s">
        <v>10</v>
      </c>
      <c r="G388" s="157">
        <v>20032</v>
      </c>
      <c r="I388" s="12">
        <f t="shared" si="99"/>
        <v>-5.9999999999999995E-4</v>
      </c>
      <c r="J388" s="172"/>
      <c r="K388" s="157">
        <f t="shared" si="100"/>
        <v>-12.0192</v>
      </c>
      <c r="M388" s="12">
        <f t="shared" si="101"/>
        <v>-5.0000000000000001E-4</v>
      </c>
      <c r="N388" s="172"/>
      <c r="O388" s="157">
        <f t="shared" si="102"/>
        <v>-10.016</v>
      </c>
      <c r="Q388" s="210"/>
      <c r="R388" s="173"/>
    </row>
    <row r="389" spans="1:18">
      <c r="A389" s="171" t="s">
        <v>42</v>
      </c>
      <c r="C389" s="235">
        <v>7602434</v>
      </c>
      <c r="E389" s="237"/>
      <c r="G389" s="199">
        <v>666926</v>
      </c>
      <c r="I389" s="175"/>
      <c r="J389" s="172"/>
      <c r="M389" s="175"/>
      <c r="N389" s="172"/>
      <c r="Q389" s="154"/>
      <c r="R389" s="101"/>
    </row>
    <row r="390" spans="1:18">
      <c r="A390" s="171" t="s">
        <v>43</v>
      </c>
      <c r="I390" s="12"/>
      <c r="J390" s="172"/>
      <c r="M390" s="175"/>
      <c r="N390" s="172"/>
      <c r="Q390" s="232"/>
      <c r="R390" s="102"/>
    </row>
    <row r="391" spans="1:18">
      <c r="A391" s="171" t="s">
        <v>193</v>
      </c>
      <c r="C391" s="156">
        <v>123</v>
      </c>
      <c r="E391" s="193">
        <v>14</v>
      </c>
      <c r="F391" s="193"/>
      <c r="G391" s="157">
        <v>17</v>
      </c>
      <c r="I391" s="12"/>
      <c r="J391" s="172"/>
      <c r="M391" s="175"/>
      <c r="N391" s="172"/>
      <c r="Q391" s="232"/>
      <c r="R391" s="102"/>
    </row>
    <row r="392" spans="1:18">
      <c r="A392" s="171" t="s">
        <v>44</v>
      </c>
      <c r="C392" s="235">
        <v>1697995.5822001491</v>
      </c>
      <c r="E392" s="209">
        <v>4.8788999999999998</v>
      </c>
      <c r="F392" s="182" t="s">
        <v>10</v>
      </c>
      <c r="G392" s="157">
        <v>82844</v>
      </c>
      <c r="I392" s="12">
        <f>I$368</f>
        <v>-5.9999999999999995E-4</v>
      </c>
      <c r="J392" s="172"/>
      <c r="K392" s="157">
        <f t="shared" ref="K392" si="103">$G392*I392</f>
        <v>-49.706399999999995</v>
      </c>
      <c r="M392" s="12">
        <f>M$368</f>
        <v>-5.0000000000000001E-4</v>
      </c>
      <c r="N392" s="172"/>
      <c r="O392" s="157">
        <f t="shared" ref="O392" si="104">$G392*M392</f>
        <v>-41.422000000000004</v>
      </c>
      <c r="Q392" s="218"/>
      <c r="R392" s="219"/>
    </row>
    <row r="393" spans="1:18">
      <c r="A393" s="171" t="s">
        <v>45</v>
      </c>
      <c r="C393" s="235">
        <v>1697995.5822001491</v>
      </c>
      <c r="E393" s="237"/>
      <c r="G393" s="199">
        <v>82861</v>
      </c>
      <c r="I393" s="12"/>
      <c r="J393" s="172"/>
      <c r="M393" s="175"/>
      <c r="N393" s="172"/>
    </row>
    <row r="394" spans="1:18" ht="16.5" thickBot="1">
      <c r="A394" s="171" t="s">
        <v>251</v>
      </c>
      <c r="C394" s="221">
        <v>9300429.5822001491</v>
      </c>
      <c r="E394" s="200"/>
      <c r="G394" s="208">
        <v>749787</v>
      </c>
      <c r="I394" s="14"/>
      <c r="J394" s="13"/>
      <c r="K394" s="44">
        <f>SUM(K383:K393)</f>
        <v>-446.18639999999999</v>
      </c>
      <c r="M394" s="14"/>
      <c r="N394" s="13"/>
      <c r="O394" s="44">
        <f>SUM(O383:O393)</f>
        <v>-371.822</v>
      </c>
    </row>
    <row r="395" spans="1:18" ht="16.5" thickTop="1"/>
    <row r="396" spans="1:18">
      <c r="A396" s="167" t="s">
        <v>47</v>
      </c>
    </row>
    <row r="397" spans="1:18">
      <c r="A397" s="171" t="s">
        <v>36</v>
      </c>
      <c r="C397" s="156">
        <v>3</v>
      </c>
      <c r="E397" s="193">
        <v>122</v>
      </c>
      <c r="F397" s="193"/>
      <c r="G397" s="157">
        <v>366</v>
      </c>
    </row>
    <row r="398" spans="1:18">
      <c r="A398" s="171" t="s">
        <v>37</v>
      </c>
      <c r="C398" s="156">
        <v>266</v>
      </c>
      <c r="E398" s="193">
        <v>37</v>
      </c>
      <c r="F398" s="193"/>
      <c r="G398" s="157">
        <v>9842</v>
      </c>
    </row>
    <row r="399" spans="1:18">
      <c r="A399" s="171" t="s">
        <v>48</v>
      </c>
      <c r="C399" s="156">
        <v>1196</v>
      </c>
      <c r="E399" s="193">
        <v>14</v>
      </c>
      <c r="F399" s="193"/>
      <c r="G399" s="157">
        <v>16744</v>
      </c>
    </row>
    <row r="400" spans="1:18">
      <c r="A400" s="171" t="s">
        <v>39</v>
      </c>
      <c r="C400" s="156">
        <v>63002</v>
      </c>
      <c r="E400" s="193">
        <v>7.14</v>
      </c>
      <c r="F400" s="193"/>
      <c r="G400" s="157">
        <v>449834</v>
      </c>
      <c r="I400" s="12">
        <f>I$368</f>
        <v>-5.9999999999999995E-4</v>
      </c>
      <c r="J400" s="172"/>
      <c r="K400" s="157">
        <f t="shared" ref="K400" si="105">$G400*I400</f>
        <v>-269.90039999999999</v>
      </c>
      <c r="M400" s="12">
        <f>M$368</f>
        <v>-5.0000000000000001E-4</v>
      </c>
      <c r="N400" s="172"/>
      <c r="O400" s="157">
        <f t="shared" ref="O400" si="106">$G400*M400</f>
        <v>-224.917</v>
      </c>
    </row>
    <row r="401" spans="1:18">
      <c r="A401" s="171" t="s">
        <v>49</v>
      </c>
      <c r="C401" s="156">
        <v>2363</v>
      </c>
      <c r="E401" s="193">
        <v>-2.0499999999999998</v>
      </c>
      <c r="F401" s="193"/>
      <c r="G401" s="157">
        <v>-4844</v>
      </c>
      <c r="I401" s="175"/>
      <c r="J401" s="172"/>
      <c r="M401" s="175"/>
      <c r="N401" s="172"/>
    </row>
    <row r="402" spans="1:18">
      <c r="A402" s="171" t="s">
        <v>34</v>
      </c>
      <c r="C402" s="156">
        <v>4395923</v>
      </c>
      <c r="E402" s="184">
        <v>14.052</v>
      </c>
      <c r="F402" s="182" t="s">
        <v>10</v>
      </c>
      <c r="G402" s="157">
        <v>617715</v>
      </c>
      <c r="I402" s="12">
        <f t="shared" ref="I402:I403" si="107">I$368</f>
        <v>-5.9999999999999995E-4</v>
      </c>
      <c r="J402" s="172"/>
      <c r="K402" s="157">
        <f t="shared" ref="K402:K403" si="108">$G402*I402</f>
        <v>-370.62899999999996</v>
      </c>
      <c r="M402" s="12">
        <f t="shared" ref="M402:M403" si="109">M$368</f>
        <v>-5.0000000000000001E-4</v>
      </c>
      <c r="N402" s="172"/>
      <c r="O402" s="157">
        <f t="shared" ref="O402:O403" si="110">$G402*M402</f>
        <v>-308.85750000000002</v>
      </c>
    </row>
    <row r="403" spans="1:18">
      <c r="A403" s="171" t="s">
        <v>29</v>
      </c>
      <c r="C403" s="235">
        <v>13428677</v>
      </c>
      <c r="E403" s="184">
        <v>4.0491999999999999</v>
      </c>
      <c r="F403" s="182" t="s">
        <v>10</v>
      </c>
      <c r="G403" s="157">
        <v>543754</v>
      </c>
      <c r="I403" s="12">
        <f t="shared" si="107"/>
        <v>-5.9999999999999995E-4</v>
      </c>
      <c r="J403" s="172"/>
      <c r="K403" s="157">
        <f t="shared" si="108"/>
        <v>-326.25239999999997</v>
      </c>
      <c r="M403" s="12">
        <f t="shared" si="109"/>
        <v>-5.0000000000000001E-4</v>
      </c>
      <c r="N403" s="172"/>
      <c r="O403" s="157">
        <f t="shared" si="110"/>
        <v>-271.87700000000001</v>
      </c>
    </row>
    <row r="404" spans="1:18">
      <c r="A404" s="171" t="s">
        <v>42</v>
      </c>
      <c r="C404" s="235">
        <v>17824600</v>
      </c>
      <c r="E404" s="237"/>
      <c r="G404" s="199">
        <v>1633411</v>
      </c>
      <c r="I404" s="175"/>
      <c r="J404" s="172"/>
      <c r="M404" s="175"/>
      <c r="N404" s="172"/>
    </row>
    <row r="405" spans="1:18">
      <c r="A405" s="171" t="s">
        <v>43</v>
      </c>
      <c r="I405" s="175"/>
      <c r="J405" s="172"/>
      <c r="M405" s="175"/>
      <c r="N405" s="172"/>
    </row>
    <row r="406" spans="1:18">
      <c r="A406" s="171" t="s">
        <v>193</v>
      </c>
      <c r="C406" s="156">
        <v>605</v>
      </c>
      <c r="E406" s="193">
        <v>14</v>
      </c>
      <c r="F406" s="193"/>
      <c r="G406" s="157">
        <v>85</v>
      </c>
      <c r="I406" s="175"/>
      <c r="J406" s="172"/>
      <c r="M406" s="175"/>
      <c r="N406" s="172"/>
    </row>
    <row r="407" spans="1:18">
      <c r="A407" s="171" t="s">
        <v>44</v>
      </c>
      <c r="C407" s="235">
        <v>6433787.1371411681</v>
      </c>
      <c r="E407" s="209">
        <v>4.8788999999999998</v>
      </c>
      <c r="F407" s="182" t="s">
        <v>10</v>
      </c>
      <c r="G407" s="157">
        <v>313898</v>
      </c>
      <c r="I407" s="12">
        <f>I$368</f>
        <v>-5.9999999999999995E-4</v>
      </c>
      <c r="J407" s="172"/>
      <c r="K407" s="157">
        <f t="shared" ref="K407" si="111">$G407*I407</f>
        <v>-188.33879999999999</v>
      </c>
      <c r="M407" s="12">
        <f>M$368</f>
        <v>-5.0000000000000001E-4</v>
      </c>
      <c r="N407" s="172"/>
      <c r="O407" s="157">
        <f t="shared" ref="O407" si="112">$G407*M407</f>
        <v>-156.94900000000001</v>
      </c>
    </row>
    <row r="408" spans="1:18">
      <c r="A408" s="171" t="s">
        <v>45</v>
      </c>
      <c r="C408" s="235">
        <v>6433787.1371411681</v>
      </c>
      <c r="E408" s="237"/>
      <c r="G408" s="199">
        <v>313983</v>
      </c>
    </row>
    <row r="409" spans="1:18" ht="16.5" thickBot="1">
      <c r="A409" s="171" t="s">
        <v>50</v>
      </c>
      <c r="C409" s="221">
        <v>24258387.137141168</v>
      </c>
      <c r="E409" s="200"/>
      <c r="G409" s="208">
        <v>1947394</v>
      </c>
      <c r="I409" s="14"/>
      <c r="J409" s="13"/>
      <c r="K409" s="44">
        <f>SUM(K400:K408)</f>
        <v>-1155.1205999999997</v>
      </c>
      <c r="M409" s="14"/>
      <c r="N409" s="13"/>
      <c r="O409" s="44">
        <f>SUM(O400:O408)</f>
        <v>-962.60050000000001</v>
      </c>
    </row>
    <row r="410" spans="1:18" ht="16.5" thickTop="1">
      <c r="C410" s="156" t="s">
        <v>252</v>
      </c>
      <c r="I410" s="175"/>
      <c r="J410" s="172"/>
      <c r="M410" s="175"/>
      <c r="N410" s="172"/>
    </row>
    <row r="411" spans="1:18">
      <c r="A411" s="167" t="s">
        <v>51</v>
      </c>
      <c r="I411" s="175"/>
      <c r="J411" s="172"/>
      <c r="M411" s="175"/>
      <c r="N411" s="172"/>
    </row>
    <row r="412" spans="1:18">
      <c r="A412" s="167" t="s">
        <v>329</v>
      </c>
      <c r="I412" s="175"/>
      <c r="J412" s="172"/>
      <c r="M412" s="175"/>
      <c r="N412" s="172"/>
    </row>
    <row r="413" spans="1:18" s="182" customFormat="1">
      <c r="A413" s="171" t="s">
        <v>321</v>
      </c>
      <c r="B413" s="240"/>
      <c r="C413" s="156">
        <v>32060.279342838538</v>
      </c>
      <c r="D413" s="154"/>
      <c r="E413" s="193">
        <v>11.82</v>
      </c>
      <c r="F413" s="193"/>
      <c r="G413" s="157">
        <f t="shared" ref="G413:G429" si="113">C413*E413</f>
        <v>378952.5018323515</v>
      </c>
      <c r="H413" s="227"/>
      <c r="I413" s="12">
        <f>I$312</f>
        <v>-2.0000000000000001E-4</v>
      </c>
      <c r="J413" s="172"/>
      <c r="K413" s="157">
        <f t="shared" ref="K413:K418" si="114">$G413*I413</f>
        <v>-75.790500366470297</v>
      </c>
      <c r="L413" s="154"/>
      <c r="M413" s="12">
        <f>M$312</f>
        <v>-2.9999999999999997E-4</v>
      </c>
      <c r="N413" s="172"/>
      <c r="O413" s="157">
        <f t="shared" ref="O413:O418" si="115">$G413*M413</f>
        <v>-113.68575054970543</v>
      </c>
      <c r="Q413" s="155"/>
      <c r="R413" s="155"/>
    </row>
    <row r="414" spans="1:18" s="182" customFormat="1">
      <c r="A414" s="171" t="s">
        <v>322</v>
      </c>
      <c r="B414" s="240"/>
      <c r="C414" s="156">
        <v>197233.31780693663</v>
      </c>
      <c r="D414" s="154"/>
      <c r="E414" s="193">
        <v>12.74</v>
      </c>
      <c r="F414" s="193"/>
      <c r="G414" s="157">
        <f t="shared" si="113"/>
        <v>2512752.4688603724</v>
      </c>
      <c r="H414" s="227"/>
      <c r="I414" s="12">
        <f t="shared" ref="I414:I418" si="116">I$312</f>
        <v>-2.0000000000000001E-4</v>
      </c>
      <c r="J414" s="172"/>
      <c r="K414" s="157">
        <f t="shared" si="114"/>
        <v>-502.5504937720745</v>
      </c>
      <c r="L414" s="154"/>
      <c r="M414" s="12">
        <f t="shared" ref="M414:M418" si="117">M$312</f>
        <v>-2.9999999999999997E-4</v>
      </c>
      <c r="N414" s="172"/>
      <c r="O414" s="157">
        <f t="shared" si="115"/>
        <v>-753.82574065811161</v>
      </c>
      <c r="Q414" s="155"/>
      <c r="R414" s="155"/>
    </row>
    <row r="415" spans="1:18" s="182" customFormat="1">
      <c r="A415" s="171" t="s">
        <v>323</v>
      </c>
      <c r="B415" s="240"/>
      <c r="C415" s="156">
        <v>20643.643092872899</v>
      </c>
      <c r="D415" s="154"/>
      <c r="E415" s="193">
        <v>13.19</v>
      </c>
      <c r="F415" s="193"/>
      <c r="G415" s="157">
        <f t="shared" si="113"/>
        <v>272289.65239499352</v>
      </c>
      <c r="H415" s="227"/>
      <c r="I415" s="12">
        <f t="shared" si="116"/>
        <v>-2.0000000000000001E-4</v>
      </c>
      <c r="J415" s="172"/>
      <c r="K415" s="157">
        <f t="shared" si="114"/>
        <v>-54.457930478998705</v>
      </c>
      <c r="L415" s="154"/>
      <c r="M415" s="12">
        <f t="shared" si="117"/>
        <v>-2.9999999999999997E-4</v>
      </c>
      <c r="N415" s="172"/>
      <c r="O415" s="157">
        <f t="shared" si="115"/>
        <v>-81.68689571849805</v>
      </c>
      <c r="Q415" s="155"/>
      <c r="R415" s="155"/>
    </row>
    <row r="416" spans="1:18" s="182" customFormat="1">
      <c r="A416" s="171" t="s">
        <v>324</v>
      </c>
      <c r="B416" s="240"/>
      <c r="C416" s="156">
        <v>574.1077419033528</v>
      </c>
      <c r="D416" s="154"/>
      <c r="E416" s="193">
        <v>13.71</v>
      </c>
      <c r="F416" s="193"/>
      <c r="G416" s="157">
        <f t="shared" si="113"/>
        <v>7871.0171414949673</v>
      </c>
      <c r="H416" s="227"/>
      <c r="I416" s="12">
        <f t="shared" si="116"/>
        <v>-2.0000000000000001E-4</v>
      </c>
      <c r="J416" s="172"/>
      <c r="K416" s="157">
        <f t="shared" si="114"/>
        <v>-1.5742034282989936</v>
      </c>
      <c r="L416" s="154"/>
      <c r="M416" s="12">
        <f t="shared" si="117"/>
        <v>-2.9999999999999997E-4</v>
      </c>
      <c r="N416" s="172"/>
      <c r="O416" s="157">
        <f t="shared" si="115"/>
        <v>-2.3613051424484901</v>
      </c>
      <c r="Q416" s="155"/>
      <c r="R416" s="155"/>
    </row>
    <row r="417" spans="1:18" s="182" customFormat="1">
      <c r="A417" s="171" t="s">
        <v>325</v>
      </c>
      <c r="B417" s="240"/>
      <c r="C417" s="156">
        <v>22535.613465373277</v>
      </c>
      <c r="D417" s="154"/>
      <c r="E417" s="193">
        <v>14.6</v>
      </c>
      <c r="F417" s="193"/>
      <c r="G417" s="157">
        <f t="shared" si="113"/>
        <v>329019.95659444982</v>
      </c>
      <c r="H417" s="227"/>
      <c r="I417" s="12">
        <f t="shared" si="116"/>
        <v>-2.0000000000000001E-4</v>
      </c>
      <c r="J417" s="172"/>
      <c r="K417" s="157">
        <f t="shared" si="114"/>
        <v>-65.80399131888997</v>
      </c>
      <c r="L417" s="154"/>
      <c r="M417" s="12">
        <f t="shared" si="117"/>
        <v>-2.9999999999999997E-4</v>
      </c>
      <c r="N417" s="172"/>
      <c r="O417" s="157">
        <f t="shared" si="115"/>
        <v>-98.705986978334934</v>
      </c>
      <c r="Q417" s="155"/>
      <c r="R417" s="155"/>
    </row>
    <row r="418" spans="1:18" s="182" customFormat="1">
      <c r="A418" s="171" t="s">
        <v>326</v>
      </c>
      <c r="B418" s="240"/>
      <c r="C418" s="156">
        <v>7799.6965729399371</v>
      </c>
      <c r="D418" s="154"/>
      <c r="E418" s="193">
        <v>17.75</v>
      </c>
      <c r="F418" s="193"/>
      <c r="G418" s="157">
        <f t="shared" si="113"/>
        <v>138444.61416968389</v>
      </c>
      <c r="H418" s="227"/>
      <c r="I418" s="12">
        <f t="shared" si="116"/>
        <v>-2.0000000000000001E-4</v>
      </c>
      <c r="J418" s="172"/>
      <c r="K418" s="157">
        <f t="shared" si="114"/>
        <v>-27.688922833936779</v>
      </c>
      <c r="L418" s="154"/>
      <c r="M418" s="12">
        <f t="shared" si="117"/>
        <v>-2.9999999999999997E-4</v>
      </c>
      <c r="N418" s="172"/>
      <c r="O418" s="157">
        <f t="shared" si="115"/>
        <v>-41.533384250905165</v>
      </c>
      <c r="Q418" s="155"/>
      <c r="R418" s="155"/>
    </row>
    <row r="419" spans="1:18" s="182" customFormat="1">
      <c r="A419" s="167" t="s">
        <v>330</v>
      </c>
      <c r="B419" s="240"/>
      <c r="C419" s="156"/>
      <c r="D419" s="154"/>
      <c r="E419" s="193"/>
      <c r="F419" s="193"/>
      <c r="G419" s="157"/>
      <c r="H419" s="227"/>
      <c r="I419" s="175"/>
      <c r="J419" s="172"/>
      <c r="K419" s="157"/>
      <c r="L419" s="154"/>
      <c r="M419" s="175"/>
      <c r="N419" s="172"/>
      <c r="O419" s="157"/>
      <c r="Q419" s="155"/>
      <c r="R419" s="155"/>
    </row>
    <row r="420" spans="1:18" s="182" customFormat="1">
      <c r="A420" s="171" t="s">
        <v>323</v>
      </c>
      <c r="B420" s="240"/>
      <c r="C420" s="156">
        <v>5104.3342939970698</v>
      </c>
      <c r="D420" s="154"/>
      <c r="E420" s="193">
        <v>23.15</v>
      </c>
      <c r="F420" s="193"/>
      <c r="G420" s="157">
        <f t="shared" si="113"/>
        <v>118165.33890603216</v>
      </c>
      <c r="H420" s="227"/>
      <c r="I420" s="12">
        <f>I$312</f>
        <v>-2.0000000000000001E-4</v>
      </c>
      <c r="J420" s="172"/>
      <c r="K420" s="157">
        <f t="shared" ref="K420" si="118">$G420*I420</f>
        <v>-23.633067781206435</v>
      </c>
      <c r="L420" s="154"/>
      <c r="M420" s="12">
        <f>M$312</f>
        <v>-2.9999999999999997E-4</v>
      </c>
      <c r="N420" s="172"/>
      <c r="O420" s="157">
        <f t="shared" ref="O420" si="119">$G420*M420</f>
        <v>-35.449601671809646</v>
      </c>
      <c r="Q420" s="155"/>
      <c r="R420" s="155"/>
    </row>
    <row r="421" spans="1:18" s="182" customFormat="1">
      <c r="A421" s="167" t="s">
        <v>331</v>
      </c>
      <c r="B421" s="240"/>
      <c r="C421" s="156"/>
      <c r="D421" s="154"/>
      <c r="E421" s="193"/>
      <c r="F421" s="193"/>
      <c r="G421" s="157"/>
      <c r="H421" s="227"/>
      <c r="I421" s="175"/>
      <c r="J421" s="172"/>
      <c r="K421" s="157"/>
      <c r="L421" s="154"/>
      <c r="M421" s="175"/>
      <c r="N421" s="172"/>
      <c r="O421" s="157"/>
      <c r="Q421" s="155"/>
      <c r="R421" s="155"/>
    </row>
    <row r="422" spans="1:18" s="182" customFormat="1">
      <c r="A422" s="171" t="s">
        <v>321</v>
      </c>
      <c r="B422" s="240"/>
      <c r="C422" s="156">
        <v>0</v>
      </c>
      <c r="D422" s="154"/>
      <c r="E422" s="193">
        <v>6.04</v>
      </c>
      <c r="F422" s="193"/>
      <c r="G422" s="157">
        <f t="shared" si="113"/>
        <v>0</v>
      </c>
      <c r="H422" s="227"/>
      <c r="I422" s="12">
        <f t="shared" ref="I422:I427" si="120">I$312</f>
        <v>-2.0000000000000001E-4</v>
      </c>
      <c r="J422" s="172"/>
      <c r="K422" s="157">
        <f t="shared" ref="K422:K427" si="121">$G422*I422</f>
        <v>0</v>
      </c>
      <c r="L422" s="154"/>
      <c r="M422" s="12">
        <f t="shared" ref="M422:M427" si="122">M$312</f>
        <v>-2.9999999999999997E-4</v>
      </c>
      <c r="N422" s="172"/>
      <c r="O422" s="157">
        <f t="shared" ref="O422:O427" si="123">$G422*M422</f>
        <v>0</v>
      </c>
      <c r="Q422" s="155"/>
      <c r="R422" s="155"/>
    </row>
    <row r="423" spans="1:18" s="182" customFormat="1">
      <c r="A423" s="171" t="s">
        <v>322</v>
      </c>
      <c r="B423" s="240"/>
      <c r="C423" s="156">
        <v>276</v>
      </c>
      <c r="D423" s="154"/>
      <c r="E423" s="193">
        <v>6.57</v>
      </c>
      <c r="F423" s="193"/>
      <c r="G423" s="157">
        <f t="shared" si="113"/>
        <v>1813.3200000000002</v>
      </c>
      <c r="H423" s="227"/>
      <c r="I423" s="12">
        <f t="shared" si="120"/>
        <v>-2.0000000000000001E-4</v>
      </c>
      <c r="J423" s="172"/>
      <c r="K423" s="157">
        <f t="shared" si="121"/>
        <v>-0.36266400000000004</v>
      </c>
      <c r="L423" s="154"/>
      <c r="M423" s="12">
        <f t="shared" si="122"/>
        <v>-2.9999999999999997E-4</v>
      </c>
      <c r="N423" s="172"/>
      <c r="O423" s="157">
        <f t="shared" si="123"/>
        <v>-0.54399600000000004</v>
      </c>
      <c r="Q423" s="155"/>
      <c r="R423" s="155"/>
    </row>
    <row r="424" spans="1:18" s="182" customFormat="1">
      <c r="A424" s="171" t="s">
        <v>323</v>
      </c>
      <c r="B424" s="240"/>
      <c r="C424" s="156">
        <v>0</v>
      </c>
      <c r="D424" s="154"/>
      <c r="E424" s="193">
        <v>6.99</v>
      </c>
      <c r="F424" s="193"/>
      <c r="G424" s="157">
        <f t="shared" si="113"/>
        <v>0</v>
      </c>
      <c r="H424" s="227"/>
      <c r="I424" s="12">
        <f t="shared" si="120"/>
        <v>-2.0000000000000001E-4</v>
      </c>
      <c r="J424" s="172"/>
      <c r="K424" s="157">
        <f t="shared" si="121"/>
        <v>0</v>
      </c>
      <c r="L424" s="154"/>
      <c r="M424" s="12">
        <f t="shared" si="122"/>
        <v>-2.9999999999999997E-4</v>
      </c>
      <c r="N424" s="172"/>
      <c r="O424" s="157">
        <f t="shared" si="123"/>
        <v>0</v>
      </c>
      <c r="Q424" s="155"/>
      <c r="R424" s="155"/>
    </row>
    <row r="425" spans="1:18" s="182" customFormat="1">
      <c r="A425" s="171" t="s">
        <v>324</v>
      </c>
      <c r="B425" s="240"/>
      <c r="C425" s="156">
        <v>0</v>
      </c>
      <c r="D425" s="154"/>
      <c r="E425" s="193">
        <v>7.46</v>
      </c>
      <c r="F425" s="193"/>
      <c r="G425" s="157">
        <f t="shared" si="113"/>
        <v>0</v>
      </c>
      <c r="H425" s="227"/>
      <c r="I425" s="12">
        <f t="shared" si="120"/>
        <v>-2.0000000000000001E-4</v>
      </c>
      <c r="J425" s="172"/>
      <c r="K425" s="157">
        <f t="shared" si="121"/>
        <v>0</v>
      </c>
      <c r="L425" s="154"/>
      <c r="M425" s="12">
        <f t="shared" si="122"/>
        <v>-2.9999999999999997E-4</v>
      </c>
      <c r="N425" s="172"/>
      <c r="O425" s="157">
        <f t="shared" si="123"/>
        <v>0</v>
      </c>
      <c r="Q425" s="155"/>
      <c r="R425" s="155"/>
    </row>
    <row r="426" spans="1:18" s="182" customFormat="1">
      <c r="A426" s="171" t="s">
        <v>325</v>
      </c>
      <c r="B426" s="240"/>
      <c r="C426" s="156">
        <v>12</v>
      </c>
      <c r="D426" s="154"/>
      <c r="E426" s="193">
        <v>8</v>
      </c>
      <c r="F426" s="193"/>
      <c r="G426" s="157">
        <f t="shared" si="113"/>
        <v>96</v>
      </c>
      <c r="H426" s="227"/>
      <c r="I426" s="12">
        <f t="shared" si="120"/>
        <v>-2.0000000000000001E-4</v>
      </c>
      <c r="J426" s="172"/>
      <c r="K426" s="157">
        <f t="shared" si="121"/>
        <v>-1.9200000000000002E-2</v>
      </c>
      <c r="L426" s="154"/>
      <c r="M426" s="12">
        <f t="shared" si="122"/>
        <v>-2.9999999999999997E-4</v>
      </c>
      <c r="N426" s="172"/>
      <c r="O426" s="157">
        <f t="shared" si="123"/>
        <v>-2.8799999999999999E-2</v>
      </c>
      <c r="Q426" s="155"/>
      <c r="R426" s="155"/>
    </row>
    <row r="427" spans="1:18" s="182" customFormat="1">
      <c r="A427" s="171" t="s">
        <v>326</v>
      </c>
      <c r="B427" s="240"/>
      <c r="C427" s="156">
        <v>0</v>
      </c>
      <c r="D427" s="154"/>
      <c r="E427" s="193">
        <v>9.7200000000000006</v>
      </c>
      <c r="F427" s="193"/>
      <c r="G427" s="157">
        <f t="shared" si="113"/>
        <v>0</v>
      </c>
      <c r="H427" s="227"/>
      <c r="I427" s="12">
        <f t="shared" si="120"/>
        <v>-2.0000000000000001E-4</v>
      </c>
      <c r="J427" s="172"/>
      <c r="K427" s="157">
        <f t="shared" si="121"/>
        <v>0</v>
      </c>
      <c r="L427" s="154"/>
      <c r="M427" s="12">
        <f t="shared" si="122"/>
        <v>-2.9999999999999997E-4</v>
      </c>
      <c r="N427" s="172"/>
      <c r="O427" s="157">
        <f t="shared" si="123"/>
        <v>0</v>
      </c>
      <c r="Q427" s="155"/>
      <c r="R427" s="155"/>
    </row>
    <row r="428" spans="1:18" s="182" customFormat="1">
      <c r="A428" s="167" t="s">
        <v>332</v>
      </c>
      <c r="B428" s="240"/>
      <c r="C428" s="156"/>
      <c r="D428" s="154"/>
      <c r="E428" s="193"/>
      <c r="F428" s="193"/>
      <c r="G428" s="157"/>
      <c r="H428" s="227"/>
      <c r="I428" s="175"/>
      <c r="J428" s="172"/>
      <c r="K428" s="157"/>
      <c r="L428" s="154"/>
      <c r="M428" s="175"/>
      <c r="N428" s="172"/>
      <c r="O428" s="157"/>
      <c r="Q428" s="155"/>
      <c r="R428" s="155"/>
    </row>
    <row r="429" spans="1:18" s="182" customFormat="1">
      <c r="A429" s="171" t="s">
        <v>323</v>
      </c>
      <c r="B429" s="240"/>
      <c r="C429" s="156">
        <v>0</v>
      </c>
      <c r="D429" s="154"/>
      <c r="E429" s="193">
        <v>5.52</v>
      </c>
      <c r="F429" s="193"/>
      <c r="G429" s="157">
        <f t="shared" si="113"/>
        <v>0</v>
      </c>
      <c r="H429" s="227"/>
      <c r="I429" s="12">
        <f>I$312</f>
        <v>-2.0000000000000001E-4</v>
      </c>
      <c r="J429" s="172"/>
      <c r="K429" s="157">
        <f t="shared" ref="K429" si="124">$G429*I429</f>
        <v>0</v>
      </c>
      <c r="L429" s="154"/>
      <c r="M429" s="12">
        <f>M$312</f>
        <v>-2.9999999999999997E-4</v>
      </c>
      <c r="N429" s="172"/>
      <c r="O429" s="157">
        <f t="shared" ref="O429" si="125">$G429*M429</f>
        <v>0</v>
      </c>
      <c r="Q429" s="155"/>
      <c r="R429" s="155"/>
    </row>
    <row r="430" spans="1:18">
      <c r="A430" s="171" t="s">
        <v>25</v>
      </c>
      <c r="C430" s="241">
        <v>715</v>
      </c>
      <c r="I430" s="175"/>
      <c r="J430" s="172"/>
      <c r="M430" s="175"/>
      <c r="N430" s="172"/>
    </row>
    <row r="431" spans="1:18" ht="16.5" thickBot="1">
      <c r="A431" s="171" t="s">
        <v>58</v>
      </c>
      <c r="C431" s="242">
        <v>13572508.23362934</v>
      </c>
      <c r="E431" s="1"/>
      <c r="F431" s="13"/>
      <c r="G431" s="44">
        <v>3759404.8698993782</v>
      </c>
      <c r="I431" s="211"/>
      <c r="K431" s="208">
        <f>SUM(K413:K430)</f>
        <v>-751.88097397987576</v>
      </c>
      <c r="M431" s="211"/>
      <c r="O431" s="208">
        <f>SUM(O413:O430)</f>
        <v>-1127.8214609698134</v>
      </c>
    </row>
    <row r="432" spans="1:18" ht="16.5" thickTop="1">
      <c r="I432" s="16"/>
      <c r="J432" s="172"/>
      <c r="M432" s="16"/>
      <c r="N432" s="172"/>
    </row>
    <row r="433" spans="1:15">
      <c r="A433" s="167" t="s">
        <v>59</v>
      </c>
      <c r="I433" s="16"/>
      <c r="J433" s="172"/>
      <c r="M433" s="16"/>
      <c r="N433" s="172"/>
    </row>
    <row r="434" spans="1:15">
      <c r="A434" s="243" t="s">
        <v>60</v>
      </c>
      <c r="I434" s="175"/>
      <c r="J434" s="172"/>
      <c r="M434" s="175"/>
      <c r="N434" s="172"/>
    </row>
    <row r="435" spans="1:15">
      <c r="A435" s="244" t="s">
        <v>61</v>
      </c>
    </row>
    <row r="436" spans="1:15">
      <c r="A436" s="171" t="s">
        <v>62</v>
      </c>
      <c r="C436" s="156">
        <v>51176</v>
      </c>
      <c r="E436" s="172">
        <v>1.33</v>
      </c>
      <c r="F436" s="172"/>
      <c r="G436" s="157">
        <v>68064.08</v>
      </c>
      <c r="I436" s="12">
        <f t="shared" ref="I436:I440" si="126">I$312</f>
        <v>-2.0000000000000001E-4</v>
      </c>
      <c r="J436" s="172"/>
      <c r="K436" s="157">
        <f t="shared" ref="K436:K440" si="127">$G436*I436</f>
        <v>-13.612816</v>
      </c>
      <c r="M436" s="12">
        <f t="shared" ref="M436:M440" si="128">M$312</f>
        <v>-2.9999999999999997E-4</v>
      </c>
      <c r="N436" s="172"/>
      <c r="O436" s="157">
        <f t="shared" ref="O436:O440" si="129">$G436*M436</f>
        <v>-20.419224</v>
      </c>
    </row>
    <row r="437" spans="1:15">
      <c r="A437" s="171" t="s">
        <v>63</v>
      </c>
      <c r="C437" s="156">
        <v>80459</v>
      </c>
      <c r="E437" s="172">
        <v>1.81</v>
      </c>
      <c r="F437" s="172"/>
      <c r="G437" s="157">
        <v>145630.79</v>
      </c>
      <c r="I437" s="12">
        <f t="shared" si="126"/>
        <v>-2.0000000000000001E-4</v>
      </c>
      <c r="J437" s="172"/>
      <c r="K437" s="157">
        <f t="shared" si="127"/>
        <v>-29.126158000000004</v>
      </c>
      <c r="M437" s="12">
        <f t="shared" si="128"/>
        <v>-2.9999999999999997E-4</v>
      </c>
      <c r="N437" s="172"/>
      <c r="O437" s="157">
        <f t="shared" si="129"/>
        <v>-43.689236999999999</v>
      </c>
    </row>
    <row r="438" spans="1:15">
      <c r="A438" s="171" t="s">
        <v>64</v>
      </c>
      <c r="C438" s="156">
        <v>67482</v>
      </c>
      <c r="E438" s="172">
        <v>2.65</v>
      </c>
      <c r="F438" s="172"/>
      <c r="G438" s="157">
        <v>178827.3</v>
      </c>
      <c r="I438" s="12">
        <f t="shared" si="126"/>
        <v>-2.0000000000000001E-4</v>
      </c>
      <c r="J438" s="172"/>
      <c r="K438" s="157">
        <f t="shared" si="127"/>
        <v>-35.765459999999997</v>
      </c>
      <c r="M438" s="12">
        <f t="shared" si="128"/>
        <v>-2.9999999999999997E-4</v>
      </c>
      <c r="N438" s="172"/>
      <c r="O438" s="157">
        <f t="shared" si="129"/>
        <v>-53.648189999999992</v>
      </c>
    </row>
    <row r="439" spans="1:15">
      <c r="A439" s="171" t="s">
        <v>65</v>
      </c>
      <c r="C439" s="156">
        <v>17154</v>
      </c>
      <c r="E439" s="172">
        <v>4.7300000000000004</v>
      </c>
      <c r="F439" s="172"/>
      <c r="G439" s="157">
        <v>81138.420000000013</v>
      </c>
      <c r="I439" s="12">
        <f t="shared" si="126"/>
        <v>-2.0000000000000001E-4</v>
      </c>
      <c r="J439" s="172"/>
      <c r="K439" s="157">
        <f t="shared" si="127"/>
        <v>-16.227684000000004</v>
      </c>
      <c r="M439" s="12">
        <f t="shared" si="128"/>
        <v>-2.9999999999999997E-4</v>
      </c>
      <c r="N439" s="172"/>
      <c r="O439" s="157">
        <f t="shared" si="129"/>
        <v>-24.341526000000002</v>
      </c>
    </row>
    <row r="440" spans="1:15">
      <c r="A440" s="171" t="s">
        <v>66</v>
      </c>
      <c r="C440" s="156">
        <v>10092</v>
      </c>
      <c r="E440" s="172">
        <v>7.27</v>
      </c>
      <c r="F440" s="172"/>
      <c r="G440" s="157">
        <v>73368.84</v>
      </c>
      <c r="I440" s="12">
        <f t="shared" si="126"/>
        <v>-2.0000000000000001E-4</v>
      </c>
      <c r="J440" s="172"/>
      <c r="K440" s="157">
        <f t="shared" si="127"/>
        <v>-14.673768000000001</v>
      </c>
      <c r="M440" s="12">
        <f t="shared" si="128"/>
        <v>-2.9999999999999997E-4</v>
      </c>
      <c r="N440" s="172"/>
      <c r="O440" s="157">
        <f t="shared" si="129"/>
        <v>-22.010651999999997</v>
      </c>
    </row>
    <row r="441" spans="1:15">
      <c r="A441" s="244" t="s">
        <v>53</v>
      </c>
      <c r="E441" s="193"/>
      <c r="F441" s="193"/>
    </row>
    <row r="442" spans="1:15">
      <c r="A442" s="171" t="s">
        <v>67</v>
      </c>
      <c r="C442" s="156">
        <v>4369</v>
      </c>
      <c r="E442" s="172">
        <v>1.85</v>
      </c>
      <c r="F442" s="172"/>
      <c r="G442" s="157">
        <v>8082.6500000000005</v>
      </c>
      <c r="I442" s="12">
        <f t="shared" ref="I442:I446" si="130">I$312</f>
        <v>-2.0000000000000001E-4</v>
      </c>
      <c r="J442" s="172"/>
      <c r="K442" s="157">
        <f t="shared" ref="K442:K446" si="131">$G442*I442</f>
        <v>-1.6165300000000002</v>
      </c>
      <c r="M442" s="12">
        <f t="shared" ref="M442:M446" si="132">M$312</f>
        <v>-2.9999999999999997E-4</v>
      </c>
      <c r="N442" s="172"/>
      <c r="O442" s="157">
        <f t="shared" ref="O442:O446" si="133">$G442*M442</f>
        <v>-2.424795</v>
      </c>
    </row>
    <row r="443" spans="1:15">
      <c r="A443" s="171" t="s">
        <v>68</v>
      </c>
      <c r="C443" s="156">
        <v>9335</v>
      </c>
      <c r="E443" s="172">
        <v>3.24</v>
      </c>
      <c r="F443" s="172"/>
      <c r="G443" s="157">
        <v>30245.4</v>
      </c>
      <c r="I443" s="12">
        <f t="shared" si="130"/>
        <v>-2.0000000000000001E-4</v>
      </c>
      <c r="J443" s="172"/>
      <c r="K443" s="157">
        <f t="shared" si="131"/>
        <v>-6.0490800000000009</v>
      </c>
      <c r="M443" s="12">
        <f t="shared" si="132"/>
        <v>-2.9999999999999997E-4</v>
      </c>
      <c r="N443" s="172"/>
      <c r="O443" s="157">
        <f t="shared" si="133"/>
        <v>-9.07362</v>
      </c>
    </row>
    <row r="444" spans="1:15">
      <c r="A444" s="171" t="s">
        <v>69</v>
      </c>
      <c r="C444" s="156">
        <v>10137</v>
      </c>
      <c r="E444" s="172">
        <v>4.4800000000000004</v>
      </c>
      <c r="F444" s="172"/>
      <c r="G444" s="157">
        <v>45413.760000000002</v>
      </c>
      <c r="I444" s="12">
        <f t="shared" si="130"/>
        <v>-2.0000000000000001E-4</v>
      </c>
      <c r="J444" s="172"/>
      <c r="K444" s="157">
        <f t="shared" si="131"/>
        <v>-9.082752000000001</v>
      </c>
      <c r="M444" s="12">
        <f t="shared" si="132"/>
        <v>-2.9999999999999997E-4</v>
      </c>
      <c r="N444" s="172"/>
      <c r="O444" s="157">
        <f t="shared" si="133"/>
        <v>-13.624127999999999</v>
      </c>
    </row>
    <row r="445" spans="1:15">
      <c r="A445" s="171" t="s">
        <v>70</v>
      </c>
      <c r="C445" s="156">
        <v>6173</v>
      </c>
      <c r="E445" s="172">
        <v>7.09</v>
      </c>
      <c r="F445" s="172"/>
      <c r="G445" s="157">
        <v>43766.57</v>
      </c>
      <c r="I445" s="12">
        <f t="shared" si="130"/>
        <v>-2.0000000000000001E-4</v>
      </c>
      <c r="J445" s="172"/>
      <c r="K445" s="157">
        <f t="shared" si="131"/>
        <v>-8.7533139999999996</v>
      </c>
      <c r="M445" s="12">
        <f t="shared" si="132"/>
        <v>-2.9999999999999997E-4</v>
      </c>
      <c r="N445" s="172"/>
      <c r="O445" s="157">
        <f t="shared" si="133"/>
        <v>-13.129970999999999</v>
      </c>
    </row>
    <row r="446" spans="1:15">
      <c r="A446" s="244" t="s">
        <v>71</v>
      </c>
      <c r="C446" s="156">
        <v>9608182</v>
      </c>
      <c r="E446" s="15">
        <v>4.5465</v>
      </c>
      <c r="F446" s="182" t="s">
        <v>10</v>
      </c>
      <c r="G446" s="157">
        <v>436835.99462999997</v>
      </c>
      <c r="I446" s="12">
        <f t="shared" si="130"/>
        <v>-2.0000000000000001E-4</v>
      </c>
      <c r="J446" s="172"/>
      <c r="K446" s="157">
        <f t="shared" si="131"/>
        <v>-87.367198926</v>
      </c>
      <c r="M446" s="12">
        <f t="shared" si="132"/>
        <v>-2.9999999999999997E-4</v>
      </c>
      <c r="N446" s="172"/>
      <c r="O446" s="157">
        <f t="shared" si="133"/>
        <v>-131.05079838899999</v>
      </c>
    </row>
    <row r="447" spans="1:15">
      <c r="A447" s="245" t="s">
        <v>72</v>
      </c>
      <c r="I447" s="12"/>
      <c r="M447" s="175"/>
    </row>
    <row r="448" spans="1:15">
      <c r="A448" s="244" t="s">
        <v>73</v>
      </c>
    </row>
    <row r="449" spans="1:18">
      <c r="A449" s="171" t="s">
        <v>74</v>
      </c>
      <c r="C449" s="156">
        <v>46</v>
      </c>
      <c r="E449" s="172">
        <v>6.5</v>
      </c>
      <c r="F449" s="172"/>
      <c r="G449" s="157">
        <v>299</v>
      </c>
      <c r="I449" s="12">
        <f t="shared" ref="I449:I455" si="134">I$312</f>
        <v>-2.0000000000000001E-4</v>
      </c>
      <c r="J449" s="172"/>
      <c r="K449" s="157">
        <f t="shared" ref="K449:K455" si="135">$G449*I449</f>
        <v>-5.9800000000000006E-2</v>
      </c>
      <c r="M449" s="12">
        <f t="shared" ref="M449:M455" si="136">M$312</f>
        <v>-2.9999999999999997E-4</v>
      </c>
      <c r="N449" s="172"/>
      <c r="O449" s="157">
        <f t="shared" ref="O449:O455" si="137">$G449*M449</f>
        <v>-8.9699999999999988E-2</v>
      </c>
    </row>
    <row r="450" spans="1:18">
      <c r="A450" s="171" t="s">
        <v>54</v>
      </c>
      <c r="C450" s="156">
        <v>23</v>
      </c>
      <c r="E450" s="172">
        <v>8.84</v>
      </c>
      <c r="F450" s="172"/>
      <c r="G450" s="157">
        <v>203.32</v>
      </c>
      <c r="I450" s="12">
        <f t="shared" si="134"/>
        <v>-2.0000000000000001E-4</v>
      </c>
      <c r="J450" s="172"/>
      <c r="K450" s="157">
        <f t="shared" si="135"/>
        <v>-4.0663999999999999E-2</v>
      </c>
      <c r="M450" s="12">
        <f t="shared" si="136"/>
        <v>-2.9999999999999997E-4</v>
      </c>
      <c r="N450" s="172"/>
      <c r="O450" s="157">
        <f t="shared" si="137"/>
        <v>-6.0995999999999995E-2</v>
      </c>
    </row>
    <row r="451" spans="1:18">
      <c r="A451" s="244" t="s">
        <v>75</v>
      </c>
      <c r="E451" s="172"/>
      <c r="F451" s="172"/>
      <c r="I451" s="12"/>
      <c r="J451" s="172"/>
      <c r="M451" s="12"/>
      <c r="N451" s="172"/>
    </row>
    <row r="452" spans="1:18">
      <c r="A452" s="171" t="s">
        <v>54</v>
      </c>
      <c r="C452" s="156">
        <v>0</v>
      </c>
      <c r="E452" s="172">
        <v>3.37</v>
      </c>
      <c r="F452" s="172"/>
      <c r="G452" s="157">
        <v>0</v>
      </c>
      <c r="I452" s="12">
        <f t="shared" si="134"/>
        <v>-2.0000000000000001E-4</v>
      </c>
      <c r="J452" s="172"/>
      <c r="K452" s="157">
        <f t="shared" si="135"/>
        <v>0</v>
      </c>
      <c r="M452" s="12">
        <f t="shared" si="136"/>
        <v>-2.9999999999999997E-4</v>
      </c>
      <c r="N452" s="172"/>
      <c r="O452" s="157">
        <f t="shared" si="137"/>
        <v>0</v>
      </c>
    </row>
    <row r="453" spans="1:18">
      <c r="A453" s="171" t="s">
        <v>22</v>
      </c>
      <c r="C453" s="156">
        <v>404</v>
      </c>
      <c r="E453" s="172">
        <v>5.08</v>
      </c>
      <c r="G453" s="157">
        <v>2052.3200000000002</v>
      </c>
      <c r="I453" s="12">
        <f t="shared" si="134"/>
        <v>-2.0000000000000001E-4</v>
      </c>
      <c r="J453" s="172"/>
      <c r="K453" s="157">
        <f t="shared" si="135"/>
        <v>-0.41046400000000005</v>
      </c>
      <c r="M453" s="12">
        <f t="shared" si="136"/>
        <v>-2.9999999999999997E-4</v>
      </c>
      <c r="N453" s="172"/>
      <c r="O453" s="157">
        <f t="shared" si="137"/>
        <v>-0.61569600000000002</v>
      </c>
    </row>
    <row r="454" spans="1:18">
      <c r="A454" s="171" t="s">
        <v>23</v>
      </c>
      <c r="C454" s="156">
        <v>53</v>
      </c>
      <c r="E454" s="172">
        <v>9.67</v>
      </c>
      <c r="F454" s="172"/>
      <c r="G454" s="157">
        <v>512.51</v>
      </c>
      <c r="I454" s="12">
        <f t="shared" si="134"/>
        <v>-2.0000000000000001E-4</v>
      </c>
      <c r="J454" s="172"/>
      <c r="K454" s="157">
        <f t="shared" si="135"/>
        <v>-0.10250200000000001</v>
      </c>
      <c r="M454" s="12">
        <f t="shared" si="136"/>
        <v>-2.9999999999999997E-4</v>
      </c>
      <c r="N454" s="172"/>
      <c r="O454" s="157">
        <f t="shared" si="137"/>
        <v>-0.15375299999999997</v>
      </c>
    </row>
    <row r="455" spans="1:18">
      <c r="A455" s="171" t="s">
        <v>76</v>
      </c>
      <c r="C455" s="156">
        <v>0</v>
      </c>
      <c r="E455" s="172">
        <v>20.59</v>
      </c>
      <c r="F455" s="172"/>
      <c r="G455" s="157">
        <v>0</v>
      </c>
      <c r="I455" s="12">
        <f t="shared" si="134"/>
        <v>-2.0000000000000001E-4</v>
      </c>
      <c r="J455" s="172"/>
      <c r="K455" s="157">
        <f t="shared" si="135"/>
        <v>0</v>
      </c>
      <c r="M455" s="12">
        <f t="shared" si="136"/>
        <v>-2.9999999999999997E-4</v>
      </c>
      <c r="N455" s="172"/>
      <c r="O455" s="157">
        <f t="shared" si="137"/>
        <v>0</v>
      </c>
    </row>
    <row r="456" spans="1:18">
      <c r="A456" s="244" t="s">
        <v>77</v>
      </c>
      <c r="E456" s="172"/>
      <c r="F456" s="172"/>
    </row>
    <row r="457" spans="1:18">
      <c r="A457" s="171" t="s">
        <v>62</v>
      </c>
      <c r="C457" s="156">
        <v>1416</v>
      </c>
      <c r="E457" s="172">
        <v>2.96</v>
      </c>
      <c r="F457" s="172"/>
      <c r="G457" s="157">
        <v>4191.3599999999997</v>
      </c>
      <c r="I457" s="12">
        <f t="shared" ref="I457:I466" si="138">I$312</f>
        <v>-2.0000000000000001E-4</v>
      </c>
      <c r="J457" s="172"/>
      <c r="K457" s="157">
        <f t="shared" ref="K457:K466" si="139">$G457*I457</f>
        <v>-0.83827200000000002</v>
      </c>
      <c r="M457" s="12">
        <f t="shared" ref="M457:M466" si="140">M$312</f>
        <v>-2.9999999999999997E-4</v>
      </c>
      <c r="N457" s="172"/>
      <c r="O457" s="157">
        <f t="shared" ref="O457:O466" si="141">$G457*M457</f>
        <v>-1.2574079999999999</v>
      </c>
    </row>
    <row r="458" spans="1:18">
      <c r="A458" s="171" t="s">
        <v>63</v>
      </c>
      <c r="C458" s="156">
        <v>6699</v>
      </c>
      <c r="E458" s="172">
        <v>3.9</v>
      </c>
      <c r="F458" s="172"/>
      <c r="G458" s="157">
        <v>26126.1</v>
      </c>
      <c r="I458" s="12">
        <f t="shared" si="138"/>
        <v>-2.0000000000000001E-4</v>
      </c>
      <c r="J458" s="172"/>
      <c r="K458" s="157">
        <f t="shared" si="139"/>
        <v>-5.2252200000000002</v>
      </c>
      <c r="M458" s="12">
        <f t="shared" si="140"/>
        <v>-2.9999999999999997E-4</v>
      </c>
      <c r="N458" s="172"/>
      <c r="O458" s="157">
        <f t="shared" si="141"/>
        <v>-7.8378299999999985</v>
      </c>
    </row>
    <row r="459" spans="1:18">
      <c r="A459" s="171" t="s">
        <v>78</v>
      </c>
      <c r="C459" s="156">
        <v>3869</v>
      </c>
      <c r="E459" s="172">
        <v>5.05</v>
      </c>
      <c r="F459" s="172"/>
      <c r="G459" s="157">
        <v>19538.45</v>
      </c>
      <c r="I459" s="12">
        <f t="shared" si="138"/>
        <v>-2.0000000000000001E-4</v>
      </c>
      <c r="J459" s="172"/>
      <c r="K459" s="157">
        <f t="shared" si="139"/>
        <v>-3.9076900000000006</v>
      </c>
      <c r="M459" s="12">
        <f t="shared" si="140"/>
        <v>-2.9999999999999997E-4</v>
      </c>
      <c r="N459" s="172"/>
      <c r="O459" s="157">
        <f t="shared" si="141"/>
        <v>-5.8615349999999999</v>
      </c>
    </row>
    <row r="460" spans="1:18">
      <c r="A460" s="171" t="s">
        <v>64</v>
      </c>
      <c r="C460" s="156">
        <v>586</v>
      </c>
      <c r="E460" s="172">
        <v>4.7300000000000004</v>
      </c>
      <c r="F460" s="172"/>
      <c r="G460" s="157">
        <v>2771.78</v>
      </c>
      <c r="I460" s="12">
        <f t="shared" si="138"/>
        <v>-2.0000000000000001E-4</v>
      </c>
      <c r="J460" s="172"/>
      <c r="K460" s="157">
        <f t="shared" si="139"/>
        <v>-0.55435600000000007</v>
      </c>
      <c r="M460" s="12">
        <f t="shared" si="140"/>
        <v>-2.9999999999999997E-4</v>
      </c>
      <c r="N460" s="172"/>
      <c r="O460" s="157">
        <f t="shared" si="141"/>
        <v>-0.831534</v>
      </c>
    </row>
    <row r="461" spans="1:18">
      <c r="A461" s="171" t="s">
        <v>79</v>
      </c>
      <c r="C461" s="156">
        <v>269</v>
      </c>
      <c r="E461" s="172">
        <v>6</v>
      </c>
      <c r="F461" s="172"/>
      <c r="G461" s="157">
        <v>1614</v>
      </c>
      <c r="I461" s="12">
        <f t="shared" si="138"/>
        <v>-2.0000000000000001E-4</v>
      </c>
      <c r="J461" s="172"/>
      <c r="K461" s="157">
        <f t="shared" si="139"/>
        <v>-0.32280000000000003</v>
      </c>
      <c r="M461" s="12">
        <f t="shared" si="140"/>
        <v>-2.9999999999999997E-4</v>
      </c>
      <c r="N461" s="172"/>
      <c r="O461" s="157">
        <f t="shared" si="141"/>
        <v>-0.48419999999999996</v>
      </c>
      <c r="Q461" s="154"/>
      <c r="R461" s="173"/>
    </row>
    <row r="462" spans="1:18">
      <c r="A462" s="171" t="s">
        <v>80</v>
      </c>
      <c r="C462" s="156">
        <v>0</v>
      </c>
      <c r="E462" s="172">
        <v>5.99</v>
      </c>
      <c r="F462" s="172"/>
      <c r="G462" s="157">
        <v>0</v>
      </c>
      <c r="I462" s="12">
        <f t="shared" si="138"/>
        <v>-2.0000000000000001E-4</v>
      </c>
      <c r="J462" s="172"/>
      <c r="K462" s="157">
        <f t="shared" si="139"/>
        <v>0</v>
      </c>
      <c r="M462" s="12">
        <f t="shared" si="140"/>
        <v>-2.9999999999999997E-4</v>
      </c>
      <c r="N462" s="172"/>
      <c r="O462" s="157">
        <f t="shared" si="141"/>
        <v>0</v>
      </c>
      <c r="Q462" s="154"/>
      <c r="R462" s="173"/>
    </row>
    <row r="463" spans="1:18">
      <c r="A463" s="171" t="s">
        <v>65</v>
      </c>
      <c r="C463" s="156">
        <v>1740</v>
      </c>
      <c r="E463" s="172">
        <v>6.96</v>
      </c>
      <c r="F463" s="172"/>
      <c r="G463" s="157">
        <v>12110.4</v>
      </c>
      <c r="I463" s="12">
        <f t="shared" si="138"/>
        <v>-2.0000000000000001E-4</v>
      </c>
      <c r="J463" s="172"/>
      <c r="K463" s="157">
        <f t="shared" si="139"/>
        <v>-2.4220800000000002</v>
      </c>
      <c r="M463" s="12">
        <f t="shared" si="140"/>
        <v>-2.9999999999999997E-4</v>
      </c>
      <c r="N463" s="172"/>
      <c r="O463" s="157">
        <f t="shared" si="141"/>
        <v>-3.6331199999999995</v>
      </c>
      <c r="Q463" s="210"/>
      <c r="R463" s="173"/>
    </row>
    <row r="464" spans="1:18">
      <c r="A464" s="171" t="s">
        <v>81</v>
      </c>
      <c r="C464" s="156">
        <v>77</v>
      </c>
      <c r="E464" s="172">
        <v>8.65</v>
      </c>
      <c r="F464" s="172"/>
      <c r="G464" s="157">
        <v>666.05000000000007</v>
      </c>
      <c r="I464" s="12">
        <f t="shared" si="138"/>
        <v>-2.0000000000000001E-4</v>
      </c>
      <c r="J464" s="172"/>
      <c r="K464" s="157">
        <f t="shared" si="139"/>
        <v>-0.13321000000000002</v>
      </c>
      <c r="M464" s="12">
        <f t="shared" si="140"/>
        <v>-2.9999999999999997E-4</v>
      </c>
      <c r="N464" s="172"/>
      <c r="O464" s="157">
        <f t="shared" si="141"/>
        <v>-0.19981499999999999</v>
      </c>
      <c r="Q464" s="154"/>
      <c r="R464" s="101"/>
    </row>
    <row r="465" spans="1:18">
      <c r="A465" s="171" t="s">
        <v>66</v>
      </c>
      <c r="C465" s="156">
        <v>4562</v>
      </c>
      <c r="E465" s="172">
        <v>10.15</v>
      </c>
      <c r="F465" s="172"/>
      <c r="G465" s="157">
        <v>46304.3</v>
      </c>
      <c r="I465" s="12">
        <f t="shared" si="138"/>
        <v>-2.0000000000000001E-4</v>
      </c>
      <c r="J465" s="172"/>
      <c r="K465" s="157">
        <f t="shared" si="139"/>
        <v>-9.260860000000001</v>
      </c>
      <c r="M465" s="12">
        <f t="shared" si="140"/>
        <v>-2.9999999999999997E-4</v>
      </c>
      <c r="N465" s="172"/>
      <c r="O465" s="157">
        <f t="shared" si="141"/>
        <v>-13.89129</v>
      </c>
    </row>
    <row r="466" spans="1:18">
      <c r="A466" s="171" t="s">
        <v>82</v>
      </c>
      <c r="C466" s="156">
        <v>76</v>
      </c>
      <c r="E466" s="172">
        <v>11.29</v>
      </c>
      <c r="F466" s="172"/>
      <c r="G466" s="157">
        <v>858.04</v>
      </c>
      <c r="I466" s="12">
        <f t="shared" si="138"/>
        <v>-2.0000000000000001E-4</v>
      </c>
      <c r="J466" s="172"/>
      <c r="K466" s="157">
        <f t="shared" si="139"/>
        <v>-0.17160800000000001</v>
      </c>
      <c r="M466" s="12">
        <f t="shared" si="140"/>
        <v>-2.9999999999999997E-4</v>
      </c>
      <c r="N466" s="172"/>
      <c r="O466" s="157">
        <f t="shared" si="141"/>
        <v>-0.25741199999999997</v>
      </c>
    </row>
    <row r="467" spans="1:18">
      <c r="A467" s="244" t="s">
        <v>53</v>
      </c>
      <c r="E467" s="172"/>
      <c r="F467" s="172"/>
      <c r="J467" s="209"/>
      <c r="N467" s="209"/>
      <c r="Q467" s="154"/>
      <c r="R467" s="173"/>
    </row>
    <row r="468" spans="1:18">
      <c r="A468" s="171" t="s">
        <v>83</v>
      </c>
      <c r="C468" s="156">
        <v>587</v>
      </c>
      <c r="E468" s="172">
        <v>6.67</v>
      </c>
      <c r="F468" s="172"/>
      <c r="G468" s="157">
        <v>3915.29</v>
      </c>
      <c r="I468" s="12">
        <f t="shared" ref="I468:I474" si="142">I$312</f>
        <v>-2.0000000000000001E-4</v>
      </c>
      <c r="J468" s="172"/>
      <c r="K468" s="157">
        <f t="shared" ref="K468:K474" si="143">$G468*I468</f>
        <v>-0.78305800000000003</v>
      </c>
      <c r="M468" s="12">
        <f t="shared" ref="M468:M474" si="144">M$312</f>
        <v>-2.9999999999999997E-4</v>
      </c>
      <c r="N468" s="172"/>
      <c r="O468" s="157">
        <f t="shared" ref="O468:O474" si="145">$G468*M468</f>
        <v>-1.1745869999999998</v>
      </c>
      <c r="Q468" s="154"/>
      <c r="R468" s="173"/>
    </row>
    <row r="469" spans="1:18">
      <c r="A469" s="171" t="s">
        <v>68</v>
      </c>
      <c r="C469" s="156">
        <v>847</v>
      </c>
      <c r="E469" s="172">
        <v>9.84</v>
      </c>
      <c r="F469" s="172"/>
      <c r="G469" s="157">
        <v>8334.48</v>
      </c>
      <c r="I469" s="12">
        <f t="shared" si="142"/>
        <v>-2.0000000000000001E-4</v>
      </c>
      <c r="J469" s="172"/>
      <c r="K469" s="157">
        <f t="shared" si="143"/>
        <v>-1.6668959999999999</v>
      </c>
      <c r="M469" s="12">
        <f t="shared" si="144"/>
        <v>-2.9999999999999997E-4</v>
      </c>
      <c r="N469" s="172"/>
      <c r="O469" s="157">
        <f t="shared" si="145"/>
        <v>-2.5003439999999997</v>
      </c>
      <c r="Q469" s="210"/>
      <c r="R469" s="173"/>
    </row>
    <row r="470" spans="1:18">
      <c r="A470" s="171" t="s">
        <v>84</v>
      </c>
      <c r="C470" s="156">
        <v>130</v>
      </c>
      <c r="E470" s="172">
        <v>8.0399999999999991</v>
      </c>
      <c r="F470" s="172"/>
      <c r="G470" s="157">
        <v>1045.1999999999998</v>
      </c>
      <c r="I470" s="12">
        <f t="shared" si="142"/>
        <v>-2.0000000000000001E-4</v>
      </c>
      <c r="J470" s="172"/>
      <c r="K470" s="157">
        <f t="shared" si="143"/>
        <v>-0.20903999999999998</v>
      </c>
      <c r="M470" s="12">
        <f t="shared" si="144"/>
        <v>-2.9999999999999997E-4</v>
      </c>
      <c r="N470" s="172"/>
      <c r="O470" s="157">
        <f t="shared" si="145"/>
        <v>-0.31355999999999989</v>
      </c>
      <c r="Q470" s="154"/>
      <c r="R470" s="101"/>
    </row>
    <row r="471" spans="1:18">
      <c r="A471" s="171" t="s">
        <v>69</v>
      </c>
      <c r="C471" s="156">
        <v>244</v>
      </c>
      <c r="E471" s="172">
        <v>9.94</v>
      </c>
      <c r="F471" s="172"/>
      <c r="G471" s="157">
        <v>2425.3599999999997</v>
      </c>
      <c r="I471" s="12">
        <f t="shared" si="142"/>
        <v>-2.0000000000000001E-4</v>
      </c>
      <c r="J471" s="172"/>
      <c r="K471" s="157">
        <f t="shared" si="143"/>
        <v>-0.48507199999999995</v>
      </c>
      <c r="M471" s="12">
        <f t="shared" si="144"/>
        <v>-2.9999999999999997E-4</v>
      </c>
      <c r="N471" s="172"/>
      <c r="O471" s="157">
        <f t="shared" si="145"/>
        <v>-0.72760799999999981</v>
      </c>
      <c r="R471" s="246"/>
    </row>
    <row r="472" spans="1:18">
      <c r="A472" s="171" t="s">
        <v>85</v>
      </c>
      <c r="C472" s="156">
        <v>3676</v>
      </c>
      <c r="E472" s="172">
        <v>10.25</v>
      </c>
      <c r="F472" s="172"/>
      <c r="G472" s="157">
        <v>37679</v>
      </c>
      <c r="I472" s="12">
        <f t="shared" si="142"/>
        <v>-2.0000000000000001E-4</v>
      </c>
      <c r="J472" s="172"/>
      <c r="K472" s="157">
        <f t="shared" si="143"/>
        <v>-7.5358000000000001</v>
      </c>
      <c r="M472" s="12">
        <f t="shared" si="144"/>
        <v>-2.9999999999999997E-4</v>
      </c>
      <c r="N472" s="172"/>
      <c r="O472" s="157">
        <f t="shared" si="145"/>
        <v>-11.303699999999999</v>
      </c>
    </row>
    <row r="473" spans="1:18">
      <c r="A473" s="171" t="s">
        <v>70</v>
      </c>
      <c r="C473" s="156">
        <v>122</v>
      </c>
      <c r="E473" s="172">
        <v>10.58</v>
      </c>
      <c r="F473" s="172"/>
      <c r="G473" s="157">
        <v>1290.76</v>
      </c>
      <c r="I473" s="12">
        <f t="shared" si="142"/>
        <v>-2.0000000000000001E-4</v>
      </c>
      <c r="J473" s="172"/>
      <c r="K473" s="157">
        <f t="shared" si="143"/>
        <v>-0.25815199999999999</v>
      </c>
      <c r="M473" s="12">
        <f t="shared" si="144"/>
        <v>-2.9999999999999997E-4</v>
      </c>
      <c r="N473" s="172"/>
      <c r="O473" s="157">
        <f t="shared" si="145"/>
        <v>-0.38722799999999996</v>
      </c>
    </row>
    <row r="474" spans="1:18">
      <c r="A474" s="171" t="s">
        <v>86</v>
      </c>
      <c r="C474" s="156">
        <v>352</v>
      </c>
      <c r="E474" s="172">
        <v>11.45</v>
      </c>
      <c r="F474" s="172"/>
      <c r="G474" s="157">
        <v>4030.3999999999996</v>
      </c>
      <c r="I474" s="12">
        <f t="shared" si="142"/>
        <v>-2.0000000000000001E-4</v>
      </c>
      <c r="J474" s="172"/>
      <c r="K474" s="157">
        <f t="shared" si="143"/>
        <v>-0.80608000000000002</v>
      </c>
      <c r="M474" s="12">
        <f t="shared" si="144"/>
        <v>-2.9999999999999997E-4</v>
      </c>
      <c r="N474" s="172"/>
      <c r="O474" s="157">
        <f t="shared" si="145"/>
        <v>-1.2091199999999998</v>
      </c>
    </row>
    <row r="475" spans="1:18">
      <c r="A475" s="244" t="s">
        <v>87</v>
      </c>
      <c r="E475" s="172"/>
      <c r="F475" s="172"/>
    </row>
    <row r="476" spans="1:18">
      <c r="A476" s="171" t="s">
        <v>88</v>
      </c>
      <c r="C476" s="156">
        <v>0</v>
      </c>
      <c r="E476" s="172">
        <v>2.72</v>
      </c>
      <c r="F476" s="172"/>
      <c r="G476" s="157">
        <v>0</v>
      </c>
      <c r="I476" s="12">
        <f t="shared" ref="I476:I477" si="146">I$312</f>
        <v>-2.0000000000000001E-4</v>
      </c>
      <c r="J476" s="172"/>
      <c r="K476" s="157">
        <f t="shared" ref="K476:K477" si="147">$G476*I476</f>
        <v>0</v>
      </c>
      <c r="M476" s="12">
        <f t="shared" ref="M476:M477" si="148">M$312</f>
        <v>-2.9999999999999997E-4</v>
      </c>
      <c r="N476" s="172"/>
      <c r="O476" s="157">
        <f t="shared" ref="O476:O477" si="149">$G476*M476</f>
        <v>0</v>
      </c>
    </row>
    <row r="477" spans="1:18">
      <c r="A477" s="171" t="s">
        <v>89</v>
      </c>
      <c r="C477" s="156">
        <v>53</v>
      </c>
      <c r="E477" s="172">
        <v>10.1</v>
      </c>
      <c r="F477" s="172"/>
      <c r="G477" s="157">
        <v>535.29999999999995</v>
      </c>
      <c r="I477" s="12">
        <f t="shared" si="146"/>
        <v>-2.0000000000000001E-4</v>
      </c>
      <c r="J477" s="172"/>
      <c r="K477" s="157">
        <f t="shared" si="147"/>
        <v>-0.10706</v>
      </c>
      <c r="M477" s="12">
        <f t="shared" si="148"/>
        <v>-2.9999999999999997E-4</v>
      </c>
      <c r="N477" s="172"/>
      <c r="O477" s="157">
        <f t="shared" si="149"/>
        <v>-0.16058999999999998</v>
      </c>
    </row>
    <row r="478" spans="1:18">
      <c r="A478" s="245" t="s">
        <v>90</v>
      </c>
      <c r="E478" s="172"/>
      <c r="F478" s="172"/>
    </row>
    <row r="479" spans="1:18">
      <c r="A479" s="244" t="s">
        <v>73</v>
      </c>
      <c r="E479" s="172"/>
      <c r="F479" s="172"/>
    </row>
    <row r="480" spans="1:18">
      <c r="A480" s="171" t="s">
        <v>56</v>
      </c>
      <c r="C480" s="156">
        <v>37</v>
      </c>
      <c r="E480" s="172">
        <v>12.86</v>
      </c>
      <c r="F480" s="172"/>
      <c r="G480" s="157">
        <v>475.82</v>
      </c>
      <c r="I480" s="12">
        <f t="shared" ref="I480:I481" si="150">I$312</f>
        <v>-2.0000000000000001E-4</v>
      </c>
      <c r="J480" s="172"/>
      <c r="K480" s="157">
        <f t="shared" ref="K480:K481" si="151">$G480*I480</f>
        <v>-9.5163999999999999E-2</v>
      </c>
      <c r="M480" s="12">
        <f t="shared" ref="M480:M481" si="152">M$312</f>
        <v>-2.9999999999999997E-4</v>
      </c>
      <c r="N480" s="172"/>
      <c r="O480" s="157">
        <f t="shared" ref="O480:O481" si="153">$G480*M480</f>
        <v>-0.14274599999999998</v>
      </c>
    </row>
    <row r="481" spans="1:15">
      <c r="A481" s="171" t="s">
        <v>55</v>
      </c>
      <c r="C481" s="156">
        <v>12</v>
      </c>
      <c r="E481" s="172">
        <v>16.97</v>
      </c>
      <c r="F481" s="172"/>
      <c r="G481" s="157">
        <v>203.64</v>
      </c>
      <c r="I481" s="12">
        <f t="shared" si="150"/>
        <v>-2.0000000000000001E-4</v>
      </c>
      <c r="J481" s="172"/>
      <c r="K481" s="157">
        <f t="shared" si="151"/>
        <v>-4.0728E-2</v>
      </c>
      <c r="M481" s="12">
        <f t="shared" si="152"/>
        <v>-2.9999999999999997E-4</v>
      </c>
      <c r="N481" s="172"/>
      <c r="O481" s="157">
        <f t="shared" si="153"/>
        <v>-6.1091999999999994E-2</v>
      </c>
    </row>
    <row r="482" spans="1:15">
      <c r="A482" s="244" t="s">
        <v>75</v>
      </c>
    </row>
    <row r="483" spans="1:15">
      <c r="A483" s="171" t="s">
        <v>22</v>
      </c>
      <c r="C483" s="156">
        <v>25</v>
      </c>
      <c r="E483" s="172">
        <v>5.82</v>
      </c>
      <c r="F483" s="172"/>
      <c r="G483" s="157">
        <v>145.5</v>
      </c>
      <c r="I483" s="12">
        <f t="shared" ref="I483:I485" si="154">I$312</f>
        <v>-2.0000000000000001E-4</v>
      </c>
      <c r="J483" s="172"/>
      <c r="K483" s="157">
        <f t="shared" ref="K483:K485" si="155">$G483*I483</f>
        <v>-2.9100000000000001E-2</v>
      </c>
      <c r="M483" s="12">
        <f t="shared" ref="M483:M485" si="156">M$312</f>
        <v>-2.9999999999999997E-4</v>
      </c>
      <c r="N483" s="172"/>
      <c r="O483" s="157">
        <f t="shared" ref="O483:O485" si="157">$G483*M483</f>
        <v>-4.3649999999999994E-2</v>
      </c>
    </row>
    <row r="484" spans="1:15">
      <c r="A484" s="171" t="s">
        <v>23</v>
      </c>
      <c r="C484" s="156">
        <v>0</v>
      </c>
      <c r="E484" s="172">
        <v>11.1</v>
      </c>
      <c r="F484" s="172"/>
      <c r="G484" s="157">
        <v>0</v>
      </c>
      <c r="I484" s="12">
        <f t="shared" si="154"/>
        <v>-2.0000000000000001E-4</v>
      </c>
      <c r="J484" s="172"/>
      <c r="K484" s="157">
        <f t="shared" si="155"/>
        <v>0</v>
      </c>
      <c r="M484" s="12">
        <f t="shared" si="156"/>
        <v>-2.9999999999999997E-4</v>
      </c>
      <c r="N484" s="172"/>
      <c r="O484" s="157">
        <f t="shared" si="157"/>
        <v>0</v>
      </c>
    </row>
    <row r="485" spans="1:15">
      <c r="A485" s="171" t="s">
        <v>76</v>
      </c>
      <c r="C485" s="156">
        <v>0</v>
      </c>
      <c r="E485" s="172">
        <v>23.56</v>
      </c>
      <c r="F485" s="172"/>
      <c r="G485" s="157">
        <v>0</v>
      </c>
      <c r="I485" s="12">
        <f t="shared" si="154"/>
        <v>-2.0000000000000001E-4</v>
      </c>
      <c r="J485" s="172"/>
      <c r="K485" s="157">
        <f t="shared" si="155"/>
        <v>0</v>
      </c>
      <c r="M485" s="12">
        <f t="shared" si="156"/>
        <v>-2.9999999999999997E-4</v>
      </c>
      <c r="N485" s="172"/>
      <c r="O485" s="157">
        <f t="shared" si="157"/>
        <v>0</v>
      </c>
    </row>
    <row r="486" spans="1:15" ht="14.25" customHeight="1">
      <c r="A486" s="244" t="s">
        <v>52</v>
      </c>
      <c r="E486" s="193"/>
      <c r="F486" s="193"/>
      <c r="I486" s="12"/>
      <c r="J486" s="172"/>
      <c r="M486" s="175"/>
      <c r="N486" s="172"/>
    </row>
    <row r="487" spans="1:15">
      <c r="A487" s="171" t="s">
        <v>62</v>
      </c>
      <c r="C487" s="156">
        <v>4183</v>
      </c>
      <c r="E487" s="172">
        <v>3.39</v>
      </c>
      <c r="F487" s="172"/>
      <c r="G487" s="157">
        <v>14180.37</v>
      </c>
      <c r="I487" s="12">
        <f t="shared" ref="I487:I492" si="158">I$312</f>
        <v>-2.0000000000000001E-4</v>
      </c>
      <c r="J487" s="172"/>
      <c r="K487" s="157">
        <f t="shared" ref="K487:K492" si="159">$G487*I487</f>
        <v>-2.8360740000000004</v>
      </c>
      <c r="M487" s="12">
        <f t="shared" ref="M487:M492" si="160">M$312</f>
        <v>-2.9999999999999997E-4</v>
      </c>
      <c r="N487" s="172"/>
      <c r="O487" s="157">
        <f t="shared" ref="O487:O492" si="161">$G487*M487</f>
        <v>-4.254111</v>
      </c>
    </row>
    <row r="488" spans="1:15">
      <c r="A488" s="171" t="s">
        <v>63</v>
      </c>
      <c r="C488" s="156">
        <v>7164</v>
      </c>
      <c r="E488" s="172">
        <v>4.47</v>
      </c>
      <c r="F488" s="172"/>
      <c r="G488" s="157">
        <v>32023.079999999998</v>
      </c>
      <c r="I488" s="12">
        <f t="shared" si="158"/>
        <v>-2.0000000000000001E-4</v>
      </c>
      <c r="J488" s="172"/>
      <c r="K488" s="157">
        <f t="shared" si="159"/>
        <v>-6.4046159999999999</v>
      </c>
      <c r="M488" s="12">
        <f t="shared" si="160"/>
        <v>-2.9999999999999997E-4</v>
      </c>
      <c r="N488" s="172"/>
      <c r="O488" s="157">
        <f t="shared" si="161"/>
        <v>-9.6069239999999994</v>
      </c>
    </row>
    <row r="489" spans="1:15">
      <c r="A489" s="171" t="s">
        <v>64</v>
      </c>
      <c r="C489" s="156">
        <v>597</v>
      </c>
      <c r="E489" s="172">
        <v>5.42</v>
      </c>
      <c r="F489" s="172"/>
      <c r="G489" s="157">
        <v>3235.74</v>
      </c>
      <c r="I489" s="12">
        <f t="shared" si="158"/>
        <v>-2.0000000000000001E-4</v>
      </c>
      <c r="J489" s="172"/>
      <c r="K489" s="157">
        <f t="shared" si="159"/>
        <v>-0.64714799999999995</v>
      </c>
      <c r="M489" s="12">
        <f t="shared" si="160"/>
        <v>-2.9999999999999997E-4</v>
      </c>
      <c r="N489" s="172"/>
      <c r="O489" s="157">
        <f t="shared" si="161"/>
        <v>-0.97072199999999986</v>
      </c>
    </row>
    <row r="490" spans="1:15">
      <c r="A490" s="171" t="s">
        <v>24</v>
      </c>
      <c r="C490" s="156">
        <v>0</v>
      </c>
      <c r="E490" s="172">
        <v>6.85</v>
      </c>
      <c r="F490" s="172"/>
      <c r="G490" s="157">
        <v>0</v>
      </c>
      <c r="I490" s="12">
        <f t="shared" si="158"/>
        <v>-2.0000000000000001E-4</v>
      </c>
      <c r="J490" s="172"/>
      <c r="K490" s="157">
        <f t="shared" si="159"/>
        <v>0</v>
      </c>
      <c r="M490" s="12">
        <f t="shared" si="160"/>
        <v>-2.9999999999999997E-4</v>
      </c>
      <c r="N490" s="172"/>
      <c r="O490" s="157">
        <f t="shared" si="161"/>
        <v>0</v>
      </c>
    </row>
    <row r="491" spans="1:15">
      <c r="A491" s="171" t="s">
        <v>65</v>
      </c>
      <c r="C491" s="156">
        <v>1267</v>
      </c>
      <c r="E491" s="172">
        <v>7.97</v>
      </c>
      <c r="F491" s="172"/>
      <c r="G491" s="157">
        <v>10097.99</v>
      </c>
      <c r="I491" s="12">
        <f t="shared" si="158"/>
        <v>-2.0000000000000001E-4</v>
      </c>
      <c r="J491" s="172"/>
      <c r="K491" s="157">
        <f t="shared" si="159"/>
        <v>-2.0195980000000002</v>
      </c>
      <c r="M491" s="12">
        <f t="shared" si="160"/>
        <v>-2.9999999999999997E-4</v>
      </c>
      <c r="N491" s="172"/>
      <c r="O491" s="157">
        <f t="shared" si="161"/>
        <v>-3.0293969999999995</v>
      </c>
    </row>
    <row r="492" spans="1:15">
      <c r="A492" s="171" t="s">
        <v>66</v>
      </c>
      <c r="C492" s="156">
        <v>1657</v>
      </c>
      <c r="E492" s="172">
        <v>11.62</v>
      </c>
      <c r="F492" s="172"/>
      <c r="G492" s="157">
        <v>19254.34</v>
      </c>
      <c r="I492" s="12">
        <f t="shared" si="158"/>
        <v>-2.0000000000000001E-4</v>
      </c>
      <c r="J492" s="172"/>
      <c r="K492" s="157">
        <f t="shared" si="159"/>
        <v>-3.8508680000000002</v>
      </c>
      <c r="M492" s="12">
        <f t="shared" si="160"/>
        <v>-2.9999999999999997E-4</v>
      </c>
      <c r="N492" s="172"/>
      <c r="O492" s="157">
        <f t="shared" si="161"/>
        <v>-5.7763019999999994</v>
      </c>
    </row>
    <row r="493" spans="1:15">
      <c r="A493" s="244" t="s">
        <v>53</v>
      </c>
    </row>
    <row r="494" spans="1:15">
      <c r="A494" s="171" t="s">
        <v>68</v>
      </c>
      <c r="C494" s="156">
        <v>35</v>
      </c>
      <c r="E494" s="172">
        <v>11.3</v>
      </c>
      <c r="F494" s="172"/>
      <c r="G494" s="157">
        <v>395.5</v>
      </c>
      <c r="I494" s="12">
        <f t="shared" ref="I494:I497" si="162">I$312</f>
        <v>-2.0000000000000001E-4</v>
      </c>
      <c r="J494" s="172"/>
      <c r="K494" s="157">
        <f t="shared" ref="K494:K497" si="163">$G494*I494</f>
        <v>-7.9100000000000004E-2</v>
      </c>
      <c r="M494" s="12">
        <f t="shared" ref="M494:M497" si="164">M$312</f>
        <v>-2.9999999999999997E-4</v>
      </c>
      <c r="N494" s="172"/>
      <c r="O494" s="157">
        <f t="shared" ref="O494:O497" si="165">$G494*M494</f>
        <v>-0.11864999999999999</v>
      </c>
    </row>
    <row r="495" spans="1:15">
      <c r="A495" s="171" t="s">
        <v>69</v>
      </c>
      <c r="C495" s="156">
        <v>748</v>
      </c>
      <c r="E495" s="172">
        <v>11.41</v>
      </c>
      <c r="F495" s="172"/>
      <c r="G495" s="157">
        <v>8534.68</v>
      </c>
      <c r="I495" s="12">
        <f t="shared" si="162"/>
        <v>-2.0000000000000001E-4</v>
      </c>
      <c r="J495" s="172"/>
      <c r="K495" s="157">
        <f t="shared" si="163"/>
        <v>-1.7069360000000002</v>
      </c>
      <c r="M495" s="12">
        <f t="shared" si="164"/>
        <v>-2.9999999999999997E-4</v>
      </c>
      <c r="N495" s="172"/>
      <c r="O495" s="157">
        <f t="shared" si="165"/>
        <v>-2.5604039999999997</v>
      </c>
    </row>
    <row r="496" spans="1:15">
      <c r="A496" s="171" t="s">
        <v>70</v>
      </c>
      <c r="C496" s="156">
        <v>697</v>
      </c>
      <c r="E496" s="172">
        <v>12.13</v>
      </c>
      <c r="F496" s="172"/>
      <c r="G496" s="157">
        <v>8454.61</v>
      </c>
      <c r="I496" s="12">
        <f t="shared" si="162"/>
        <v>-2.0000000000000001E-4</v>
      </c>
      <c r="J496" s="172"/>
      <c r="K496" s="157">
        <f t="shared" si="163"/>
        <v>-1.6909220000000003</v>
      </c>
      <c r="M496" s="12">
        <f t="shared" si="164"/>
        <v>-2.9999999999999997E-4</v>
      </c>
      <c r="N496" s="172"/>
      <c r="O496" s="157">
        <f t="shared" si="165"/>
        <v>-2.5363829999999998</v>
      </c>
    </row>
    <row r="497" spans="1:18">
      <c r="A497" s="171" t="s">
        <v>91</v>
      </c>
      <c r="C497" s="156">
        <v>0</v>
      </c>
      <c r="E497" s="172">
        <v>23.97</v>
      </c>
      <c r="F497" s="172"/>
      <c r="G497" s="157">
        <v>0</v>
      </c>
      <c r="I497" s="12">
        <f t="shared" si="162"/>
        <v>-2.0000000000000001E-4</v>
      </c>
      <c r="J497" s="172"/>
      <c r="K497" s="157">
        <f t="shared" si="163"/>
        <v>0</v>
      </c>
      <c r="M497" s="12">
        <f t="shared" si="164"/>
        <v>-2.9999999999999997E-4</v>
      </c>
      <c r="N497" s="172"/>
      <c r="O497" s="157">
        <f t="shared" si="165"/>
        <v>0</v>
      </c>
    </row>
    <row r="498" spans="1:18">
      <c r="A498" s="171" t="s">
        <v>25</v>
      </c>
      <c r="C498" s="241">
        <v>1229</v>
      </c>
    </row>
    <row r="499" spans="1:18" ht="16.5" thickBot="1">
      <c r="A499" s="171" t="s">
        <v>58</v>
      </c>
      <c r="C499" s="242">
        <v>26868874.204370789</v>
      </c>
      <c r="E499" s="1"/>
      <c r="F499" s="13"/>
      <c r="G499" s="48">
        <v>1384878.4946300006</v>
      </c>
      <c r="I499" s="211"/>
      <c r="K499" s="208">
        <f>SUM(K436:K498)</f>
        <v>-276.97569892599995</v>
      </c>
      <c r="M499" s="211"/>
      <c r="O499" s="208">
        <f>SUM(O436:O498)</f>
        <v>-415.46354838899993</v>
      </c>
    </row>
    <row r="500" spans="1:18" ht="16.5" thickTop="1">
      <c r="A500" s="171"/>
      <c r="C500" s="241"/>
    </row>
    <row r="501" spans="1:18">
      <c r="A501" s="245" t="s">
        <v>194</v>
      </c>
      <c r="I501" s="175"/>
      <c r="J501" s="172"/>
      <c r="M501" s="175"/>
      <c r="N501" s="172"/>
      <c r="Q501" s="215" t="s">
        <v>11</v>
      </c>
      <c r="R501" s="216">
        <f>O507</f>
        <v>-398.88589999999999</v>
      </c>
    </row>
    <row r="502" spans="1:18">
      <c r="A502" s="171" t="s">
        <v>92</v>
      </c>
      <c r="C502" s="156">
        <v>21139</v>
      </c>
      <c r="E502" s="172">
        <v>7</v>
      </c>
      <c r="F502" s="172"/>
      <c r="G502" s="157">
        <v>147973</v>
      </c>
      <c r="I502" s="175"/>
      <c r="J502" s="172"/>
      <c r="M502" s="175"/>
      <c r="N502" s="172"/>
      <c r="Q502" s="178" t="s">
        <v>12</v>
      </c>
      <c r="R502" s="179">
        <f>'Exhibit-RMP(RMM-1) page 2'!K43*1000</f>
        <v>-408.31013924703319</v>
      </c>
    </row>
    <row r="503" spans="1:18">
      <c r="A503" s="171" t="s">
        <v>93</v>
      </c>
      <c r="C503" s="156">
        <v>638</v>
      </c>
      <c r="E503" s="172">
        <v>49.02</v>
      </c>
      <c r="F503" s="172"/>
      <c r="G503" s="157">
        <v>31275</v>
      </c>
      <c r="J503" s="247"/>
      <c r="N503" s="247"/>
      <c r="Q503" s="180" t="s">
        <v>13</v>
      </c>
      <c r="R503" s="181">
        <f>R502-R501</f>
        <v>-9.4242392470331993</v>
      </c>
    </row>
    <row r="504" spans="1:18">
      <c r="A504" s="171" t="s">
        <v>94</v>
      </c>
      <c r="C504" s="156">
        <v>0</v>
      </c>
      <c r="E504" s="172">
        <v>84.02000000000001</v>
      </c>
      <c r="F504" s="172"/>
      <c r="G504" s="157">
        <v>0</v>
      </c>
      <c r="I504" s="175"/>
      <c r="J504" s="172"/>
      <c r="M504" s="175"/>
      <c r="N504" s="172"/>
      <c r="Q504" s="183" t="s">
        <v>14</v>
      </c>
      <c r="R504" s="99">
        <f>ROUND(R502/G506,$R$9)</f>
        <v>-6.9999999999999999E-4</v>
      </c>
    </row>
    <row r="505" spans="1:18">
      <c r="A505" s="171" t="s">
        <v>95</v>
      </c>
      <c r="C505" s="156">
        <v>7644</v>
      </c>
      <c r="E505" s="172">
        <v>4.1900000000000004</v>
      </c>
      <c r="F505" s="172"/>
      <c r="G505" s="157">
        <v>32028</v>
      </c>
    </row>
    <row r="506" spans="1:18">
      <c r="A506" s="171" t="s">
        <v>96</v>
      </c>
      <c r="C506" s="156">
        <v>15963151.062719233</v>
      </c>
      <c r="E506" s="248">
        <v>3.5697000000000001</v>
      </c>
      <c r="F506" s="182" t="s">
        <v>10</v>
      </c>
      <c r="G506" s="157">
        <v>569837</v>
      </c>
      <c r="I506" s="100">
        <v>-4.0000000000000002E-4</v>
      </c>
      <c r="J506" s="172"/>
      <c r="K506" s="157">
        <f t="shared" ref="K506" si="166">$G506*I506</f>
        <v>-227.93480000000002</v>
      </c>
      <c r="M506" s="100">
        <f>R504</f>
        <v>-6.9999999999999999E-4</v>
      </c>
      <c r="N506" s="172"/>
      <c r="O506" s="157">
        <f t="shared" ref="O506" si="167">$G506*M506</f>
        <v>-398.88589999999999</v>
      </c>
    </row>
    <row r="507" spans="1:18" ht="16.5" thickBot="1">
      <c r="A507" s="154" t="s">
        <v>58</v>
      </c>
      <c r="C507" s="221">
        <v>15963151.062719233</v>
      </c>
      <c r="E507" s="200"/>
      <c r="G507" s="208">
        <v>781113</v>
      </c>
      <c r="I507" s="211"/>
      <c r="K507" s="208">
        <f>SUM(K506)</f>
        <v>-227.93480000000002</v>
      </c>
      <c r="M507" s="211"/>
      <c r="O507" s="208">
        <f>SUM(O506)</f>
        <v>-398.88589999999999</v>
      </c>
    </row>
    <row r="508" spans="1:18" ht="16.5" thickTop="1">
      <c r="A508" s="171"/>
      <c r="C508" s="241"/>
      <c r="J508" s="193"/>
      <c r="N508" s="193"/>
    </row>
    <row r="509" spans="1:18">
      <c r="A509" s="245" t="s">
        <v>195</v>
      </c>
      <c r="I509" s="175"/>
      <c r="J509" s="249"/>
      <c r="M509" s="175"/>
      <c r="N509" s="249"/>
      <c r="Q509" s="215" t="s">
        <v>11</v>
      </c>
      <c r="R509" s="216">
        <f>O512</f>
        <v>-248.8596</v>
      </c>
    </row>
    <row r="510" spans="1:18">
      <c r="A510" s="171" t="s">
        <v>97</v>
      </c>
      <c r="C510" s="156">
        <v>32811</v>
      </c>
      <c r="E510" s="172">
        <v>5.5</v>
      </c>
      <c r="F510" s="172"/>
      <c r="G510" s="157">
        <v>180461</v>
      </c>
      <c r="J510" s="247"/>
      <c r="N510" s="247"/>
      <c r="Q510" s="178" t="s">
        <v>12</v>
      </c>
      <c r="R510" s="179">
        <f>'Exhibit-RMP(RMM-1) page 2'!K44*1000</f>
        <v>-221.35036877013459</v>
      </c>
    </row>
    <row r="511" spans="1:18">
      <c r="A511" s="171" t="s">
        <v>96</v>
      </c>
      <c r="C511" s="156">
        <v>7776370.4443165418</v>
      </c>
      <c r="E511" s="248">
        <v>8.0005000000000006</v>
      </c>
      <c r="F511" s="182" t="s">
        <v>10</v>
      </c>
      <c r="G511" s="157">
        <v>622149</v>
      </c>
      <c r="I511" s="100">
        <v>-4.0000000000000002E-4</v>
      </c>
      <c r="J511" s="172"/>
      <c r="K511" s="157">
        <f t="shared" ref="K511" si="168">$G511*I511</f>
        <v>-248.8596</v>
      </c>
      <c r="M511" s="100">
        <f>R512</f>
        <v>-4.0000000000000002E-4</v>
      </c>
      <c r="N511" s="172"/>
      <c r="O511" s="157">
        <f t="shared" ref="O511" si="169">$G511*M511</f>
        <v>-248.8596</v>
      </c>
      <c r="Q511" s="180" t="s">
        <v>13</v>
      </c>
      <c r="R511" s="181">
        <f>R510-R509</f>
        <v>27.509231229865406</v>
      </c>
    </row>
    <row r="512" spans="1:18" ht="16.5" thickBot="1">
      <c r="A512" s="154" t="s">
        <v>58</v>
      </c>
      <c r="C512" s="221">
        <v>7776370.4443165418</v>
      </c>
      <c r="E512" s="200"/>
      <c r="G512" s="208">
        <v>802610</v>
      </c>
      <c r="I512" s="211"/>
      <c r="K512" s="208">
        <f>SUM(K511)</f>
        <v>-248.8596</v>
      </c>
      <c r="M512" s="211"/>
      <c r="O512" s="208">
        <f>SUM(O511)</f>
        <v>-248.8596</v>
      </c>
      <c r="Q512" s="183" t="s">
        <v>14</v>
      </c>
      <c r="R512" s="99">
        <f>ROUND(R510/G511,$R$9)</f>
        <v>-4.0000000000000002E-4</v>
      </c>
    </row>
    <row r="513" spans="1:15" ht="16.5" thickTop="1">
      <c r="K513" s="154"/>
    </row>
    <row r="514" spans="1:15">
      <c r="A514" s="167" t="s">
        <v>98</v>
      </c>
      <c r="O514" s="250"/>
    </row>
    <row r="515" spans="1:15">
      <c r="A515" s="167" t="s">
        <v>253</v>
      </c>
    </row>
    <row r="516" spans="1:15">
      <c r="A516" s="171" t="s">
        <v>7</v>
      </c>
      <c r="C516" s="156">
        <v>15</v>
      </c>
      <c r="E516" s="172">
        <v>53</v>
      </c>
      <c r="F516" s="172"/>
      <c r="G516" s="251">
        <v>795</v>
      </c>
    </row>
    <row r="517" spans="1:15">
      <c r="A517" s="171" t="s">
        <v>18</v>
      </c>
      <c r="C517" s="156">
        <v>0</v>
      </c>
      <c r="E517" s="172">
        <v>-0.61</v>
      </c>
      <c r="F517" s="172"/>
      <c r="G517" s="251">
        <v>0</v>
      </c>
    </row>
    <row r="518" spans="1:15">
      <c r="A518" s="171" t="s">
        <v>223</v>
      </c>
      <c r="C518" s="156">
        <v>82147.641464615925</v>
      </c>
      <c r="D518" s="193"/>
      <c r="E518" s="222">
        <v>22.156199999999998</v>
      </c>
      <c r="F518" s="182" t="s">
        <v>10</v>
      </c>
      <c r="G518" s="157">
        <v>18201</v>
      </c>
      <c r="I518" s="12">
        <f>I$284</f>
        <v>-8.9999999999999998E-4</v>
      </c>
      <c r="J518" s="172"/>
      <c r="K518" s="157">
        <f>$G518*I518</f>
        <v>-16.3809</v>
      </c>
      <c r="M518" s="12">
        <f>M$284</f>
        <v>-5.0000000000000001E-4</v>
      </c>
      <c r="O518" s="157">
        <f>$G518*M518</f>
        <v>-9.1005000000000003</v>
      </c>
    </row>
    <row r="519" spans="1:15">
      <c r="A519" s="171" t="s">
        <v>224</v>
      </c>
      <c r="C519" s="156">
        <v>0</v>
      </c>
      <c r="D519" s="193"/>
      <c r="E519" s="222">
        <v>4.309899999999999</v>
      </c>
      <c r="F519" s="182" t="s">
        <v>10</v>
      </c>
      <c r="G519" s="157">
        <v>0</v>
      </c>
      <c r="I519" s="12">
        <f t="shared" ref="I519:I525" si="170">I$284</f>
        <v>-8.9999999999999998E-4</v>
      </c>
      <c r="J519" s="172"/>
      <c r="K519" s="157">
        <f t="shared" ref="K519:K525" si="171">$G519*I519</f>
        <v>0</v>
      </c>
      <c r="M519" s="12">
        <f t="shared" ref="M519:M525" si="172">M$284</f>
        <v>-5.0000000000000001E-4</v>
      </c>
      <c r="O519" s="157">
        <f t="shared" ref="O519:O525" si="173">$G519*M519</f>
        <v>0</v>
      </c>
    </row>
    <row r="520" spans="1:15">
      <c r="A520" s="171" t="s">
        <v>225</v>
      </c>
      <c r="C520" s="156">
        <v>156310.35853538409</v>
      </c>
      <c r="D520" s="193"/>
      <c r="E520" s="222">
        <v>19.607299999999999</v>
      </c>
      <c r="F520" s="182" t="s">
        <v>10</v>
      </c>
      <c r="G520" s="157">
        <v>30648</v>
      </c>
      <c r="I520" s="12">
        <f t="shared" si="170"/>
        <v>-8.9999999999999998E-4</v>
      </c>
      <c r="J520" s="172"/>
      <c r="K520" s="157">
        <f t="shared" si="171"/>
        <v>-27.583199999999998</v>
      </c>
      <c r="M520" s="12">
        <f t="shared" si="172"/>
        <v>-5.0000000000000001E-4</v>
      </c>
      <c r="O520" s="157">
        <f t="shared" si="173"/>
        <v>-15.324</v>
      </c>
    </row>
    <row r="521" spans="1:15">
      <c r="A521" s="171" t="s">
        <v>226</v>
      </c>
      <c r="C521" s="156">
        <v>0</v>
      </c>
      <c r="D521" s="193"/>
      <c r="E521" s="222">
        <v>3.8140999999999989</v>
      </c>
      <c r="F521" s="182" t="s">
        <v>10</v>
      </c>
      <c r="G521" s="157">
        <v>0</v>
      </c>
      <c r="I521" s="12">
        <f t="shared" si="170"/>
        <v>-8.9999999999999998E-4</v>
      </c>
      <c r="J521" s="172"/>
      <c r="K521" s="157">
        <f t="shared" si="171"/>
        <v>0</v>
      </c>
      <c r="M521" s="12">
        <f t="shared" si="172"/>
        <v>-5.0000000000000001E-4</v>
      </c>
      <c r="O521" s="157">
        <f t="shared" si="173"/>
        <v>0</v>
      </c>
    </row>
    <row r="522" spans="1:15">
      <c r="A522" s="171" t="s">
        <v>227</v>
      </c>
      <c r="C522" s="156">
        <v>45620.73407194746</v>
      </c>
      <c r="D522" s="193"/>
      <c r="E522" s="222">
        <v>6</v>
      </c>
      <c r="F522" s="182" t="s">
        <v>10</v>
      </c>
      <c r="G522" s="157">
        <v>2737</v>
      </c>
      <c r="I522" s="12">
        <f t="shared" si="170"/>
        <v>-8.9999999999999998E-4</v>
      </c>
      <c r="J522" s="172"/>
      <c r="K522" s="157">
        <f t="shared" si="171"/>
        <v>-2.4632999999999998</v>
      </c>
      <c r="M522" s="12">
        <f t="shared" si="172"/>
        <v>-5.0000000000000001E-4</v>
      </c>
      <c r="O522" s="157">
        <f t="shared" si="173"/>
        <v>-1.3685</v>
      </c>
    </row>
    <row r="523" spans="1:15">
      <c r="A523" s="171" t="s">
        <v>228</v>
      </c>
      <c r="C523" s="156">
        <v>36526.907392668458</v>
      </c>
      <c r="D523" s="193"/>
      <c r="E523" s="222">
        <v>-2.335799999999999</v>
      </c>
      <c r="F523" s="182" t="s">
        <v>10</v>
      </c>
      <c r="G523" s="157">
        <v>-853</v>
      </c>
      <c r="I523" s="12">
        <f t="shared" si="170"/>
        <v>-8.9999999999999998E-4</v>
      </c>
      <c r="J523" s="172"/>
      <c r="K523" s="157">
        <f t="shared" si="171"/>
        <v>0.76769999999999994</v>
      </c>
      <c r="M523" s="12">
        <f t="shared" si="172"/>
        <v>-5.0000000000000001E-4</v>
      </c>
      <c r="O523" s="157">
        <f t="shared" si="173"/>
        <v>0.42649999999999999</v>
      </c>
    </row>
    <row r="524" spans="1:15">
      <c r="A524" s="171" t="s">
        <v>229</v>
      </c>
      <c r="C524" s="156">
        <v>86807.036359103586</v>
      </c>
      <c r="D524" s="193"/>
      <c r="E524" s="222">
        <v>5.3097000000000003</v>
      </c>
      <c r="F524" s="182" t="s">
        <v>10</v>
      </c>
      <c r="G524" s="157">
        <v>4609</v>
      </c>
      <c r="I524" s="12">
        <f t="shared" si="170"/>
        <v>-8.9999999999999998E-4</v>
      </c>
      <c r="J524" s="172"/>
      <c r="K524" s="157">
        <f t="shared" si="171"/>
        <v>-4.1480999999999995</v>
      </c>
      <c r="M524" s="12">
        <f t="shared" si="172"/>
        <v>-5.0000000000000001E-4</v>
      </c>
      <c r="O524" s="157">
        <f t="shared" si="173"/>
        <v>-2.3045</v>
      </c>
    </row>
    <row r="525" spans="1:15">
      <c r="A525" s="171" t="s">
        <v>230</v>
      </c>
      <c r="C525" s="156">
        <v>69503.322176280475</v>
      </c>
      <c r="D525" s="193"/>
      <c r="E525" s="222">
        <v>-2.0670999999999999</v>
      </c>
      <c r="F525" s="182" t="s">
        <v>10</v>
      </c>
      <c r="G525" s="157">
        <v>-1437</v>
      </c>
      <c r="I525" s="12">
        <f t="shared" si="170"/>
        <v>-8.9999999999999998E-4</v>
      </c>
      <c r="J525" s="172"/>
      <c r="K525" s="157">
        <f t="shared" si="171"/>
        <v>1.2932999999999999</v>
      </c>
      <c r="M525" s="12">
        <f t="shared" si="172"/>
        <v>-5.0000000000000001E-4</v>
      </c>
      <c r="O525" s="157">
        <f t="shared" si="173"/>
        <v>0.71850000000000003</v>
      </c>
    </row>
    <row r="526" spans="1:15">
      <c r="A526" s="171"/>
      <c r="C526" s="156">
        <f>SUM(C518:C521)</f>
        <v>238458</v>
      </c>
      <c r="E526" s="168"/>
      <c r="F526" s="193"/>
      <c r="G526" s="157">
        <v>54700</v>
      </c>
      <c r="I526" s="252"/>
      <c r="K526" s="223">
        <f>SUM(K518:K525)</f>
        <v>-48.514499999999998</v>
      </c>
      <c r="O526" s="223">
        <f>SUM(O518:O525)</f>
        <v>-26.952500000000004</v>
      </c>
    </row>
    <row r="527" spans="1:15">
      <c r="A527" s="167" t="s">
        <v>254</v>
      </c>
    </row>
    <row r="528" spans="1:15">
      <c r="A528" s="171" t="s">
        <v>7</v>
      </c>
      <c r="C528" s="156">
        <v>21</v>
      </c>
      <c r="E528" s="172">
        <v>266</v>
      </c>
      <c r="F528" s="172"/>
      <c r="G528" s="251">
        <v>5586</v>
      </c>
    </row>
    <row r="529" spans="1:15">
      <c r="A529" s="171" t="s">
        <v>28</v>
      </c>
      <c r="C529" s="156">
        <v>25595.559913253968</v>
      </c>
      <c r="E529" s="172">
        <v>2.2799999999999998</v>
      </c>
      <c r="F529" s="172"/>
      <c r="G529" s="251">
        <v>58358</v>
      </c>
    </row>
    <row r="530" spans="1:15">
      <c r="A530" s="171" t="s">
        <v>245</v>
      </c>
      <c r="C530" s="156">
        <v>8667.6960527404663</v>
      </c>
      <c r="E530" s="193">
        <v>14.33</v>
      </c>
      <c r="F530" s="193"/>
      <c r="G530" s="251">
        <v>124208</v>
      </c>
      <c r="I530" s="12">
        <f t="shared" ref="I530:I535" si="174">I$345</f>
        <v>-8.9999999999999998E-4</v>
      </c>
      <c r="J530" s="172"/>
      <c r="K530" s="157">
        <f t="shared" ref="K530:K535" si="175">$G530*I530</f>
        <v>-111.7872</v>
      </c>
      <c r="M530" s="12">
        <f t="shared" ref="M530:M535" si="176">M$345</f>
        <v>-1E-3</v>
      </c>
      <c r="N530" s="172"/>
      <c r="O530" s="157">
        <f t="shared" ref="O530:O535" si="177">$G530*M530</f>
        <v>-124.208</v>
      </c>
    </row>
    <row r="531" spans="1:15">
      <c r="A531" s="171" t="s">
        <v>246</v>
      </c>
      <c r="C531" s="156">
        <v>16940.838927140219</v>
      </c>
      <c r="E531" s="193">
        <v>12.68</v>
      </c>
      <c r="F531" s="193"/>
      <c r="G531" s="251">
        <v>214810</v>
      </c>
      <c r="I531" s="12">
        <f t="shared" si="174"/>
        <v>-8.9999999999999998E-4</v>
      </c>
      <c r="J531" s="172"/>
      <c r="K531" s="157">
        <f t="shared" si="175"/>
        <v>-193.32900000000001</v>
      </c>
      <c r="M531" s="12">
        <f t="shared" si="176"/>
        <v>-1E-3</v>
      </c>
      <c r="N531" s="172"/>
      <c r="O531" s="157">
        <f t="shared" si="177"/>
        <v>-214.81</v>
      </c>
    </row>
    <row r="532" spans="1:15">
      <c r="A532" s="171" t="s">
        <v>207</v>
      </c>
      <c r="C532" s="156">
        <v>91665.936485583297</v>
      </c>
      <c r="E532" s="209">
        <v>5.1477000000000004</v>
      </c>
      <c r="F532" s="182" t="s">
        <v>10</v>
      </c>
      <c r="G532" s="157">
        <v>4719</v>
      </c>
      <c r="I532" s="12">
        <f t="shared" si="174"/>
        <v>-8.9999999999999998E-4</v>
      </c>
      <c r="J532" s="172"/>
      <c r="K532" s="157">
        <f t="shared" si="175"/>
        <v>-4.2470999999999997</v>
      </c>
      <c r="M532" s="12">
        <f t="shared" si="176"/>
        <v>-1E-3</v>
      </c>
      <c r="N532" s="172"/>
      <c r="O532" s="157">
        <f t="shared" si="177"/>
        <v>-4.7190000000000003</v>
      </c>
    </row>
    <row r="533" spans="1:15">
      <c r="A533" s="171" t="s">
        <v>247</v>
      </c>
      <c r="C533" s="156">
        <v>244287.58536054517</v>
      </c>
      <c r="E533" s="209">
        <v>4.5555000000000003</v>
      </c>
      <c r="F533" s="182" t="s">
        <v>10</v>
      </c>
      <c r="G533" s="157">
        <v>11129</v>
      </c>
      <c r="I533" s="12">
        <f t="shared" si="174"/>
        <v>-8.9999999999999998E-4</v>
      </c>
      <c r="J533" s="172"/>
      <c r="K533" s="157">
        <f t="shared" si="175"/>
        <v>-10.0161</v>
      </c>
      <c r="M533" s="12">
        <f t="shared" si="176"/>
        <v>-1E-3</v>
      </c>
      <c r="N533" s="172"/>
      <c r="O533" s="157">
        <f t="shared" si="177"/>
        <v>-11.129</v>
      </c>
    </row>
    <row r="534" spans="1:15">
      <c r="A534" s="171" t="s">
        <v>208</v>
      </c>
      <c r="C534" s="156">
        <v>362605.35849331866</v>
      </c>
      <c r="E534" s="209">
        <v>2.6164999999999998</v>
      </c>
      <c r="F534" s="182" t="s">
        <v>10</v>
      </c>
      <c r="G534" s="157">
        <v>9488</v>
      </c>
      <c r="I534" s="12">
        <f t="shared" si="174"/>
        <v>-8.9999999999999998E-4</v>
      </c>
      <c r="J534" s="172"/>
      <c r="K534" s="157">
        <f t="shared" si="175"/>
        <v>-8.5391999999999992</v>
      </c>
      <c r="M534" s="12">
        <f t="shared" si="176"/>
        <v>-1E-3</v>
      </c>
      <c r="N534" s="172"/>
      <c r="O534" s="157">
        <f t="shared" si="177"/>
        <v>-9.4879999999999995</v>
      </c>
    </row>
    <row r="535" spans="1:15">
      <c r="A535" s="171" t="s">
        <v>248</v>
      </c>
      <c r="C535" s="156">
        <v>900095.11966055306</v>
      </c>
      <c r="E535" s="209">
        <v>2.3155000000000001</v>
      </c>
      <c r="F535" s="182" t="s">
        <v>10</v>
      </c>
      <c r="G535" s="157">
        <v>20842</v>
      </c>
      <c r="I535" s="12">
        <f t="shared" si="174"/>
        <v>-8.9999999999999998E-4</v>
      </c>
      <c r="J535" s="172"/>
      <c r="K535" s="157">
        <f t="shared" si="175"/>
        <v>-18.7578</v>
      </c>
      <c r="M535" s="12">
        <f t="shared" si="176"/>
        <v>-1E-3</v>
      </c>
      <c r="N535" s="172"/>
      <c r="O535" s="157">
        <f t="shared" si="177"/>
        <v>-20.841999999999999</v>
      </c>
    </row>
    <row r="536" spans="1:15">
      <c r="A536" s="171"/>
      <c r="C536" s="156">
        <f>SUM(C532:C535)</f>
        <v>1598654.0000000002</v>
      </c>
      <c r="E536" s="168"/>
      <c r="F536" s="193"/>
      <c r="G536" s="157">
        <v>449140</v>
      </c>
      <c r="I536" s="252"/>
      <c r="K536" s="223">
        <f>SUM(K530:K535)</f>
        <v>-346.67639999999994</v>
      </c>
      <c r="O536" s="223">
        <f>SUM(O530:O535)</f>
        <v>-385.19600000000003</v>
      </c>
    </row>
    <row r="537" spans="1:15" ht="16.5" thickBot="1">
      <c r="A537" s="171" t="s">
        <v>15</v>
      </c>
      <c r="C537" s="221">
        <v>1837112</v>
      </c>
      <c r="E537" s="200"/>
      <c r="G537" s="208">
        <v>503840</v>
      </c>
      <c r="I537" s="211"/>
      <c r="K537" s="196">
        <f>K526+K536</f>
        <v>-395.19089999999994</v>
      </c>
      <c r="M537" s="197"/>
      <c r="O537" s="196">
        <f>O526+O536</f>
        <v>-412.14850000000001</v>
      </c>
    </row>
    <row r="538" spans="1:15" ht="16.5" thickTop="1">
      <c r="A538" s="171"/>
    </row>
    <row r="539" spans="1:15">
      <c r="A539" s="167" t="s">
        <v>255</v>
      </c>
      <c r="E539" s="209"/>
      <c r="F539" s="209"/>
    </row>
    <row r="540" spans="1:15">
      <c r="A540" s="171" t="s">
        <v>256</v>
      </c>
      <c r="B540" s="171"/>
      <c r="E540" s="253"/>
      <c r="F540" s="172"/>
    </row>
    <row r="541" spans="1:15">
      <c r="A541" s="171" t="s">
        <v>257</v>
      </c>
      <c r="B541" s="171"/>
      <c r="E541" s="253">
        <v>73</v>
      </c>
      <c r="F541" s="172"/>
    </row>
    <row r="542" spans="1:15">
      <c r="A542" s="171" t="s">
        <v>258</v>
      </c>
      <c r="E542" s="253">
        <v>73</v>
      </c>
      <c r="F542" s="172"/>
    </row>
    <row r="543" spans="1:15">
      <c r="A543" s="171" t="s">
        <v>259</v>
      </c>
      <c r="E543" s="253">
        <v>269</v>
      </c>
      <c r="F543" s="193"/>
    </row>
    <row r="544" spans="1:15">
      <c r="A544" s="171" t="s">
        <v>260</v>
      </c>
      <c r="E544" s="253"/>
      <c r="F544" s="249"/>
    </row>
    <row r="545" spans="1:6">
      <c r="A545" s="171" t="s">
        <v>257</v>
      </c>
      <c r="E545" s="253">
        <v>1.42</v>
      </c>
      <c r="F545" s="249"/>
    </row>
    <row r="546" spans="1:6">
      <c r="A546" s="171" t="s">
        <v>258</v>
      </c>
      <c r="E546" s="253">
        <v>1.42</v>
      </c>
      <c r="F546" s="249"/>
    </row>
    <row r="547" spans="1:6">
      <c r="A547" s="171" t="s">
        <v>259</v>
      </c>
      <c r="E547" s="253">
        <v>1.42</v>
      </c>
      <c r="F547" s="247"/>
    </row>
    <row r="548" spans="1:6">
      <c r="A548" s="171" t="s">
        <v>261</v>
      </c>
      <c r="E548" s="253"/>
      <c r="F548" s="247"/>
    </row>
    <row r="549" spans="1:6">
      <c r="A549" s="171" t="s">
        <v>257</v>
      </c>
      <c r="E549" s="253"/>
      <c r="F549" s="247"/>
    </row>
    <row r="550" spans="1:6">
      <c r="A550" s="171" t="s">
        <v>262</v>
      </c>
      <c r="B550" s="171"/>
      <c r="D550" s="171"/>
      <c r="E550" s="253">
        <v>8.4600000000000009</v>
      </c>
      <c r="F550" s="171"/>
    </row>
    <row r="551" spans="1:6">
      <c r="A551" s="171" t="s">
        <v>263</v>
      </c>
      <c r="E551" s="253">
        <v>6.08</v>
      </c>
      <c r="F551" s="172"/>
    </row>
    <row r="552" spans="1:6">
      <c r="A552" s="171" t="s">
        <v>258</v>
      </c>
      <c r="E552" s="253"/>
      <c r="F552" s="172"/>
    </row>
    <row r="553" spans="1:6">
      <c r="A553" s="171" t="s">
        <v>262</v>
      </c>
      <c r="E553" s="253">
        <v>8.35</v>
      </c>
      <c r="F553" s="249"/>
    </row>
    <row r="554" spans="1:6">
      <c r="A554" s="171" t="s">
        <v>263</v>
      </c>
      <c r="E554" s="253">
        <v>5.82</v>
      </c>
      <c r="F554" s="249"/>
    </row>
    <row r="555" spans="1:6">
      <c r="A555" s="171" t="s">
        <v>264</v>
      </c>
      <c r="E555" s="253"/>
      <c r="F555" s="249"/>
    </row>
    <row r="556" spans="1:6">
      <c r="A556" s="171" t="s">
        <v>262</v>
      </c>
      <c r="E556" s="253">
        <v>8.1199999999999992</v>
      </c>
      <c r="F556" s="247"/>
    </row>
    <row r="557" spans="1:6">
      <c r="A557" s="171" t="s">
        <v>263</v>
      </c>
      <c r="E557" s="253">
        <v>5.51</v>
      </c>
      <c r="F557" s="247"/>
    </row>
    <row r="558" spans="1:6">
      <c r="A558" s="171" t="s">
        <v>265</v>
      </c>
      <c r="E558" s="254"/>
      <c r="F558" s="247"/>
    </row>
    <row r="559" spans="1:6">
      <c r="A559" s="171" t="s">
        <v>257</v>
      </c>
      <c r="E559" s="253"/>
      <c r="F559" s="172"/>
    </row>
    <row r="560" spans="1:6">
      <c r="A560" s="171" t="s">
        <v>266</v>
      </c>
      <c r="C560" s="222"/>
      <c r="E560" s="248">
        <v>9.5742999999999991</v>
      </c>
      <c r="F560" s="182" t="s">
        <v>10</v>
      </c>
    </row>
    <row r="561" spans="1:15">
      <c r="A561" s="171" t="s">
        <v>267</v>
      </c>
      <c r="C561" s="222"/>
      <c r="E561" s="248">
        <v>5.2656000000000001</v>
      </c>
      <c r="F561" s="182" t="s">
        <v>10</v>
      </c>
    </row>
    <row r="562" spans="1:15">
      <c r="A562" s="171" t="s">
        <v>268</v>
      </c>
      <c r="C562" s="222"/>
      <c r="E562" s="248">
        <v>4.2634999999999996</v>
      </c>
      <c r="F562" s="182" t="s">
        <v>10</v>
      </c>
    </row>
    <row r="563" spans="1:15">
      <c r="A563" s="171" t="s">
        <v>269</v>
      </c>
      <c r="C563" s="222"/>
      <c r="E563" s="248">
        <v>3.5632000000000001</v>
      </c>
      <c r="F563" s="182" t="s">
        <v>10</v>
      </c>
    </row>
    <row r="564" spans="1:15">
      <c r="A564" s="171" t="s">
        <v>258</v>
      </c>
      <c r="C564" s="222"/>
      <c r="E564" s="248"/>
      <c r="F564" s="193"/>
    </row>
    <row r="565" spans="1:15">
      <c r="A565" s="171" t="s">
        <v>266</v>
      </c>
      <c r="C565" s="222"/>
      <c r="E565" s="248">
        <v>9.1898999999999997</v>
      </c>
      <c r="F565" s="182" t="s">
        <v>10</v>
      </c>
    </row>
    <row r="566" spans="1:15">
      <c r="A566" s="171" t="s">
        <v>267</v>
      </c>
      <c r="C566" s="222"/>
      <c r="E566" s="248">
        <v>4.8811999999999998</v>
      </c>
      <c r="F566" s="182" t="s">
        <v>10</v>
      </c>
    </row>
    <row r="567" spans="1:15">
      <c r="A567" s="171" t="s">
        <v>268</v>
      </c>
      <c r="C567" s="222"/>
      <c r="E567" s="248">
        <v>3.8791000000000002</v>
      </c>
      <c r="F567" s="182" t="s">
        <v>10</v>
      </c>
    </row>
    <row r="568" spans="1:15">
      <c r="A568" s="171" t="s">
        <v>269</v>
      </c>
      <c r="C568" s="222"/>
      <c r="E568" s="248">
        <v>3.1789000000000001</v>
      </c>
      <c r="F568" s="182" t="s">
        <v>10</v>
      </c>
    </row>
    <row r="569" spans="1:15">
      <c r="A569" s="171" t="s">
        <v>259</v>
      </c>
      <c r="C569" s="222"/>
      <c r="E569" s="248"/>
      <c r="F569" s="182"/>
    </row>
    <row r="570" spans="1:15">
      <c r="A570" s="171" t="s">
        <v>266</v>
      </c>
      <c r="C570" s="222"/>
      <c r="E570" s="248">
        <v>8.9899000000000004</v>
      </c>
      <c r="F570" s="182" t="s">
        <v>10</v>
      </c>
    </row>
    <row r="571" spans="1:15">
      <c r="A571" s="171" t="s">
        <v>267</v>
      </c>
      <c r="C571" s="222"/>
      <c r="E571" s="248">
        <v>4.6810999999999998</v>
      </c>
      <c r="F571" s="182" t="s">
        <v>10</v>
      </c>
    </row>
    <row r="572" spans="1:15">
      <c r="A572" s="171" t="s">
        <v>268</v>
      </c>
      <c r="C572" s="222"/>
      <c r="E572" s="248">
        <v>3.6791</v>
      </c>
      <c r="F572" s="182" t="s">
        <v>10</v>
      </c>
    </row>
    <row r="573" spans="1:15">
      <c r="A573" s="171" t="s">
        <v>269</v>
      </c>
      <c r="C573" s="222"/>
      <c r="E573" s="248">
        <v>2.9788000000000001</v>
      </c>
      <c r="F573" s="182" t="s">
        <v>10</v>
      </c>
    </row>
    <row r="574" spans="1:15" ht="16.5" thickBot="1">
      <c r="A574" s="171" t="s">
        <v>15</v>
      </c>
      <c r="G574" s="157">
        <v>0</v>
      </c>
      <c r="I574" s="211"/>
      <c r="K574" s="208">
        <v>0</v>
      </c>
      <c r="M574" s="211"/>
      <c r="O574" s="208">
        <v>0</v>
      </c>
    </row>
    <row r="575" spans="1:15" ht="16.5" thickTop="1"/>
    <row r="576" spans="1:15">
      <c r="A576" s="167" t="s">
        <v>196</v>
      </c>
    </row>
    <row r="577" spans="1:18">
      <c r="A577" s="171" t="s">
        <v>7</v>
      </c>
      <c r="C577" s="156">
        <v>1134470.3348968814</v>
      </c>
      <c r="E577" s="172">
        <v>10</v>
      </c>
      <c r="F577" s="172"/>
      <c r="G577" s="157">
        <v>11344703</v>
      </c>
      <c r="Q577" s="215" t="s">
        <v>11</v>
      </c>
      <c r="R577" s="216">
        <f>O589+O602+O616</f>
        <v>0</v>
      </c>
    </row>
    <row r="578" spans="1:18">
      <c r="A578" s="171" t="s">
        <v>19</v>
      </c>
      <c r="C578" s="156">
        <v>0</v>
      </c>
      <c r="E578" s="172">
        <v>117</v>
      </c>
      <c r="F578" s="172"/>
      <c r="G578" s="157">
        <v>0</v>
      </c>
      <c r="Q578" s="178" t="s">
        <v>12</v>
      </c>
      <c r="R578" s="179">
        <f>'Exhibit-RMP(RMM-1) page 2'!K30*1000</f>
        <v>-2292.5517990994094</v>
      </c>
    </row>
    <row r="579" spans="1:18">
      <c r="A579" s="171" t="s">
        <v>232</v>
      </c>
      <c r="C579" s="156">
        <v>102</v>
      </c>
      <c r="E579" s="172">
        <v>10</v>
      </c>
      <c r="F579" s="193"/>
      <c r="G579" s="157">
        <v>1020</v>
      </c>
      <c r="Q579" s="180" t="s">
        <v>13</v>
      </c>
      <c r="R579" s="181">
        <f>R578-R577</f>
        <v>-2292.5517990994094</v>
      </c>
    </row>
    <row r="580" spans="1:18">
      <c r="A580" s="171" t="s">
        <v>270</v>
      </c>
      <c r="C580" s="156">
        <v>303570</v>
      </c>
      <c r="E580" s="193">
        <v>8.89</v>
      </c>
      <c r="F580" s="193"/>
      <c r="G580" s="157">
        <v>2698737</v>
      </c>
      <c r="I580" s="100">
        <v>0</v>
      </c>
      <c r="J580" s="172"/>
      <c r="K580" s="157">
        <f t="shared" ref="K580:K585" si="178">$G580*I580</f>
        <v>0</v>
      </c>
      <c r="M580" s="100">
        <f>R580</f>
        <v>0</v>
      </c>
      <c r="N580" s="172"/>
      <c r="O580" s="157">
        <f t="shared" ref="O580:O585" si="179">$G580*M580</f>
        <v>0</v>
      </c>
      <c r="Q580" s="183" t="s">
        <v>14</v>
      </c>
      <c r="R580" s="99">
        <f>ROUND(R578/SUM(G580:G585,G595:G600,G609:G614),$R$9)</f>
        <v>0</v>
      </c>
    </row>
    <row r="581" spans="1:18">
      <c r="A581" s="171" t="s">
        <v>271</v>
      </c>
      <c r="C581" s="156">
        <v>353344</v>
      </c>
      <c r="E581" s="193">
        <v>7.87</v>
      </c>
      <c r="F581" s="193"/>
      <c r="G581" s="157">
        <v>2780817</v>
      </c>
      <c r="I581" s="12">
        <f>I$580</f>
        <v>0</v>
      </c>
      <c r="J581" s="172"/>
      <c r="K581" s="157">
        <f t="shared" si="178"/>
        <v>0</v>
      </c>
      <c r="M581" s="12">
        <f>M$580</f>
        <v>0</v>
      </c>
      <c r="N581" s="172"/>
      <c r="O581" s="157">
        <f t="shared" si="179"/>
        <v>0</v>
      </c>
    </row>
    <row r="582" spans="1:18">
      <c r="A582" s="171" t="s">
        <v>272</v>
      </c>
      <c r="C582" s="156">
        <v>245732054.41468564</v>
      </c>
      <c r="E582" s="209">
        <v>11.712</v>
      </c>
      <c r="F582" s="182" t="s">
        <v>10</v>
      </c>
      <c r="G582" s="157">
        <v>28780138</v>
      </c>
      <c r="I582" s="12">
        <f t="shared" ref="I582:I585" si="180">I$580</f>
        <v>0</v>
      </c>
      <c r="J582" s="172"/>
      <c r="K582" s="157">
        <f t="shared" si="178"/>
        <v>0</v>
      </c>
      <c r="M582" s="12">
        <f t="shared" ref="M582:M585" si="181">M$580</f>
        <v>0</v>
      </c>
      <c r="N582" s="172"/>
      <c r="O582" s="157">
        <f t="shared" si="179"/>
        <v>0</v>
      </c>
    </row>
    <row r="583" spans="1:18">
      <c r="A583" s="171" t="s">
        <v>273</v>
      </c>
      <c r="C583" s="156">
        <v>255089575</v>
      </c>
      <c r="E583" s="209">
        <v>6.5567000000000002</v>
      </c>
      <c r="F583" s="182" t="s">
        <v>10</v>
      </c>
      <c r="G583" s="157">
        <v>16725458</v>
      </c>
      <c r="I583" s="12">
        <f t="shared" si="180"/>
        <v>0</v>
      </c>
      <c r="J583" s="172"/>
      <c r="K583" s="157">
        <f t="shared" si="178"/>
        <v>0</v>
      </c>
      <c r="M583" s="12">
        <f t="shared" si="181"/>
        <v>0</v>
      </c>
      <c r="N583" s="172"/>
      <c r="O583" s="157">
        <f t="shared" si="179"/>
        <v>0</v>
      </c>
    </row>
    <row r="584" spans="1:18">
      <c r="A584" s="171" t="s">
        <v>274</v>
      </c>
      <c r="C584" s="156">
        <v>491138812</v>
      </c>
      <c r="E584" s="209">
        <v>10.364599999999999</v>
      </c>
      <c r="F584" s="182" t="s">
        <v>10</v>
      </c>
      <c r="G584" s="157">
        <v>50904573</v>
      </c>
      <c r="I584" s="12">
        <f t="shared" si="180"/>
        <v>0</v>
      </c>
      <c r="J584" s="172"/>
      <c r="K584" s="157">
        <f t="shared" si="178"/>
        <v>0</v>
      </c>
      <c r="M584" s="12">
        <f t="shared" si="181"/>
        <v>0</v>
      </c>
      <c r="N584" s="172"/>
      <c r="O584" s="157">
        <f t="shared" si="179"/>
        <v>0</v>
      </c>
    </row>
    <row r="585" spans="1:18">
      <c r="A585" s="171" t="s">
        <v>275</v>
      </c>
      <c r="C585" s="156">
        <v>394638630</v>
      </c>
      <c r="E585" s="209">
        <v>5.8023999999999996</v>
      </c>
      <c r="F585" s="182" t="s">
        <v>10</v>
      </c>
      <c r="G585" s="157">
        <v>22898512</v>
      </c>
      <c r="I585" s="12">
        <f t="shared" si="180"/>
        <v>0</v>
      </c>
      <c r="J585" s="172"/>
      <c r="K585" s="157">
        <f t="shared" si="178"/>
        <v>0</v>
      </c>
      <c r="M585" s="12">
        <f t="shared" si="181"/>
        <v>0</v>
      </c>
      <c r="N585" s="172"/>
      <c r="O585" s="157">
        <f t="shared" si="179"/>
        <v>0</v>
      </c>
    </row>
    <row r="586" spans="1:18">
      <c r="A586" s="171" t="s">
        <v>18</v>
      </c>
      <c r="C586" s="156">
        <v>11994</v>
      </c>
      <c r="E586" s="172">
        <v>-0.48</v>
      </c>
      <c r="F586" s="172"/>
      <c r="G586" s="157">
        <v>-5757</v>
      </c>
    </row>
    <row r="587" spans="1:18">
      <c r="A587" s="189" t="s">
        <v>214</v>
      </c>
      <c r="B587" s="190"/>
      <c r="C587" s="156">
        <v>2069676</v>
      </c>
      <c r="D587" s="190"/>
      <c r="E587" s="191">
        <v>10.3811</v>
      </c>
      <c r="F587" s="192" t="s">
        <v>10</v>
      </c>
      <c r="G587" s="204">
        <v>214855</v>
      </c>
    </row>
    <row r="588" spans="1:18">
      <c r="A588" s="189" t="s">
        <v>215</v>
      </c>
      <c r="C588" s="156">
        <v>-150134</v>
      </c>
      <c r="E588" s="168"/>
      <c r="F588" s="193"/>
    </row>
    <row r="589" spans="1:18" ht="16.5" thickBot="1">
      <c r="A589" s="171" t="s">
        <v>15</v>
      </c>
      <c r="C589" s="221">
        <v>1388518613.4146857</v>
      </c>
      <c r="E589" s="200"/>
      <c r="G589" s="208">
        <v>136343056</v>
      </c>
      <c r="I589" s="211"/>
      <c r="K589" s="208">
        <f>SUM(K580:K588)</f>
        <v>0</v>
      </c>
      <c r="M589" s="211"/>
      <c r="O589" s="208">
        <f>SUM(O580:O588)</f>
        <v>0</v>
      </c>
    </row>
    <row r="590" spans="1:18" ht="16.5" thickTop="1"/>
    <row r="591" spans="1:18">
      <c r="A591" s="167" t="s">
        <v>276</v>
      </c>
    </row>
    <row r="592" spans="1:18">
      <c r="A592" s="171" t="s">
        <v>7</v>
      </c>
      <c r="C592" s="156">
        <v>18738</v>
      </c>
      <c r="E592" s="172">
        <v>10</v>
      </c>
      <c r="F592" s="172"/>
      <c r="G592" s="157">
        <v>187380</v>
      </c>
    </row>
    <row r="593" spans="1:15">
      <c r="A593" s="171" t="s">
        <v>19</v>
      </c>
      <c r="C593" s="156">
        <v>0</v>
      </c>
      <c r="E593" s="172">
        <v>117</v>
      </c>
      <c r="F593" s="172"/>
      <c r="G593" s="157">
        <v>0</v>
      </c>
    </row>
    <row r="594" spans="1:15">
      <c r="A594" s="171" t="s">
        <v>232</v>
      </c>
      <c r="C594" s="156">
        <v>10</v>
      </c>
      <c r="E594" s="193">
        <v>10</v>
      </c>
      <c r="F594" s="193"/>
      <c r="G594" s="157">
        <v>100</v>
      </c>
    </row>
    <row r="595" spans="1:15">
      <c r="A595" s="171" t="s">
        <v>270</v>
      </c>
      <c r="C595" s="156">
        <v>6794</v>
      </c>
      <c r="E595" s="193">
        <v>8.89</v>
      </c>
      <c r="F595" s="193"/>
      <c r="G595" s="157">
        <v>60399</v>
      </c>
      <c r="I595" s="12">
        <f t="shared" ref="I595:I600" si="182">I$580</f>
        <v>0</v>
      </c>
      <c r="J595" s="172"/>
      <c r="K595" s="157">
        <f t="shared" ref="K595:K600" si="183">$G595*I595</f>
        <v>0</v>
      </c>
      <c r="M595" s="12">
        <f t="shared" ref="M595:M600" si="184">M$580</f>
        <v>0</v>
      </c>
      <c r="N595" s="172"/>
      <c r="O595" s="157">
        <f t="shared" ref="O595:O600" si="185">$G595*M595</f>
        <v>0</v>
      </c>
    </row>
    <row r="596" spans="1:15">
      <c r="A596" s="171" t="s">
        <v>271</v>
      </c>
      <c r="C596" s="156">
        <v>9813</v>
      </c>
      <c r="E596" s="193">
        <v>7.87</v>
      </c>
      <c r="F596" s="193"/>
      <c r="G596" s="157">
        <v>77228</v>
      </c>
      <c r="I596" s="12">
        <f t="shared" si="182"/>
        <v>0</v>
      </c>
      <c r="J596" s="172"/>
      <c r="K596" s="157">
        <f t="shared" si="183"/>
        <v>0</v>
      </c>
      <c r="M596" s="12">
        <f t="shared" si="184"/>
        <v>0</v>
      </c>
      <c r="N596" s="172"/>
      <c r="O596" s="157">
        <f t="shared" si="185"/>
        <v>0</v>
      </c>
    </row>
    <row r="597" spans="1:15">
      <c r="A597" s="171" t="s">
        <v>272</v>
      </c>
      <c r="C597" s="156">
        <v>2193839.9420763389</v>
      </c>
      <c r="E597" s="209">
        <v>11.712</v>
      </c>
      <c r="F597" s="182" t="s">
        <v>10</v>
      </c>
      <c r="G597" s="157">
        <v>256943</v>
      </c>
      <c r="I597" s="12">
        <f t="shared" si="182"/>
        <v>0</v>
      </c>
      <c r="J597" s="172"/>
      <c r="K597" s="157">
        <f t="shared" si="183"/>
        <v>0</v>
      </c>
      <c r="M597" s="12">
        <f t="shared" si="184"/>
        <v>0</v>
      </c>
      <c r="N597" s="172"/>
      <c r="O597" s="157">
        <f t="shared" si="185"/>
        <v>0</v>
      </c>
    </row>
    <row r="598" spans="1:15">
      <c r="A598" s="171" t="s">
        <v>273</v>
      </c>
      <c r="C598" s="156">
        <v>2240351</v>
      </c>
      <c r="E598" s="209">
        <v>6.5567000000000002</v>
      </c>
      <c r="F598" s="182" t="s">
        <v>10</v>
      </c>
      <c r="G598" s="157">
        <v>146893</v>
      </c>
      <c r="I598" s="12">
        <f t="shared" si="182"/>
        <v>0</v>
      </c>
      <c r="J598" s="172"/>
      <c r="K598" s="157">
        <f t="shared" si="183"/>
        <v>0</v>
      </c>
      <c r="M598" s="12">
        <f t="shared" si="184"/>
        <v>0</v>
      </c>
      <c r="N598" s="172"/>
      <c r="O598" s="157">
        <f t="shared" si="185"/>
        <v>0</v>
      </c>
    </row>
    <row r="599" spans="1:15">
      <c r="A599" s="171" t="s">
        <v>274</v>
      </c>
      <c r="C599" s="156">
        <v>5247056</v>
      </c>
      <c r="E599" s="209">
        <v>10.364599999999999</v>
      </c>
      <c r="F599" s="182" t="s">
        <v>10</v>
      </c>
      <c r="G599" s="157">
        <v>543836</v>
      </c>
      <c r="I599" s="12">
        <f t="shared" si="182"/>
        <v>0</v>
      </c>
      <c r="J599" s="172"/>
      <c r="K599" s="157">
        <f t="shared" si="183"/>
        <v>0</v>
      </c>
      <c r="M599" s="12">
        <f t="shared" si="184"/>
        <v>0</v>
      </c>
      <c r="N599" s="172"/>
      <c r="O599" s="157">
        <f t="shared" si="185"/>
        <v>0</v>
      </c>
    </row>
    <row r="600" spans="1:15">
      <c r="A600" s="171" t="s">
        <v>275</v>
      </c>
      <c r="C600" s="156">
        <v>4722287</v>
      </c>
      <c r="E600" s="209">
        <v>5.8023999999999996</v>
      </c>
      <c r="F600" s="182" t="s">
        <v>10</v>
      </c>
      <c r="G600" s="157">
        <v>274006</v>
      </c>
      <c r="I600" s="12">
        <f t="shared" si="182"/>
        <v>0</v>
      </c>
      <c r="J600" s="172"/>
      <c r="K600" s="157">
        <f t="shared" si="183"/>
        <v>0</v>
      </c>
      <c r="M600" s="12">
        <f t="shared" si="184"/>
        <v>0</v>
      </c>
      <c r="N600" s="172"/>
      <c r="O600" s="157">
        <f t="shared" si="185"/>
        <v>0</v>
      </c>
    </row>
    <row r="601" spans="1:15">
      <c r="A601" s="171" t="s">
        <v>18</v>
      </c>
      <c r="C601" s="156">
        <v>0</v>
      </c>
      <c r="E601" s="172">
        <v>-0.48</v>
      </c>
      <c r="F601" s="172"/>
      <c r="G601" s="157">
        <v>0</v>
      </c>
    </row>
    <row r="602" spans="1:15" ht="16.5" thickBot="1">
      <c r="A602" s="171" t="s">
        <v>15</v>
      </c>
      <c r="C602" s="221">
        <v>14403533.942076338</v>
      </c>
      <c r="E602" s="200"/>
      <c r="F602" s="193"/>
      <c r="G602" s="196">
        <v>1546785</v>
      </c>
      <c r="I602" s="211"/>
      <c r="K602" s="208">
        <f>SUM(K595:K601)</f>
        <v>0</v>
      </c>
      <c r="M602" s="211"/>
      <c r="O602" s="208">
        <f>SUM(O595:O601)</f>
        <v>0</v>
      </c>
    </row>
    <row r="603" spans="1:15" ht="16.5" thickTop="1"/>
    <row r="604" spans="1:15">
      <c r="A604" s="167" t="s">
        <v>277</v>
      </c>
    </row>
    <row r="605" spans="1:15">
      <c r="A605" s="171" t="s">
        <v>7</v>
      </c>
      <c r="C605" s="156">
        <v>1546</v>
      </c>
      <c r="E605" s="193">
        <v>10</v>
      </c>
      <c r="F605" s="172"/>
      <c r="G605" s="157">
        <v>15460</v>
      </c>
    </row>
    <row r="606" spans="1:15">
      <c r="A606" s="171" t="s">
        <v>19</v>
      </c>
      <c r="C606" s="156">
        <v>0</v>
      </c>
      <c r="E606" s="193">
        <v>117</v>
      </c>
      <c r="F606" s="172"/>
      <c r="G606" s="157">
        <v>0</v>
      </c>
    </row>
    <row r="607" spans="1:15">
      <c r="A607" s="171" t="s">
        <v>205</v>
      </c>
      <c r="C607" s="156">
        <v>393</v>
      </c>
      <c r="E607" s="193">
        <v>2</v>
      </c>
      <c r="F607" s="193"/>
      <c r="G607" s="157">
        <v>786</v>
      </c>
    </row>
    <row r="608" spans="1:15">
      <c r="A608" s="171" t="s">
        <v>232</v>
      </c>
      <c r="C608" s="156">
        <v>0</v>
      </c>
      <c r="E608" s="193">
        <v>10</v>
      </c>
      <c r="F608" s="172"/>
      <c r="G608" s="157">
        <v>0</v>
      </c>
    </row>
    <row r="609" spans="1:15">
      <c r="A609" s="171" t="s">
        <v>270</v>
      </c>
      <c r="C609" s="156">
        <v>552</v>
      </c>
      <c r="E609" s="193">
        <v>8.89</v>
      </c>
      <c r="F609" s="193"/>
      <c r="G609" s="157">
        <v>4907</v>
      </c>
      <c r="I609" s="12">
        <f t="shared" ref="I609:I614" si="186">I$580</f>
        <v>0</v>
      </c>
      <c r="J609" s="172"/>
      <c r="K609" s="157">
        <f t="shared" ref="K609:K614" si="187">$G609*I609</f>
        <v>0</v>
      </c>
      <c r="M609" s="12">
        <f t="shared" ref="M609:M614" si="188">M$580</f>
        <v>0</v>
      </c>
      <c r="N609" s="172"/>
      <c r="O609" s="157">
        <f t="shared" ref="O609:O614" si="189">$G609*M609</f>
        <v>0</v>
      </c>
    </row>
    <row r="610" spans="1:15">
      <c r="A610" s="171" t="s">
        <v>271</v>
      </c>
      <c r="C610" s="156">
        <v>982</v>
      </c>
      <c r="E610" s="209">
        <v>7.87</v>
      </c>
      <c r="F610" s="193"/>
      <c r="G610" s="157">
        <v>7728</v>
      </c>
      <c r="I610" s="12">
        <f t="shared" si="186"/>
        <v>0</v>
      </c>
      <c r="J610" s="172"/>
      <c r="K610" s="157">
        <f t="shared" si="187"/>
        <v>0</v>
      </c>
      <c r="M610" s="12">
        <f t="shared" si="188"/>
        <v>0</v>
      </c>
      <c r="N610" s="172"/>
      <c r="O610" s="157">
        <f t="shared" si="189"/>
        <v>0</v>
      </c>
    </row>
    <row r="611" spans="1:15">
      <c r="A611" s="171" t="s">
        <v>272</v>
      </c>
      <c r="C611" s="156">
        <v>228752.11425782187</v>
      </c>
      <c r="E611" s="209">
        <v>11.712</v>
      </c>
      <c r="F611" s="182" t="s">
        <v>10</v>
      </c>
      <c r="G611" s="157">
        <v>26791</v>
      </c>
      <c r="I611" s="12">
        <f t="shared" si="186"/>
        <v>0</v>
      </c>
      <c r="J611" s="172"/>
      <c r="K611" s="157">
        <f t="shared" si="187"/>
        <v>0</v>
      </c>
      <c r="M611" s="12">
        <f t="shared" si="188"/>
        <v>0</v>
      </c>
      <c r="N611" s="172"/>
      <c r="O611" s="157">
        <f t="shared" si="189"/>
        <v>0</v>
      </c>
    </row>
    <row r="612" spans="1:15">
      <c r="A612" s="171" t="s">
        <v>273</v>
      </c>
      <c r="C612" s="156">
        <v>234472</v>
      </c>
      <c r="E612" s="209">
        <v>6.5567000000000002</v>
      </c>
      <c r="F612" s="182" t="s">
        <v>10</v>
      </c>
      <c r="G612" s="157">
        <v>15374</v>
      </c>
      <c r="I612" s="12">
        <f t="shared" si="186"/>
        <v>0</v>
      </c>
      <c r="J612" s="172"/>
      <c r="K612" s="157">
        <f t="shared" si="187"/>
        <v>0</v>
      </c>
      <c r="M612" s="12">
        <f t="shared" si="188"/>
        <v>0</v>
      </c>
      <c r="N612" s="172"/>
      <c r="O612" s="157">
        <f t="shared" si="189"/>
        <v>0</v>
      </c>
    </row>
    <row r="613" spans="1:15">
      <c r="A613" s="171" t="s">
        <v>274</v>
      </c>
      <c r="C613" s="156">
        <v>417772</v>
      </c>
      <c r="E613" s="209">
        <v>10.364599999999999</v>
      </c>
      <c r="F613" s="182" t="s">
        <v>10</v>
      </c>
      <c r="G613" s="157">
        <v>43300</v>
      </c>
      <c r="I613" s="12">
        <f t="shared" si="186"/>
        <v>0</v>
      </c>
      <c r="J613" s="172"/>
      <c r="K613" s="157">
        <f t="shared" si="187"/>
        <v>0</v>
      </c>
      <c r="M613" s="12">
        <f t="shared" si="188"/>
        <v>0</v>
      </c>
      <c r="N613" s="172"/>
      <c r="O613" s="157">
        <f t="shared" si="189"/>
        <v>0</v>
      </c>
    </row>
    <row r="614" spans="1:15">
      <c r="A614" s="171" t="s">
        <v>275</v>
      </c>
      <c r="C614" s="156">
        <v>648715</v>
      </c>
      <c r="E614" s="209">
        <v>5.8023999999999996</v>
      </c>
      <c r="F614" s="182" t="s">
        <v>10</v>
      </c>
      <c r="G614" s="157">
        <v>37641</v>
      </c>
      <c r="I614" s="12">
        <f t="shared" si="186"/>
        <v>0</v>
      </c>
      <c r="J614" s="172"/>
      <c r="K614" s="157">
        <f t="shared" si="187"/>
        <v>0</v>
      </c>
      <c r="M614" s="12">
        <f t="shared" si="188"/>
        <v>0</v>
      </c>
      <c r="N614" s="172"/>
      <c r="O614" s="157">
        <f t="shared" si="189"/>
        <v>0</v>
      </c>
    </row>
    <row r="615" spans="1:15">
      <c r="A615" s="171" t="s">
        <v>18</v>
      </c>
      <c r="C615" s="156">
        <v>0</v>
      </c>
      <c r="E615" s="172">
        <v>-0.48</v>
      </c>
      <c r="F615" s="172"/>
      <c r="G615" s="157">
        <v>0</v>
      </c>
    </row>
    <row r="616" spans="1:15" ht="16.5" thickBot="1">
      <c r="A616" s="171" t="s">
        <v>15</v>
      </c>
      <c r="C616" s="221">
        <v>1529711.1142578218</v>
      </c>
      <c r="E616" s="200"/>
      <c r="F616" s="193"/>
      <c r="G616" s="196">
        <v>151987</v>
      </c>
      <c r="I616" s="211"/>
      <c r="K616" s="208">
        <f>SUM(K609:K615)</f>
        <v>0</v>
      </c>
      <c r="M616" s="211"/>
      <c r="O616" s="208">
        <f>SUM(O609:O615)</f>
        <v>0</v>
      </c>
    </row>
    <row r="617" spans="1:15" ht="16.5" thickTop="1"/>
    <row r="618" spans="1:15">
      <c r="A618" s="167" t="s">
        <v>197</v>
      </c>
      <c r="E618" s="209"/>
      <c r="F618" s="209"/>
    </row>
    <row r="619" spans="1:15">
      <c r="A619" s="255" t="s">
        <v>100</v>
      </c>
    </row>
    <row r="620" spans="1:15">
      <c r="A620" s="171" t="s">
        <v>101</v>
      </c>
      <c r="B620" s="171"/>
      <c r="C620" s="156">
        <v>0</v>
      </c>
      <c r="E620" s="253">
        <v>137</v>
      </c>
      <c r="F620" s="172"/>
      <c r="G620" s="157">
        <v>0</v>
      </c>
    </row>
    <row r="621" spans="1:15">
      <c r="A621" s="171" t="s">
        <v>102</v>
      </c>
      <c r="B621" s="171"/>
      <c r="C621" s="156">
        <v>0</v>
      </c>
      <c r="E621" s="253">
        <v>5.75</v>
      </c>
      <c r="F621" s="172"/>
      <c r="G621" s="157">
        <v>0</v>
      </c>
    </row>
    <row r="622" spans="1:15">
      <c r="A622" s="171" t="s">
        <v>103</v>
      </c>
      <c r="B622" s="171"/>
      <c r="E622" s="254"/>
      <c r="F622" s="193"/>
    </row>
    <row r="623" spans="1:15">
      <c r="A623" s="171" t="s">
        <v>104</v>
      </c>
      <c r="B623" s="171"/>
      <c r="E623" s="253"/>
      <c r="F623" s="249"/>
    </row>
    <row r="624" spans="1:15">
      <c r="A624" s="171" t="s">
        <v>278</v>
      </c>
      <c r="B624" s="171"/>
      <c r="C624" s="156">
        <v>0</v>
      </c>
      <c r="E624" s="253">
        <v>0.9</v>
      </c>
      <c r="F624" s="249"/>
      <c r="G624" s="157">
        <v>0</v>
      </c>
    </row>
    <row r="625" spans="1:7">
      <c r="A625" s="171" t="s">
        <v>279</v>
      </c>
      <c r="B625" s="171"/>
      <c r="C625" s="156">
        <v>0</v>
      </c>
      <c r="E625" s="253">
        <v>0.8</v>
      </c>
      <c r="F625" s="249"/>
      <c r="G625" s="157">
        <v>0</v>
      </c>
    </row>
    <row r="626" spans="1:7">
      <c r="A626" s="171" t="s">
        <v>105</v>
      </c>
      <c r="B626" s="171"/>
      <c r="E626" s="254"/>
      <c r="F626" s="247"/>
    </row>
    <row r="627" spans="1:7">
      <c r="A627" s="171" t="s">
        <v>278</v>
      </c>
      <c r="B627" s="171"/>
      <c r="C627" s="156">
        <v>0</v>
      </c>
      <c r="E627" s="253">
        <v>0.45</v>
      </c>
      <c r="F627" s="247"/>
      <c r="G627" s="157">
        <v>0</v>
      </c>
    </row>
    <row r="628" spans="1:7">
      <c r="A628" s="171" t="s">
        <v>279</v>
      </c>
      <c r="B628" s="171"/>
      <c r="C628" s="156">
        <v>0</v>
      </c>
      <c r="E628" s="253">
        <v>0.4</v>
      </c>
      <c r="F628" s="247"/>
      <c r="G628" s="157">
        <v>0</v>
      </c>
    </row>
    <row r="629" spans="1:7">
      <c r="A629" s="171" t="s">
        <v>106</v>
      </c>
      <c r="B629" s="171"/>
      <c r="E629" s="253"/>
      <c r="F629" s="172"/>
    </row>
    <row r="630" spans="1:7">
      <c r="A630" s="171" t="s">
        <v>278</v>
      </c>
      <c r="B630" s="171"/>
      <c r="C630" s="156">
        <v>0</v>
      </c>
      <c r="E630" s="253">
        <v>41.89</v>
      </c>
      <c r="F630" s="172"/>
      <c r="G630" s="157">
        <v>0</v>
      </c>
    </row>
    <row r="631" spans="1:7">
      <c r="A631" s="171" t="s">
        <v>279</v>
      </c>
      <c r="B631" s="171"/>
      <c r="C631" s="156">
        <v>0</v>
      </c>
      <c r="E631" s="253">
        <v>37.07</v>
      </c>
      <c r="F631" s="172"/>
      <c r="G631" s="157">
        <v>0</v>
      </c>
    </row>
    <row r="632" spans="1:7">
      <c r="A632" s="255" t="s">
        <v>107</v>
      </c>
      <c r="E632" s="254"/>
    </row>
    <row r="633" spans="1:7">
      <c r="A633" s="171" t="s">
        <v>101</v>
      </c>
      <c r="C633" s="156">
        <v>25</v>
      </c>
      <c r="E633" s="253">
        <v>621</v>
      </c>
      <c r="F633" s="172"/>
      <c r="G633" s="157">
        <v>15525</v>
      </c>
    </row>
    <row r="634" spans="1:7">
      <c r="A634" s="171" t="s">
        <v>102</v>
      </c>
      <c r="C634" s="156">
        <v>34929</v>
      </c>
      <c r="E634" s="253">
        <v>4.58</v>
      </c>
      <c r="F634" s="172"/>
      <c r="G634" s="157">
        <v>159975</v>
      </c>
    </row>
    <row r="635" spans="1:7">
      <c r="A635" s="171" t="s">
        <v>103</v>
      </c>
      <c r="E635" s="254"/>
      <c r="F635" s="172"/>
    </row>
    <row r="636" spans="1:7">
      <c r="A636" s="171" t="s">
        <v>104</v>
      </c>
      <c r="E636" s="253"/>
      <c r="F636" s="249"/>
    </row>
    <row r="637" spans="1:7">
      <c r="A637" s="171" t="s">
        <v>278</v>
      </c>
      <c r="C637" s="156">
        <v>67470</v>
      </c>
      <c r="E637" s="253">
        <v>0.88</v>
      </c>
      <c r="F637" s="249"/>
      <c r="G637" s="157">
        <v>59374</v>
      </c>
    </row>
    <row r="638" spans="1:7">
      <c r="A638" s="171" t="s">
        <v>279</v>
      </c>
      <c r="C638" s="156">
        <v>47316</v>
      </c>
      <c r="E638" s="253">
        <v>0.78</v>
      </c>
      <c r="F638" s="249"/>
      <c r="G638" s="157">
        <v>36906</v>
      </c>
    </row>
    <row r="639" spans="1:7">
      <c r="A639" s="171" t="s">
        <v>105</v>
      </c>
      <c r="E639" s="254"/>
      <c r="F639" s="247"/>
    </row>
    <row r="640" spans="1:7">
      <c r="A640" s="171" t="s">
        <v>278</v>
      </c>
      <c r="C640" s="156">
        <v>1510</v>
      </c>
      <c r="E640" s="253">
        <v>0.44</v>
      </c>
      <c r="F640" s="247"/>
      <c r="G640" s="157">
        <v>664</v>
      </c>
    </row>
    <row r="641" spans="1:7">
      <c r="A641" s="171" t="s">
        <v>279</v>
      </c>
      <c r="C641" s="156">
        <v>0</v>
      </c>
      <c r="E641" s="253">
        <v>0.39</v>
      </c>
      <c r="F641" s="247"/>
      <c r="G641" s="157">
        <v>0</v>
      </c>
    </row>
    <row r="642" spans="1:7">
      <c r="A642" s="171" t="s">
        <v>106</v>
      </c>
      <c r="E642" s="253"/>
      <c r="F642" s="172"/>
    </row>
    <row r="643" spans="1:7">
      <c r="A643" s="171" t="s">
        <v>278</v>
      </c>
      <c r="C643" s="156">
        <v>142</v>
      </c>
      <c r="E643" s="253">
        <v>39.56</v>
      </c>
      <c r="F643" s="172"/>
      <c r="G643" s="157">
        <v>5618</v>
      </c>
    </row>
    <row r="644" spans="1:7">
      <c r="A644" s="171" t="s">
        <v>279</v>
      </c>
      <c r="C644" s="156">
        <v>655</v>
      </c>
      <c r="E644" s="253">
        <v>35.01</v>
      </c>
      <c r="F644" s="172"/>
      <c r="G644" s="157">
        <v>22932</v>
      </c>
    </row>
    <row r="645" spans="1:7">
      <c r="A645" s="255" t="s">
        <v>108</v>
      </c>
      <c r="E645" s="254"/>
    </row>
    <row r="646" spans="1:7">
      <c r="A646" s="171" t="s">
        <v>101</v>
      </c>
      <c r="C646" s="156">
        <v>59</v>
      </c>
      <c r="E646" s="253">
        <v>696</v>
      </c>
      <c r="F646" s="172"/>
      <c r="G646" s="157">
        <v>41064</v>
      </c>
    </row>
    <row r="647" spans="1:7">
      <c r="A647" s="171" t="s">
        <v>102</v>
      </c>
      <c r="C647" s="156">
        <v>291905</v>
      </c>
      <c r="E647" s="253">
        <v>2.7</v>
      </c>
      <c r="F647" s="172"/>
      <c r="G647" s="157">
        <v>788144</v>
      </c>
    </row>
    <row r="648" spans="1:7">
      <c r="A648" s="171" t="s">
        <v>103</v>
      </c>
      <c r="E648" s="254"/>
      <c r="F648" s="193"/>
    </row>
    <row r="649" spans="1:7">
      <c r="A649" s="171" t="s">
        <v>104</v>
      </c>
      <c r="E649" s="253"/>
      <c r="F649" s="249"/>
    </row>
    <row r="650" spans="1:7">
      <c r="A650" s="171" t="s">
        <v>278</v>
      </c>
      <c r="C650" s="156">
        <v>657860</v>
      </c>
      <c r="E650" s="253">
        <v>0.78</v>
      </c>
      <c r="F650" s="249"/>
      <c r="G650" s="157">
        <v>513131</v>
      </c>
    </row>
    <row r="651" spans="1:7">
      <c r="A651" s="171" t="s">
        <v>279</v>
      </c>
      <c r="C651" s="156">
        <v>307104</v>
      </c>
      <c r="E651" s="253">
        <v>0.69</v>
      </c>
      <c r="F651" s="249"/>
      <c r="G651" s="157">
        <v>211902</v>
      </c>
    </row>
    <row r="652" spans="1:7">
      <c r="A652" s="171" t="s">
        <v>105</v>
      </c>
      <c r="E652" s="254"/>
      <c r="F652" s="247"/>
    </row>
    <row r="653" spans="1:7">
      <c r="A653" s="171" t="s">
        <v>278</v>
      </c>
      <c r="C653" s="156">
        <v>0</v>
      </c>
      <c r="E653" s="253">
        <v>0.39</v>
      </c>
      <c r="F653" s="247"/>
      <c r="G653" s="157">
        <v>0</v>
      </c>
    </row>
    <row r="654" spans="1:7">
      <c r="A654" s="171" t="s">
        <v>279</v>
      </c>
      <c r="C654" s="156">
        <v>150561</v>
      </c>
      <c r="E654" s="253">
        <v>0.34499999999999997</v>
      </c>
      <c r="F654" s="247"/>
      <c r="G654" s="157">
        <v>51944</v>
      </c>
    </row>
    <row r="655" spans="1:7">
      <c r="A655" s="171" t="s">
        <v>106</v>
      </c>
      <c r="E655" s="253"/>
      <c r="F655" s="172"/>
    </row>
    <row r="656" spans="1:7">
      <c r="A656" s="171" t="s">
        <v>278</v>
      </c>
      <c r="C656" s="156">
        <v>6767</v>
      </c>
      <c r="E656" s="253">
        <v>33.21</v>
      </c>
      <c r="F656" s="172"/>
      <c r="G656" s="157">
        <v>224732</v>
      </c>
    </row>
    <row r="657" spans="1:15">
      <c r="A657" s="171" t="s">
        <v>279</v>
      </c>
      <c r="C657" s="156">
        <v>1067</v>
      </c>
      <c r="E657" s="253">
        <v>29.39</v>
      </c>
      <c r="F657" s="172"/>
      <c r="G657" s="157">
        <v>31359</v>
      </c>
    </row>
    <row r="658" spans="1:15">
      <c r="A658" s="171" t="s">
        <v>99</v>
      </c>
      <c r="C658" s="256"/>
      <c r="E658" s="209"/>
      <c r="F658" s="209"/>
      <c r="G658" s="199">
        <v>2163270</v>
      </c>
    </row>
    <row r="659" spans="1:15">
      <c r="A659" s="255" t="s">
        <v>327</v>
      </c>
    </row>
    <row r="660" spans="1:15">
      <c r="A660" s="167" t="s">
        <v>109</v>
      </c>
      <c r="E660" s="193"/>
      <c r="F660" s="193"/>
    </row>
    <row r="661" spans="1:15">
      <c r="A661" s="171" t="s">
        <v>28</v>
      </c>
      <c r="C661" s="156">
        <v>27799</v>
      </c>
      <c r="E661" s="193">
        <v>4.8099999999999996</v>
      </c>
      <c r="F661" s="193"/>
      <c r="G661" s="157">
        <v>133713</v>
      </c>
    </row>
    <row r="662" spans="1:15">
      <c r="A662" s="171" t="s">
        <v>245</v>
      </c>
      <c r="C662" s="156">
        <v>2699</v>
      </c>
      <c r="E662" s="193">
        <v>15.73</v>
      </c>
      <c r="F662" s="193"/>
      <c r="G662" s="157">
        <v>42455</v>
      </c>
      <c r="I662" s="12">
        <f t="shared" ref="I662:I667" si="190">I$321</f>
        <v>-5.9999999999999995E-4</v>
      </c>
      <c r="J662" s="172"/>
      <c r="K662" s="157">
        <f t="shared" ref="K662:K667" si="191">$G662*I662</f>
        <v>-25.472999999999999</v>
      </c>
      <c r="M662" s="12">
        <f t="shared" ref="M662:M667" si="192">M$321</f>
        <v>-8.0000000000000004E-4</v>
      </c>
      <c r="N662" s="172"/>
      <c r="O662" s="157">
        <f t="shared" ref="O662:O667" si="193">$G662*M662</f>
        <v>-33.963999999999999</v>
      </c>
    </row>
    <row r="663" spans="1:15">
      <c r="A663" s="171" t="s">
        <v>246</v>
      </c>
      <c r="C663" s="156">
        <v>26884</v>
      </c>
      <c r="E663" s="193">
        <v>13.92</v>
      </c>
      <c r="F663" s="193"/>
      <c r="G663" s="157">
        <v>374225</v>
      </c>
      <c r="I663" s="12">
        <f t="shared" si="190"/>
        <v>-5.9999999999999995E-4</v>
      </c>
      <c r="J663" s="172"/>
      <c r="K663" s="157">
        <f t="shared" si="191"/>
        <v>-224.53499999999997</v>
      </c>
      <c r="M663" s="12">
        <f t="shared" si="192"/>
        <v>-8.0000000000000004E-4</v>
      </c>
      <c r="N663" s="172"/>
      <c r="O663" s="157">
        <f t="shared" si="193"/>
        <v>-299.38</v>
      </c>
    </row>
    <row r="664" spans="1:15">
      <c r="A664" s="171" t="s">
        <v>207</v>
      </c>
      <c r="C664" s="156">
        <v>905085</v>
      </c>
      <c r="E664" s="209">
        <v>5.8281999999999998</v>
      </c>
      <c r="F664" s="182" t="s">
        <v>10</v>
      </c>
      <c r="G664" s="157">
        <v>52750</v>
      </c>
      <c r="I664" s="12">
        <f t="shared" si="190"/>
        <v>-5.9999999999999995E-4</v>
      </c>
      <c r="J664" s="172"/>
      <c r="K664" s="157">
        <f t="shared" si="191"/>
        <v>-31.65</v>
      </c>
      <c r="M664" s="12">
        <f t="shared" si="192"/>
        <v>-8.0000000000000004E-4</v>
      </c>
      <c r="N664" s="172"/>
      <c r="O664" s="157">
        <f t="shared" si="193"/>
        <v>-42.2</v>
      </c>
    </row>
    <row r="665" spans="1:15">
      <c r="A665" s="171" t="s">
        <v>247</v>
      </c>
      <c r="C665" s="156">
        <v>2558532</v>
      </c>
      <c r="E665" s="209">
        <v>5.1577000000000002</v>
      </c>
      <c r="F665" s="182" t="s">
        <v>10</v>
      </c>
      <c r="G665" s="157">
        <v>131961</v>
      </c>
      <c r="I665" s="12">
        <f t="shared" si="190"/>
        <v>-5.9999999999999995E-4</v>
      </c>
      <c r="J665" s="172"/>
      <c r="K665" s="157">
        <f t="shared" si="191"/>
        <v>-79.176599999999993</v>
      </c>
      <c r="M665" s="12">
        <f t="shared" si="192"/>
        <v>-8.0000000000000004E-4</v>
      </c>
      <c r="N665" s="172"/>
      <c r="O665" s="157">
        <f t="shared" si="193"/>
        <v>-105.56880000000001</v>
      </c>
    </row>
    <row r="666" spans="1:15">
      <c r="A666" s="171" t="s">
        <v>208</v>
      </c>
      <c r="C666" s="156">
        <v>4024260</v>
      </c>
      <c r="E666" s="209">
        <v>2.9624000000000001</v>
      </c>
      <c r="F666" s="182" t="s">
        <v>10</v>
      </c>
      <c r="G666" s="157">
        <v>119215</v>
      </c>
      <c r="I666" s="12">
        <f t="shared" si="190"/>
        <v>-5.9999999999999995E-4</v>
      </c>
      <c r="J666" s="172"/>
      <c r="K666" s="157">
        <f t="shared" si="191"/>
        <v>-71.528999999999996</v>
      </c>
      <c r="M666" s="12">
        <f t="shared" si="192"/>
        <v>-8.0000000000000004E-4</v>
      </c>
      <c r="N666" s="172"/>
      <c r="O666" s="157">
        <f t="shared" si="193"/>
        <v>-95.372</v>
      </c>
    </row>
    <row r="667" spans="1:15">
      <c r="A667" s="171" t="s">
        <v>248</v>
      </c>
      <c r="C667" s="156">
        <v>7522766</v>
      </c>
      <c r="E667" s="209">
        <v>2.6215999999999999</v>
      </c>
      <c r="F667" s="182" t="s">
        <v>10</v>
      </c>
      <c r="G667" s="157">
        <v>197217</v>
      </c>
      <c r="I667" s="12">
        <f t="shared" si="190"/>
        <v>-5.9999999999999995E-4</v>
      </c>
      <c r="J667" s="172"/>
      <c r="K667" s="157">
        <f t="shared" si="191"/>
        <v>-118.33019999999999</v>
      </c>
      <c r="M667" s="12">
        <f t="shared" si="192"/>
        <v>-8.0000000000000004E-4</v>
      </c>
      <c r="N667" s="172"/>
      <c r="O667" s="157">
        <f t="shared" si="193"/>
        <v>-157.77360000000002</v>
      </c>
    </row>
    <row r="668" spans="1:15">
      <c r="A668" s="171" t="s">
        <v>18</v>
      </c>
      <c r="C668" s="156">
        <v>27713</v>
      </c>
      <c r="E668" s="193">
        <v>-1.1299999999999999</v>
      </c>
      <c r="F668" s="193"/>
      <c r="G668" s="157">
        <v>-31316</v>
      </c>
    </row>
    <row r="669" spans="1:15">
      <c r="A669" s="167" t="s">
        <v>110</v>
      </c>
      <c r="E669" s="193"/>
      <c r="F669" s="193"/>
      <c r="I669" s="252"/>
      <c r="K669" s="223">
        <f>SUM(K662:K668)</f>
        <v>-550.69380000000001</v>
      </c>
      <c r="M669" s="252"/>
      <c r="O669" s="223">
        <f>SUM(O662:O668)</f>
        <v>-734.25839999999994</v>
      </c>
    </row>
    <row r="670" spans="1:15">
      <c r="A670" s="171" t="s">
        <v>28</v>
      </c>
      <c r="C670" s="156">
        <v>283278</v>
      </c>
      <c r="E670" s="193">
        <v>2.2799999999999998</v>
      </c>
      <c r="F670" s="193"/>
      <c r="G670" s="157">
        <v>645874</v>
      </c>
    </row>
    <row r="671" spans="1:15">
      <c r="A671" s="171" t="s">
        <v>245</v>
      </c>
      <c r="C671" s="156">
        <v>96907</v>
      </c>
      <c r="E671" s="193">
        <v>14.33</v>
      </c>
      <c r="F671" s="193"/>
      <c r="G671" s="157">
        <v>1388677</v>
      </c>
      <c r="I671" s="12">
        <f t="shared" ref="I671:I676" si="194">I$345</f>
        <v>-8.9999999999999998E-4</v>
      </c>
      <c r="J671" s="172"/>
      <c r="K671" s="157">
        <f t="shared" ref="K671:K676" si="195">$G671*I671</f>
        <v>-1249.8092999999999</v>
      </c>
      <c r="M671" s="12">
        <f t="shared" ref="M671:M676" si="196">M$345</f>
        <v>-1E-3</v>
      </c>
      <c r="N671" s="172"/>
      <c r="O671" s="157">
        <f t="shared" ref="O671:O676" si="197">$G671*M671</f>
        <v>-1388.6770000000001</v>
      </c>
    </row>
    <row r="672" spans="1:15">
      <c r="A672" s="171" t="s">
        <v>246</v>
      </c>
      <c r="C672" s="156">
        <v>180946</v>
      </c>
      <c r="E672" s="193">
        <v>12.68</v>
      </c>
      <c r="F672" s="193"/>
      <c r="G672" s="157">
        <v>2294395</v>
      </c>
      <c r="I672" s="12">
        <f t="shared" si="194"/>
        <v>-8.9999999999999998E-4</v>
      </c>
      <c r="J672" s="172"/>
      <c r="K672" s="157">
        <f t="shared" si="195"/>
        <v>-2064.9555</v>
      </c>
      <c r="M672" s="12">
        <f t="shared" si="196"/>
        <v>-1E-3</v>
      </c>
      <c r="N672" s="172"/>
      <c r="O672" s="157">
        <f t="shared" si="197"/>
        <v>-2294.395</v>
      </c>
    </row>
    <row r="673" spans="1:18">
      <c r="A673" s="171" t="s">
        <v>207</v>
      </c>
      <c r="C673" s="156">
        <v>14609917</v>
      </c>
      <c r="E673" s="222">
        <v>5.1477000000000004</v>
      </c>
      <c r="F673" s="182" t="s">
        <v>10</v>
      </c>
      <c r="G673" s="157">
        <v>752075</v>
      </c>
      <c r="I673" s="12">
        <f t="shared" si="194"/>
        <v>-8.9999999999999998E-4</v>
      </c>
      <c r="J673" s="172"/>
      <c r="K673" s="157">
        <f t="shared" si="195"/>
        <v>-676.86749999999995</v>
      </c>
      <c r="M673" s="12">
        <f t="shared" si="196"/>
        <v>-1E-3</v>
      </c>
      <c r="N673" s="172"/>
      <c r="O673" s="157">
        <f t="shared" si="197"/>
        <v>-752.07500000000005</v>
      </c>
    </row>
    <row r="674" spans="1:18">
      <c r="A674" s="171" t="s">
        <v>247</v>
      </c>
      <c r="C674" s="156">
        <v>21736230</v>
      </c>
      <c r="E674" s="222">
        <v>4.5555000000000003</v>
      </c>
      <c r="F674" s="182" t="s">
        <v>10</v>
      </c>
      <c r="G674" s="157">
        <v>990194</v>
      </c>
      <c r="I674" s="12">
        <f t="shared" si="194"/>
        <v>-8.9999999999999998E-4</v>
      </c>
      <c r="J674" s="172"/>
      <c r="K674" s="157">
        <f t="shared" si="195"/>
        <v>-891.17459999999994</v>
      </c>
      <c r="M674" s="12">
        <f t="shared" si="196"/>
        <v>-1E-3</v>
      </c>
      <c r="N674" s="172"/>
      <c r="O674" s="157">
        <f t="shared" si="197"/>
        <v>-990.19400000000007</v>
      </c>
    </row>
    <row r="675" spans="1:18">
      <c r="A675" s="171" t="s">
        <v>208</v>
      </c>
      <c r="C675" s="156">
        <v>47389695</v>
      </c>
      <c r="E675" s="222">
        <v>2.6164999999999998</v>
      </c>
      <c r="F675" s="182" t="s">
        <v>10</v>
      </c>
      <c r="G675" s="157">
        <v>1239951</v>
      </c>
      <c r="I675" s="12">
        <f t="shared" si="194"/>
        <v>-8.9999999999999998E-4</v>
      </c>
      <c r="J675" s="172"/>
      <c r="K675" s="157">
        <f t="shared" si="195"/>
        <v>-1115.9558999999999</v>
      </c>
      <c r="M675" s="12">
        <f t="shared" si="196"/>
        <v>-1E-3</v>
      </c>
      <c r="N675" s="172"/>
      <c r="O675" s="157">
        <f t="shared" si="197"/>
        <v>-1239.951</v>
      </c>
    </row>
    <row r="676" spans="1:18">
      <c r="A676" s="171" t="s">
        <v>248</v>
      </c>
      <c r="C676" s="257">
        <v>90512657.666666657</v>
      </c>
      <c r="E676" s="258">
        <v>2.3155000000000001</v>
      </c>
      <c r="F676" s="182" t="s">
        <v>10</v>
      </c>
      <c r="G676" s="157">
        <v>2095821</v>
      </c>
      <c r="I676" s="12">
        <f t="shared" si="194"/>
        <v>-8.9999999999999998E-4</v>
      </c>
      <c r="J676" s="172"/>
      <c r="K676" s="157">
        <f t="shared" si="195"/>
        <v>-1886.2389000000001</v>
      </c>
      <c r="M676" s="12">
        <f t="shared" si="196"/>
        <v>-1E-3</v>
      </c>
      <c r="N676" s="172"/>
      <c r="O676" s="157">
        <f t="shared" si="197"/>
        <v>-2095.8209999999999</v>
      </c>
    </row>
    <row r="677" spans="1:18">
      <c r="A677" s="171"/>
      <c r="E677" s="222"/>
      <c r="F677" s="182"/>
      <c r="I677" s="252"/>
      <c r="K677" s="223">
        <f>SUM(K671:K676)</f>
        <v>-7885.0016999999998</v>
      </c>
      <c r="M677" s="252"/>
      <c r="O677" s="223">
        <f>SUM(O671:O676)</f>
        <v>-8761.1130000000012</v>
      </c>
    </row>
    <row r="678" spans="1:18" ht="16.5" thickBot="1">
      <c r="A678" s="171" t="s">
        <v>111</v>
      </c>
      <c r="C678" s="221">
        <v>189259142.66666666</v>
      </c>
      <c r="E678" s="200"/>
      <c r="G678" s="208">
        <v>12590477</v>
      </c>
      <c r="I678" s="211"/>
      <c r="K678" s="208">
        <f>K669+K677</f>
        <v>-8435.6954999999998</v>
      </c>
      <c r="M678" s="211"/>
      <c r="O678" s="208">
        <f>O669+O677</f>
        <v>-9495.3714000000018</v>
      </c>
    </row>
    <row r="679" spans="1:18" ht="16.5" thickTop="1"/>
    <row r="680" spans="1:18" s="202" customFormat="1" ht="18.75">
      <c r="A680" s="259" t="s">
        <v>280</v>
      </c>
      <c r="C680" s="203"/>
      <c r="D680" s="203"/>
      <c r="G680" s="204"/>
      <c r="I680" s="168"/>
      <c r="J680" s="154"/>
      <c r="K680" s="157"/>
      <c r="L680" s="154"/>
      <c r="M680" s="168"/>
      <c r="N680" s="154"/>
      <c r="O680" s="157"/>
      <c r="Q680" s="155"/>
      <c r="R680" s="155"/>
    </row>
    <row r="681" spans="1:18" s="202" customFormat="1">
      <c r="A681" s="189" t="s">
        <v>281</v>
      </c>
      <c r="C681" s="203"/>
      <c r="D681" s="203"/>
      <c r="G681" s="204"/>
      <c r="I681" s="168"/>
      <c r="J681" s="154"/>
      <c r="K681" s="157"/>
      <c r="L681" s="154"/>
      <c r="M681" s="168"/>
      <c r="N681" s="154"/>
      <c r="O681" s="157"/>
      <c r="Q681" s="155"/>
      <c r="R681" s="155"/>
    </row>
    <row r="682" spans="1:18" s="202" customFormat="1">
      <c r="A682" s="189" t="s">
        <v>282</v>
      </c>
      <c r="B682" s="189"/>
      <c r="C682" s="203"/>
      <c r="D682" s="203"/>
      <c r="E682" s="260">
        <v>55</v>
      </c>
      <c r="F682" s="204"/>
      <c r="G682" s="204">
        <v>0</v>
      </c>
      <c r="I682" s="168"/>
      <c r="J682" s="154"/>
      <c r="K682" s="157"/>
      <c r="L682" s="154"/>
      <c r="M682" s="168"/>
      <c r="N682" s="154"/>
      <c r="O682" s="157"/>
      <c r="Q682" s="155"/>
      <c r="R682" s="155"/>
    </row>
    <row r="683" spans="1:18" s="202" customFormat="1">
      <c r="A683" s="189" t="s">
        <v>283</v>
      </c>
      <c r="B683" s="189"/>
      <c r="C683" s="203"/>
      <c r="D683" s="203"/>
      <c r="E683" s="260">
        <v>72</v>
      </c>
      <c r="F683" s="204"/>
      <c r="G683" s="204">
        <v>0</v>
      </c>
      <c r="I683" s="168"/>
      <c r="J683" s="154"/>
      <c r="K683" s="157"/>
      <c r="L683" s="154"/>
      <c r="M683" s="168"/>
      <c r="N683" s="154"/>
      <c r="O683" s="157"/>
      <c r="Q683" s="155"/>
      <c r="R683" s="155"/>
    </row>
    <row r="684" spans="1:18" s="202" customFormat="1">
      <c r="A684" s="189" t="s">
        <v>284</v>
      </c>
      <c r="B684" s="189"/>
      <c r="C684" s="203">
        <v>36</v>
      </c>
      <c r="D684" s="203"/>
      <c r="E684" s="260">
        <v>266</v>
      </c>
      <c r="F684" s="204"/>
      <c r="G684" s="204">
        <v>9576</v>
      </c>
      <c r="I684" s="168"/>
      <c r="J684" s="154"/>
      <c r="K684" s="157"/>
      <c r="L684" s="154"/>
      <c r="M684" s="168"/>
      <c r="N684" s="154"/>
      <c r="O684" s="157"/>
      <c r="Q684" s="155"/>
      <c r="R684" s="155"/>
    </row>
    <row r="685" spans="1:18" s="202" customFormat="1">
      <c r="A685" s="189" t="s">
        <v>285</v>
      </c>
      <c r="B685" s="189"/>
      <c r="C685" s="203"/>
      <c r="D685" s="203"/>
      <c r="E685" s="260"/>
      <c r="F685" s="204"/>
      <c r="G685" s="204"/>
      <c r="I685" s="168"/>
      <c r="J685" s="154"/>
      <c r="K685" s="157"/>
      <c r="L685" s="154"/>
      <c r="M685" s="168"/>
      <c r="N685" s="154"/>
      <c r="O685" s="157"/>
      <c r="Q685" s="155"/>
      <c r="R685" s="155"/>
    </row>
    <row r="686" spans="1:18" s="202" customFormat="1">
      <c r="A686" s="189" t="s">
        <v>286</v>
      </c>
      <c r="B686" s="189"/>
      <c r="C686" s="203">
        <v>12.83952950842653</v>
      </c>
      <c r="D686" s="203"/>
      <c r="E686" s="260">
        <v>113</v>
      </c>
      <c r="F686" s="204"/>
      <c r="G686" s="204">
        <v>1451</v>
      </c>
      <c r="I686" s="168"/>
      <c r="J686" s="154"/>
      <c r="K686" s="157"/>
      <c r="L686" s="154"/>
      <c r="M686" s="168"/>
      <c r="N686" s="154"/>
      <c r="O686" s="157"/>
      <c r="Q686" s="155"/>
      <c r="R686" s="155"/>
    </row>
    <row r="687" spans="1:18" s="261" customFormat="1">
      <c r="A687" s="189" t="s">
        <v>287</v>
      </c>
      <c r="B687" s="189"/>
      <c r="C687" s="203">
        <v>38.518588525279576</v>
      </c>
      <c r="D687" s="203"/>
      <c r="E687" s="260">
        <v>154</v>
      </c>
      <c r="F687" s="204"/>
      <c r="G687" s="204">
        <v>5932</v>
      </c>
      <c r="I687" s="168"/>
      <c r="J687" s="154"/>
      <c r="K687" s="157"/>
      <c r="L687" s="154"/>
      <c r="M687" s="168"/>
      <c r="N687" s="154"/>
      <c r="O687" s="157"/>
      <c r="Q687" s="155"/>
      <c r="R687" s="155"/>
    </row>
    <row r="688" spans="1:18" s="261" customFormat="1">
      <c r="A688" s="189" t="s">
        <v>288</v>
      </c>
      <c r="B688" s="189"/>
      <c r="C688" s="203"/>
      <c r="D688" s="203"/>
      <c r="E688" s="262"/>
      <c r="F688" s="204"/>
      <c r="G688" s="204"/>
      <c r="I688" s="168"/>
      <c r="J688" s="154"/>
      <c r="K688" s="157"/>
      <c r="L688" s="154"/>
      <c r="M688" s="168"/>
      <c r="N688" s="154"/>
      <c r="O688" s="157"/>
      <c r="Q688" s="155"/>
      <c r="R688" s="155"/>
    </row>
    <row r="689" spans="1:18" s="261" customFormat="1">
      <c r="A689" s="189" t="s">
        <v>289</v>
      </c>
      <c r="B689" s="189"/>
      <c r="C689" s="203"/>
      <c r="D689" s="203"/>
      <c r="E689" s="260">
        <v>7.52</v>
      </c>
      <c r="F689" s="204"/>
      <c r="G689" s="204">
        <v>0</v>
      </c>
      <c r="I689" s="168"/>
      <c r="J689" s="154"/>
      <c r="K689" s="157"/>
      <c r="L689" s="154"/>
      <c r="M689" s="168"/>
      <c r="N689" s="154"/>
      <c r="O689" s="157"/>
      <c r="Q689" s="155"/>
      <c r="R689" s="155"/>
    </row>
    <row r="690" spans="1:18" s="261" customFormat="1">
      <c r="A690" s="189" t="s">
        <v>290</v>
      </c>
      <c r="B690" s="189"/>
      <c r="C690" s="203"/>
      <c r="D690" s="203"/>
      <c r="E690" s="260">
        <v>6.56</v>
      </c>
      <c r="F690" s="204"/>
      <c r="G690" s="204">
        <v>0</v>
      </c>
      <c r="I690" s="168"/>
      <c r="J690" s="154"/>
      <c r="K690" s="157"/>
      <c r="L690" s="154"/>
      <c r="M690" s="168"/>
      <c r="N690" s="154"/>
      <c r="O690" s="157"/>
      <c r="Q690" s="155"/>
      <c r="R690" s="155"/>
    </row>
    <row r="691" spans="1:18" s="261" customFormat="1">
      <c r="A691" s="189" t="s">
        <v>291</v>
      </c>
      <c r="B691" s="189"/>
      <c r="C691" s="203"/>
      <c r="D691" s="203"/>
      <c r="E691" s="260">
        <v>8.3699999999999992</v>
      </c>
      <c r="F691" s="204"/>
      <c r="G691" s="204">
        <v>0</v>
      </c>
      <c r="I691" s="168"/>
      <c r="J691" s="154"/>
      <c r="K691" s="157"/>
      <c r="L691" s="154"/>
      <c r="M691" s="168"/>
      <c r="N691" s="154"/>
      <c r="O691" s="157"/>
      <c r="Q691" s="155"/>
      <c r="R691" s="155"/>
    </row>
    <row r="692" spans="1:18" s="261" customFormat="1">
      <c r="A692" s="189" t="s">
        <v>292</v>
      </c>
      <c r="B692" s="189"/>
      <c r="C692" s="203"/>
      <c r="D692" s="203"/>
      <c r="E692" s="260">
        <v>7.24</v>
      </c>
      <c r="F692" s="204"/>
      <c r="G692" s="204">
        <v>0</v>
      </c>
      <c r="I692" s="168"/>
      <c r="J692" s="154"/>
      <c r="K692" s="157"/>
      <c r="L692" s="154"/>
      <c r="M692" s="168"/>
      <c r="N692" s="154"/>
      <c r="O692" s="157"/>
      <c r="Q692" s="155"/>
      <c r="R692" s="155"/>
    </row>
    <row r="693" spans="1:18" s="261" customFormat="1">
      <c r="A693" s="189" t="s">
        <v>284</v>
      </c>
      <c r="B693" s="189"/>
      <c r="C693" s="203">
        <v>245395.50772980196</v>
      </c>
      <c r="D693" s="203"/>
      <c r="E693" s="260">
        <v>4.3499999999999996</v>
      </c>
      <c r="F693" s="204"/>
      <c r="G693" s="204">
        <v>1067470</v>
      </c>
      <c r="I693" s="168"/>
      <c r="J693" s="154"/>
      <c r="K693" s="157"/>
      <c r="L693" s="154"/>
      <c r="M693" s="168"/>
      <c r="N693" s="154"/>
      <c r="O693" s="157"/>
      <c r="Q693" s="155"/>
      <c r="R693" s="155"/>
    </row>
    <row r="694" spans="1:18" s="261" customFormat="1">
      <c r="A694" s="189" t="s">
        <v>293</v>
      </c>
      <c r="B694" s="202"/>
      <c r="C694" s="203"/>
      <c r="D694" s="203"/>
      <c r="E694" s="262"/>
      <c r="F694" s="202"/>
      <c r="G694" s="204"/>
      <c r="I694" s="168"/>
      <c r="J694" s="154"/>
      <c r="K694" s="157"/>
      <c r="L694" s="154"/>
      <c r="M694" s="168"/>
      <c r="N694" s="154"/>
      <c r="O694" s="157"/>
      <c r="Q694" s="155"/>
      <c r="R694" s="155"/>
    </row>
    <row r="695" spans="1:18" s="261" customFormat="1">
      <c r="A695" s="189" t="s">
        <v>294</v>
      </c>
      <c r="B695" s="202"/>
      <c r="C695" s="203"/>
      <c r="D695" s="203"/>
      <c r="E695" s="260"/>
      <c r="F695" s="204"/>
      <c r="G695" s="204"/>
      <c r="I695" s="168"/>
      <c r="J695" s="154"/>
      <c r="K695" s="157"/>
      <c r="L695" s="154"/>
      <c r="M695" s="168"/>
      <c r="N695" s="154"/>
      <c r="O695" s="157"/>
      <c r="Q695" s="155"/>
      <c r="R695" s="155"/>
    </row>
    <row r="696" spans="1:18" s="261" customFormat="1">
      <c r="A696" s="189" t="s">
        <v>295</v>
      </c>
      <c r="B696" s="202"/>
      <c r="C696" s="203"/>
      <c r="D696" s="203"/>
      <c r="E696" s="260">
        <v>0.56999999999999995</v>
      </c>
      <c r="F696" s="204"/>
      <c r="G696" s="204">
        <v>0</v>
      </c>
      <c r="I696" s="168"/>
      <c r="J696" s="154"/>
      <c r="K696" s="157"/>
      <c r="L696" s="154"/>
      <c r="M696" s="168"/>
      <c r="N696" s="154"/>
      <c r="O696" s="157"/>
      <c r="Q696" s="155"/>
      <c r="R696" s="155"/>
    </row>
    <row r="697" spans="1:18" s="261" customFormat="1">
      <c r="A697" s="189" t="s">
        <v>296</v>
      </c>
      <c r="B697" s="202"/>
      <c r="C697" s="203"/>
      <c r="D697" s="203"/>
      <c r="E697" s="260">
        <v>0.48</v>
      </c>
      <c r="F697" s="204"/>
      <c r="G697" s="204">
        <v>0</v>
      </c>
      <c r="I697" s="168"/>
      <c r="J697" s="154"/>
      <c r="K697" s="157"/>
      <c r="L697" s="154"/>
      <c r="M697" s="168"/>
      <c r="N697" s="154"/>
      <c r="O697" s="157"/>
      <c r="Q697" s="155"/>
      <c r="R697" s="155"/>
    </row>
    <row r="698" spans="1:18" s="261" customFormat="1">
      <c r="A698" s="189" t="s">
        <v>297</v>
      </c>
      <c r="B698" s="202"/>
      <c r="C698" s="203"/>
      <c r="D698" s="203"/>
      <c r="E698" s="260"/>
      <c r="F698" s="204"/>
      <c r="G698" s="204"/>
      <c r="I698" s="168"/>
      <c r="J698" s="154"/>
      <c r="K698" s="157"/>
      <c r="L698" s="154"/>
      <c r="M698" s="168"/>
      <c r="N698" s="154"/>
      <c r="O698" s="157"/>
      <c r="Q698" s="155"/>
      <c r="R698" s="155"/>
    </row>
    <row r="699" spans="1:18" s="261" customFormat="1">
      <c r="A699" s="189" t="s">
        <v>295</v>
      </c>
      <c r="B699" s="202"/>
      <c r="C699" s="203"/>
      <c r="D699" s="203"/>
      <c r="E699" s="260">
        <v>0.56999999999999995</v>
      </c>
      <c r="F699" s="204"/>
      <c r="G699" s="204">
        <v>0</v>
      </c>
      <c r="I699" s="168"/>
      <c r="J699" s="154"/>
      <c r="K699" s="157"/>
      <c r="L699" s="154"/>
      <c r="M699" s="168"/>
      <c r="N699" s="154"/>
      <c r="O699" s="157"/>
      <c r="Q699" s="155"/>
      <c r="R699" s="155"/>
    </row>
    <row r="700" spans="1:18" s="261" customFormat="1">
      <c r="A700" s="189" t="s">
        <v>296</v>
      </c>
      <c r="B700" s="202"/>
      <c r="C700" s="203"/>
      <c r="D700" s="203"/>
      <c r="E700" s="260">
        <v>0.47</v>
      </c>
      <c r="F700" s="204"/>
      <c r="G700" s="204">
        <v>0</v>
      </c>
      <c r="I700" s="168"/>
      <c r="J700" s="154"/>
      <c r="K700" s="157"/>
      <c r="L700" s="154"/>
      <c r="M700" s="168"/>
      <c r="N700" s="154"/>
      <c r="O700" s="157"/>
      <c r="Q700" s="155"/>
      <c r="R700" s="155"/>
    </row>
    <row r="701" spans="1:18" s="261" customFormat="1">
      <c r="A701" s="189" t="s">
        <v>298</v>
      </c>
      <c r="B701" s="202"/>
      <c r="C701" s="203"/>
      <c r="D701" s="203"/>
      <c r="E701" s="262"/>
      <c r="F701" s="204"/>
      <c r="G701" s="204"/>
      <c r="I701" s="168"/>
      <c r="J701" s="154"/>
      <c r="K701" s="157"/>
      <c r="L701" s="154"/>
      <c r="M701" s="168"/>
      <c r="N701" s="154"/>
      <c r="O701" s="157"/>
      <c r="Q701" s="155"/>
      <c r="R701" s="155"/>
    </row>
    <row r="702" spans="1:18" s="261" customFormat="1">
      <c r="A702" s="189" t="s">
        <v>295</v>
      </c>
      <c r="B702" s="202"/>
      <c r="C702" s="203"/>
      <c r="D702" s="203"/>
      <c r="E702" s="260">
        <v>0.72</v>
      </c>
      <c r="F702" s="204"/>
      <c r="G702" s="204">
        <v>0</v>
      </c>
      <c r="I702" s="168"/>
      <c r="J702" s="154"/>
      <c r="K702" s="157"/>
      <c r="L702" s="154"/>
      <c r="M702" s="168"/>
      <c r="N702" s="154"/>
      <c r="O702" s="157"/>
      <c r="Q702" s="155"/>
      <c r="R702" s="155"/>
    </row>
    <row r="703" spans="1:18" s="261" customFormat="1">
      <c r="A703" s="189" t="s">
        <v>296</v>
      </c>
      <c r="B703" s="202"/>
      <c r="C703" s="203"/>
      <c r="D703" s="203"/>
      <c r="E703" s="260">
        <v>0.61</v>
      </c>
      <c r="F703" s="204"/>
      <c r="G703" s="204">
        <v>0</v>
      </c>
      <c r="I703" s="168"/>
      <c r="J703" s="154"/>
      <c r="K703" s="157"/>
      <c r="L703" s="154"/>
      <c r="M703" s="168"/>
      <c r="N703" s="154"/>
      <c r="O703" s="157"/>
      <c r="Q703" s="155"/>
      <c r="R703" s="155"/>
    </row>
    <row r="704" spans="1:18" s="261" customFormat="1">
      <c r="A704" s="189" t="s">
        <v>299</v>
      </c>
      <c r="B704" s="202"/>
      <c r="C704" s="203"/>
      <c r="D704" s="203"/>
      <c r="E704" s="260"/>
      <c r="F704" s="204"/>
      <c r="G704" s="204"/>
      <c r="I704" s="168"/>
      <c r="J704" s="154"/>
      <c r="K704" s="157"/>
      <c r="L704" s="154"/>
      <c r="M704" s="168"/>
      <c r="N704" s="154"/>
      <c r="O704" s="157"/>
      <c r="Q704" s="155"/>
      <c r="R704" s="155"/>
    </row>
    <row r="705" spans="1:18" s="261" customFormat="1">
      <c r="A705" s="189" t="s">
        <v>295</v>
      </c>
      <c r="B705" s="202"/>
      <c r="C705" s="203"/>
      <c r="D705" s="203"/>
      <c r="E705" s="260">
        <v>0.71</v>
      </c>
      <c r="F705" s="204"/>
      <c r="G705" s="204">
        <v>0</v>
      </c>
      <c r="I705" s="168"/>
      <c r="J705" s="154"/>
      <c r="K705" s="157"/>
      <c r="L705" s="154"/>
      <c r="M705" s="168"/>
      <c r="N705" s="154"/>
      <c r="O705" s="157"/>
      <c r="Q705" s="155"/>
      <c r="R705" s="155"/>
    </row>
    <row r="706" spans="1:18" s="261" customFormat="1">
      <c r="A706" s="189" t="s">
        <v>296</v>
      </c>
      <c r="B706" s="202"/>
      <c r="C706" s="203"/>
      <c r="D706" s="203"/>
      <c r="E706" s="260">
        <v>0.59</v>
      </c>
      <c r="F706" s="204"/>
      <c r="G706" s="204">
        <v>0</v>
      </c>
      <c r="I706" s="168"/>
      <c r="J706" s="154"/>
      <c r="K706" s="157"/>
      <c r="L706" s="154"/>
      <c r="M706" s="168"/>
      <c r="N706" s="154"/>
      <c r="O706" s="157"/>
      <c r="Q706" s="155"/>
      <c r="R706" s="155"/>
    </row>
    <row r="707" spans="1:18" s="261" customFormat="1">
      <c r="A707" s="189" t="s">
        <v>300</v>
      </c>
      <c r="B707" s="202"/>
      <c r="C707" s="203"/>
      <c r="D707" s="203"/>
      <c r="E707" s="262"/>
      <c r="F707" s="202"/>
      <c r="G707" s="204"/>
      <c r="I707" s="168"/>
      <c r="J707" s="154"/>
      <c r="K707" s="157"/>
      <c r="L707" s="154"/>
      <c r="M707" s="168"/>
      <c r="N707" s="154"/>
      <c r="O707" s="157"/>
      <c r="Q707" s="155"/>
      <c r="R707" s="155"/>
    </row>
    <row r="708" spans="1:18" s="261" customFormat="1">
      <c r="A708" s="189" t="s">
        <v>295</v>
      </c>
      <c r="B708" s="202"/>
      <c r="C708" s="203">
        <v>526626.49852888589</v>
      </c>
      <c r="D708" s="203"/>
      <c r="E708" s="260">
        <v>0.71</v>
      </c>
      <c r="F708" s="204"/>
      <c r="G708" s="204">
        <v>373905</v>
      </c>
      <c r="I708" s="168"/>
      <c r="J708" s="154"/>
      <c r="K708" s="157"/>
      <c r="L708" s="154"/>
      <c r="M708" s="168"/>
      <c r="N708" s="154"/>
      <c r="O708" s="157"/>
      <c r="Q708" s="155"/>
      <c r="R708" s="155"/>
    </row>
    <row r="709" spans="1:18" s="261" customFormat="1">
      <c r="A709" s="189" t="s">
        <v>296</v>
      </c>
      <c r="B709" s="202"/>
      <c r="C709" s="203">
        <v>913270.88847378257</v>
      </c>
      <c r="D709" s="203"/>
      <c r="E709" s="260">
        <v>0.61</v>
      </c>
      <c r="F709" s="204"/>
      <c r="G709" s="204">
        <v>557095</v>
      </c>
      <c r="I709" s="168"/>
      <c r="J709" s="154"/>
      <c r="K709" s="157"/>
      <c r="L709" s="154"/>
      <c r="M709" s="168"/>
      <c r="N709" s="154"/>
      <c r="O709" s="157"/>
      <c r="Q709" s="155"/>
      <c r="R709" s="155"/>
    </row>
    <row r="710" spans="1:18" s="261" customFormat="1">
      <c r="A710" s="189" t="s">
        <v>301</v>
      </c>
      <c r="B710" s="202"/>
      <c r="C710" s="203">
        <v>172556856.82849827</v>
      </c>
      <c r="D710" s="203"/>
      <c r="E710" s="263">
        <v>5.7290000000000001</v>
      </c>
      <c r="F710" s="264" t="s">
        <v>10</v>
      </c>
      <c r="G710" s="204">
        <v>9885782</v>
      </c>
      <c r="I710" s="168"/>
      <c r="J710" s="154"/>
      <c r="K710" s="157"/>
      <c r="L710" s="154"/>
      <c r="M710" s="168"/>
      <c r="N710" s="154"/>
      <c r="O710" s="157"/>
      <c r="Q710" s="155"/>
      <c r="R710" s="155"/>
    </row>
    <row r="711" spans="1:18" s="202" customFormat="1">
      <c r="A711" s="189" t="s">
        <v>99</v>
      </c>
      <c r="C711" s="265">
        <v>172556856.82849827</v>
      </c>
      <c r="D711" s="266"/>
      <c r="E711" s="204"/>
      <c r="F711" s="204"/>
      <c r="G711" s="267">
        <v>11901211</v>
      </c>
      <c r="I711" s="168"/>
      <c r="J711" s="154"/>
      <c r="K711" s="157"/>
      <c r="L711" s="154"/>
      <c r="M711" s="168"/>
      <c r="N711" s="154"/>
      <c r="O711" s="157"/>
      <c r="Q711" s="155"/>
      <c r="R711" s="155"/>
    </row>
    <row r="712" spans="1:18" s="202" customFormat="1">
      <c r="A712" s="268" t="s">
        <v>327</v>
      </c>
      <c r="C712" s="203"/>
      <c r="G712" s="204"/>
      <c r="I712" s="168"/>
      <c r="J712" s="154"/>
      <c r="K712" s="157"/>
      <c r="L712" s="154"/>
      <c r="M712" s="168"/>
      <c r="N712" s="154"/>
      <c r="O712" s="157"/>
      <c r="Q712" s="155"/>
      <c r="R712" s="155"/>
    </row>
    <row r="713" spans="1:18" s="202" customFormat="1">
      <c r="A713" s="201" t="s">
        <v>110</v>
      </c>
      <c r="C713" s="203"/>
      <c r="D713" s="203"/>
      <c r="E713" s="204"/>
      <c r="F713" s="204"/>
      <c r="G713" s="204"/>
      <c r="I713" s="168"/>
      <c r="J713" s="154"/>
      <c r="K713" s="157"/>
      <c r="L713" s="154"/>
      <c r="M713" s="168"/>
      <c r="N713" s="154"/>
      <c r="O713" s="157"/>
      <c r="Q713" s="155"/>
      <c r="R713" s="155"/>
    </row>
    <row r="714" spans="1:18" s="202" customFormat="1">
      <c r="A714" s="189" t="s">
        <v>28</v>
      </c>
      <c r="C714" s="203">
        <v>41882.545256487327</v>
      </c>
      <c r="D714" s="203"/>
      <c r="E714" s="269">
        <v>2.2799999999999998</v>
      </c>
      <c r="F714" s="269"/>
      <c r="G714" s="270">
        <v>95492</v>
      </c>
      <c r="I714" s="168"/>
      <c r="J714" s="154"/>
      <c r="K714" s="157"/>
      <c r="L714" s="154"/>
      <c r="M714" s="168"/>
      <c r="N714" s="154"/>
      <c r="O714" s="157"/>
      <c r="Q714" s="155"/>
      <c r="R714" s="155"/>
    </row>
    <row r="715" spans="1:18" s="202" customFormat="1">
      <c r="A715" s="171" t="s">
        <v>245</v>
      </c>
      <c r="C715" s="156">
        <v>15180.02958676651</v>
      </c>
      <c r="D715" s="203"/>
      <c r="E715" s="269">
        <v>14.33</v>
      </c>
      <c r="F715" s="269"/>
      <c r="G715" s="157">
        <v>217530</v>
      </c>
      <c r="I715" s="12">
        <f t="shared" ref="I715:I720" si="198">I$345</f>
        <v>-8.9999999999999998E-4</v>
      </c>
      <c r="J715" s="172"/>
      <c r="K715" s="157">
        <f t="shared" ref="K715:K720" si="199">$G715*I715</f>
        <v>-195.77699999999999</v>
      </c>
      <c r="L715" s="154"/>
      <c r="M715" s="12">
        <f t="shared" ref="M715:M720" si="200">M$345</f>
        <v>-1E-3</v>
      </c>
      <c r="N715" s="172"/>
      <c r="O715" s="157">
        <f t="shared" ref="O715:O720" si="201">$G715*M715</f>
        <v>-217.53</v>
      </c>
      <c r="Q715" s="155"/>
      <c r="R715" s="155"/>
    </row>
    <row r="716" spans="1:18" s="202" customFormat="1">
      <c r="A716" s="171" t="s">
        <v>246</v>
      </c>
      <c r="C716" s="156">
        <v>26325.06937362958</v>
      </c>
      <c r="D716" s="203"/>
      <c r="E716" s="269">
        <v>12.68</v>
      </c>
      <c r="F716" s="269"/>
      <c r="G716" s="157">
        <v>333802</v>
      </c>
      <c r="I716" s="12">
        <f t="shared" si="198"/>
        <v>-8.9999999999999998E-4</v>
      </c>
      <c r="J716" s="172"/>
      <c r="K716" s="157">
        <f t="shared" si="199"/>
        <v>-300.42180000000002</v>
      </c>
      <c r="L716" s="154"/>
      <c r="M716" s="12">
        <f t="shared" si="200"/>
        <v>-1E-3</v>
      </c>
      <c r="N716" s="172"/>
      <c r="O716" s="157">
        <f t="shared" si="201"/>
        <v>-333.80200000000002</v>
      </c>
      <c r="Q716" s="155"/>
      <c r="R716" s="155"/>
    </row>
    <row r="717" spans="1:18" s="202" customFormat="1">
      <c r="A717" s="171" t="s">
        <v>207</v>
      </c>
      <c r="C717" s="156">
        <v>4703542.3042796534</v>
      </c>
      <c r="D717" s="203"/>
      <c r="E717" s="263">
        <v>5.1477000000000004</v>
      </c>
      <c r="F717" s="264" t="s">
        <v>10</v>
      </c>
      <c r="G717" s="157">
        <v>242124</v>
      </c>
      <c r="I717" s="12">
        <f t="shared" si="198"/>
        <v>-8.9999999999999998E-4</v>
      </c>
      <c r="J717" s="172"/>
      <c r="K717" s="157">
        <f t="shared" si="199"/>
        <v>-217.91159999999999</v>
      </c>
      <c r="L717" s="154"/>
      <c r="M717" s="12">
        <f t="shared" si="200"/>
        <v>-1E-3</v>
      </c>
      <c r="N717" s="172"/>
      <c r="O717" s="157">
        <f t="shared" si="201"/>
        <v>-242.124</v>
      </c>
      <c r="Q717" s="155"/>
      <c r="R717" s="155"/>
    </row>
    <row r="718" spans="1:18" s="202" customFormat="1">
      <c r="A718" s="171" t="s">
        <v>247</v>
      </c>
      <c r="C718" s="156">
        <v>4209024.1937161162</v>
      </c>
      <c r="D718" s="203"/>
      <c r="E718" s="263">
        <v>4.5555000000000003</v>
      </c>
      <c r="F718" s="264" t="s">
        <v>10</v>
      </c>
      <c r="G718" s="157">
        <v>191742</v>
      </c>
      <c r="I718" s="12">
        <f t="shared" si="198"/>
        <v>-8.9999999999999998E-4</v>
      </c>
      <c r="J718" s="172"/>
      <c r="K718" s="157">
        <f t="shared" si="199"/>
        <v>-172.56780000000001</v>
      </c>
      <c r="L718" s="154"/>
      <c r="M718" s="12">
        <f t="shared" si="200"/>
        <v>-1E-3</v>
      </c>
      <c r="N718" s="172"/>
      <c r="O718" s="157">
        <f t="shared" si="201"/>
        <v>-191.74199999999999</v>
      </c>
      <c r="Q718" s="155"/>
      <c r="R718" s="155"/>
    </row>
    <row r="719" spans="1:18" s="202" customFormat="1">
      <c r="A719" s="171" t="s">
        <v>208</v>
      </c>
      <c r="C719" s="156">
        <v>6552516.860153473</v>
      </c>
      <c r="D719" s="203"/>
      <c r="E719" s="263">
        <v>2.6164999999999998</v>
      </c>
      <c r="F719" s="264" t="s">
        <v>10</v>
      </c>
      <c r="G719" s="157">
        <v>171447</v>
      </c>
      <c r="I719" s="12">
        <f t="shared" si="198"/>
        <v>-8.9999999999999998E-4</v>
      </c>
      <c r="J719" s="172"/>
      <c r="K719" s="157">
        <f t="shared" si="199"/>
        <v>-154.3023</v>
      </c>
      <c r="L719" s="154"/>
      <c r="M719" s="12">
        <f t="shared" si="200"/>
        <v>-1E-3</v>
      </c>
      <c r="N719" s="172"/>
      <c r="O719" s="157">
        <f t="shared" si="201"/>
        <v>-171.447</v>
      </c>
      <c r="Q719" s="155"/>
      <c r="R719" s="155"/>
    </row>
    <row r="720" spans="1:18" s="202" customFormat="1">
      <c r="A720" s="171" t="s">
        <v>248</v>
      </c>
      <c r="C720" s="156">
        <v>8628049.8133524694</v>
      </c>
      <c r="D720" s="203"/>
      <c r="E720" s="271">
        <v>2.3155000000000001</v>
      </c>
      <c r="F720" s="264" t="s">
        <v>10</v>
      </c>
      <c r="G720" s="157">
        <v>199782</v>
      </c>
      <c r="I720" s="12">
        <f t="shared" si="198"/>
        <v>-8.9999999999999998E-4</v>
      </c>
      <c r="J720" s="172"/>
      <c r="K720" s="157">
        <f t="shared" si="199"/>
        <v>-179.8038</v>
      </c>
      <c r="L720" s="154"/>
      <c r="M720" s="12">
        <f t="shared" si="200"/>
        <v>-1E-3</v>
      </c>
      <c r="N720" s="172"/>
      <c r="O720" s="157">
        <f t="shared" si="201"/>
        <v>-199.78200000000001</v>
      </c>
      <c r="Q720" s="155"/>
      <c r="R720" s="155"/>
    </row>
    <row r="721" spans="1:18" s="202" customFormat="1" ht="16.5" thickBot="1">
      <c r="A721" s="189" t="s">
        <v>111</v>
      </c>
      <c r="C721" s="272">
        <v>196649989.99999997</v>
      </c>
      <c r="D721" s="203"/>
      <c r="E721" s="204"/>
      <c r="F721" s="204"/>
      <c r="G721" s="273">
        <v>13353130</v>
      </c>
      <c r="I721" s="211"/>
      <c r="J721" s="154"/>
      <c r="K721" s="208">
        <f>SUM(K715:K720)</f>
        <v>-1220.7843</v>
      </c>
      <c r="L721" s="154"/>
      <c r="M721" s="211"/>
      <c r="N721" s="154"/>
      <c r="O721" s="208">
        <f>SUM(O715:O720)</f>
        <v>-1356.4269999999999</v>
      </c>
      <c r="Q721" s="155"/>
      <c r="R721" s="155"/>
    </row>
    <row r="722" spans="1:18" s="202" customFormat="1" ht="16.5" thickTop="1">
      <c r="C722" s="203"/>
      <c r="G722" s="204"/>
      <c r="I722" s="168"/>
      <c r="J722" s="154"/>
      <c r="K722" s="157"/>
      <c r="L722" s="154"/>
      <c r="M722" s="168"/>
      <c r="N722" s="154"/>
      <c r="O722" s="157"/>
      <c r="Q722" s="155"/>
      <c r="R722" s="155"/>
    </row>
    <row r="723" spans="1:18" s="202" customFormat="1">
      <c r="A723" s="201" t="s">
        <v>302</v>
      </c>
      <c r="C723" s="203"/>
      <c r="D723" s="203"/>
      <c r="G723" s="204"/>
      <c r="I723" s="168"/>
      <c r="J723" s="154"/>
      <c r="K723" s="157"/>
      <c r="L723" s="154"/>
      <c r="M723" s="168"/>
      <c r="N723" s="154"/>
      <c r="O723" s="157"/>
      <c r="Q723" s="155"/>
      <c r="R723" s="155"/>
    </row>
    <row r="724" spans="1:18" s="202" customFormat="1">
      <c r="A724" s="171" t="s">
        <v>303</v>
      </c>
      <c r="C724" s="203">
        <v>12</v>
      </c>
      <c r="D724" s="203"/>
      <c r="G724" s="204"/>
      <c r="I724" s="168"/>
      <c r="J724" s="154"/>
      <c r="K724" s="157"/>
      <c r="L724" s="154"/>
      <c r="M724" s="168"/>
      <c r="N724" s="154"/>
      <c r="O724" s="157"/>
      <c r="Q724" s="155"/>
      <c r="R724" s="155"/>
    </row>
    <row r="725" spans="1:18" s="202" customFormat="1" ht="16.5" thickBot="1">
      <c r="A725" s="189" t="s">
        <v>112</v>
      </c>
      <c r="C725" s="272">
        <v>242230000</v>
      </c>
      <c r="D725" s="203"/>
      <c r="E725" s="222">
        <v>5.3783000000000003</v>
      </c>
      <c r="F725" s="182" t="s">
        <v>10</v>
      </c>
      <c r="G725" s="274">
        <v>13027758.191234671</v>
      </c>
      <c r="I725" s="211"/>
      <c r="J725" s="154"/>
      <c r="K725" s="208">
        <v>0</v>
      </c>
      <c r="L725" s="154"/>
      <c r="M725" s="211"/>
      <c r="N725" s="154"/>
      <c r="O725" s="208">
        <v>0</v>
      </c>
      <c r="Q725" s="155"/>
      <c r="R725" s="155"/>
    </row>
    <row r="726" spans="1:18" ht="16.5" thickTop="1"/>
    <row r="727" spans="1:18">
      <c r="A727" s="167" t="s">
        <v>154</v>
      </c>
    </row>
    <row r="728" spans="1:18">
      <c r="A728" s="171" t="s">
        <v>304</v>
      </c>
      <c r="C728" s="156">
        <v>12</v>
      </c>
      <c r="E728" s="269">
        <v>232</v>
      </c>
      <c r="F728" s="209"/>
      <c r="G728" s="157">
        <v>2784</v>
      </c>
    </row>
    <row r="729" spans="1:18">
      <c r="A729" s="171" t="s">
        <v>305</v>
      </c>
      <c r="C729" s="156">
        <v>1004562</v>
      </c>
      <c r="E729" s="269">
        <v>1.92</v>
      </c>
      <c r="F729" s="209"/>
      <c r="G729" s="157">
        <v>1928759</v>
      </c>
      <c r="Q729" s="215" t="s">
        <v>11</v>
      </c>
      <c r="R729" s="216">
        <f>O736</f>
        <v>-17965.679400000001</v>
      </c>
    </row>
    <row r="730" spans="1:18">
      <c r="A730" s="171" t="s">
        <v>306</v>
      </c>
      <c r="C730" s="156">
        <v>381956</v>
      </c>
      <c r="E730" s="269">
        <v>12.93</v>
      </c>
      <c r="F730" s="209"/>
      <c r="G730" s="157">
        <v>4938691</v>
      </c>
      <c r="I730" s="100">
        <v>-5.9999999999999995E-4</v>
      </c>
      <c r="J730" s="172"/>
      <c r="K730" s="157">
        <f t="shared" ref="K730:K735" si="202">$G730*I730</f>
        <v>-2963.2145999999998</v>
      </c>
      <c r="M730" s="100">
        <f>R732</f>
        <v>-5.9999999999999995E-4</v>
      </c>
      <c r="N730" s="172"/>
      <c r="O730" s="157">
        <f t="shared" ref="O730:O735" si="203">$G730*M730</f>
        <v>-2963.2145999999998</v>
      </c>
      <c r="Q730" s="178" t="s">
        <v>12</v>
      </c>
      <c r="R730" s="179">
        <f>'Exhibit-RMP(RMM-1) page 2'!K34*1000</f>
        <v>-17340.733815570809</v>
      </c>
    </row>
    <row r="731" spans="1:18">
      <c r="A731" s="171" t="s">
        <v>307</v>
      </c>
      <c r="C731" s="156">
        <v>622606</v>
      </c>
      <c r="E731" s="269">
        <v>8.67</v>
      </c>
      <c r="F731" s="209"/>
      <c r="G731" s="157">
        <v>5397994</v>
      </c>
      <c r="I731" s="12">
        <f>I$730</f>
        <v>-5.9999999999999995E-4</v>
      </c>
      <c r="J731" s="172"/>
      <c r="K731" s="157">
        <f t="shared" si="202"/>
        <v>-3238.7963999999997</v>
      </c>
      <c r="M731" s="12">
        <f>M$730</f>
        <v>-5.9999999999999995E-4</v>
      </c>
      <c r="N731" s="172"/>
      <c r="O731" s="157">
        <f t="shared" si="203"/>
        <v>-3238.7963999999997</v>
      </c>
      <c r="Q731" s="180" t="s">
        <v>13</v>
      </c>
      <c r="R731" s="181">
        <f>R730-R729</f>
        <v>624.94558442919151</v>
      </c>
    </row>
    <row r="732" spans="1:18">
      <c r="A732" s="171" t="s">
        <v>308</v>
      </c>
      <c r="C732" s="156">
        <v>101240704</v>
      </c>
      <c r="E732" s="222">
        <v>4.3940000000000001</v>
      </c>
      <c r="F732" s="182" t="s">
        <v>10</v>
      </c>
      <c r="G732" s="157">
        <v>4448517</v>
      </c>
      <c r="I732" s="12">
        <f t="shared" ref="I732:I735" si="204">I$730</f>
        <v>-5.9999999999999995E-4</v>
      </c>
      <c r="J732" s="172"/>
      <c r="K732" s="157">
        <f t="shared" si="202"/>
        <v>-2669.1101999999996</v>
      </c>
      <c r="M732" s="12">
        <f t="shared" ref="M732:M735" si="205">M$730</f>
        <v>-5.9999999999999995E-4</v>
      </c>
      <c r="N732" s="172"/>
      <c r="O732" s="157">
        <f t="shared" si="203"/>
        <v>-2669.1101999999996</v>
      </c>
      <c r="Q732" s="183" t="s">
        <v>14</v>
      </c>
      <c r="R732" s="99">
        <f>ROUND(R730/SUM(G730:G735),$R$9)</f>
        <v>-5.9999999999999995E-4</v>
      </c>
    </row>
    <row r="733" spans="1:18">
      <c r="A733" s="171" t="s">
        <v>309</v>
      </c>
      <c r="C733" s="156">
        <v>142951672</v>
      </c>
      <c r="E733" s="222">
        <v>2.76</v>
      </c>
      <c r="F733" s="182" t="s">
        <v>10</v>
      </c>
      <c r="G733" s="157">
        <v>3945466</v>
      </c>
      <c r="I733" s="12">
        <f t="shared" si="204"/>
        <v>-5.9999999999999995E-4</v>
      </c>
      <c r="J733" s="172"/>
      <c r="K733" s="157">
        <f t="shared" si="202"/>
        <v>-2367.2795999999998</v>
      </c>
      <c r="M733" s="12">
        <f t="shared" si="205"/>
        <v>-5.9999999999999995E-4</v>
      </c>
      <c r="N733" s="172"/>
      <c r="O733" s="157">
        <f t="shared" si="203"/>
        <v>-2367.2795999999998</v>
      </c>
    </row>
    <row r="734" spans="1:18">
      <c r="A734" s="171" t="s">
        <v>310</v>
      </c>
      <c r="C734" s="156">
        <v>168476287</v>
      </c>
      <c r="E734" s="222">
        <v>3.306</v>
      </c>
      <c r="F734" s="182" t="s">
        <v>10</v>
      </c>
      <c r="G734" s="157">
        <v>5569826</v>
      </c>
      <c r="I734" s="12">
        <f t="shared" si="204"/>
        <v>-5.9999999999999995E-4</v>
      </c>
      <c r="J734" s="172"/>
      <c r="K734" s="157">
        <f t="shared" si="202"/>
        <v>-3341.8955999999998</v>
      </c>
      <c r="M734" s="12">
        <f t="shared" si="205"/>
        <v>-5.9999999999999995E-4</v>
      </c>
      <c r="N734" s="172"/>
      <c r="O734" s="157">
        <f t="shared" si="203"/>
        <v>-3341.8955999999998</v>
      </c>
    </row>
    <row r="735" spans="1:18">
      <c r="A735" s="171" t="s">
        <v>311</v>
      </c>
      <c r="C735" s="275">
        <v>204431337</v>
      </c>
      <c r="E735" s="222">
        <v>2.76</v>
      </c>
      <c r="F735" s="182" t="s">
        <v>10</v>
      </c>
      <c r="G735" s="157">
        <v>5642305</v>
      </c>
      <c r="I735" s="12">
        <f t="shared" si="204"/>
        <v>-5.9999999999999995E-4</v>
      </c>
      <c r="J735" s="172"/>
      <c r="K735" s="157">
        <f t="shared" si="202"/>
        <v>-3385.3829999999998</v>
      </c>
      <c r="M735" s="12">
        <f t="shared" si="205"/>
        <v>-5.9999999999999995E-4</v>
      </c>
      <c r="N735" s="172"/>
      <c r="O735" s="157">
        <f t="shared" si="203"/>
        <v>-3385.3829999999998</v>
      </c>
    </row>
    <row r="736" spans="1:18" ht="16.5" thickBot="1">
      <c r="A736" s="171" t="s">
        <v>15</v>
      </c>
      <c r="C736" s="221">
        <v>617100000</v>
      </c>
      <c r="E736" s="276"/>
      <c r="F736" s="209"/>
      <c r="G736" s="208">
        <v>31874342</v>
      </c>
      <c r="I736" s="211"/>
      <c r="K736" s="208">
        <f>SUM(K730:K735)</f>
        <v>-17965.679400000001</v>
      </c>
      <c r="M736" s="211"/>
      <c r="O736" s="208">
        <f>SUM(O730:O735)</f>
        <v>-17965.679400000001</v>
      </c>
    </row>
    <row r="737" spans="1:18" ht="16.5" thickTop="1"/>
    <row r="738" spans="1:18">
      <c r="A738" s="167" t="s">
        <v>155</v>
      </c>
      <c r="E738" s="209"/>
      <c r="F738" s="209"/>
    </row>
    <row r="739" spans="1:18">
      <c r="A739" s="171" t="s">
        <v>7</v>
      </c>
      <c r="C739" s="156">
        <v>12</v>
      </c>
      <c r="Q739" s="215" t="s">
        <v>11</v>
      </c>
      <c r="R739" s="216">
        <f>O744</f>
        <v>0</v>
      </c>
    </row>
    <row r="740" spans="1:18">
      <c r="A740" s="189" t="s">
        <v>31</v>
      </c>
      <c r="C740" s="156">
        <v>57264151</v>
      </c>
      <c r="E740" s="222">
        <v>6.5679999999999996</v>
      </c>
      <c r="F740" s="182" t="s">
        <v>10</v>
      </c>
      <c r="G740" s="157">
        <v>3761109</v>
      </c>
      <c r="I740" s="100">
        <v>0</v>
      </c>
      <c r="J740" s="172"/>
      <c r="K740" s="157">
        <f>$G740*I740</f>
        <v>0</v>
      </c>
      <c r="M740" s="100">
        <f>R742</f>
        <v>0</v>
      </c>
      <c r="N740" s="172"/>
      <c r="O740" s="157">
        <f>$G740*M740</f>
        <v>0</v>
      </c>
      <c r="Q740" s="178" t="s">
        <v>12</v>
      </c>
      <c r="R740" s="179">
        <f>'Exhibit-RMP(RMM-1) page 2'!K35*1000</f>
        <v>0</v>
      </c>
    </row>
    <row r="741" spans="1:18">
      <c r="A741" s="189" t="s">
        <v>32</v>
      </c>
      <c r="C741" s="156">
        <v>179663027</v>
      </c>
      <c r="E741" s="222">
        <v>4.9409999999999998</v>
      </c>
      <c r="F741" s="182" t="s">
        <v>10</v>
      </c>
      <c r="G741" s="157">
        <v>8877150</v>
      </c>
      <c r="I741" s="12">
        <f>I$740</f>
        <v>0</v>
      </c>
      <c r="J741" s="172"/>
      <c r="K741" s="157">
        <f>$G741*I741</f>
        <v>0</v>
      </c>
      <c r="M741" s="12">
        <f>M$740</f>
        <v>0</v>
      </c>
      <c r="N741" s="172"/>
      <c r="O741" s="157">
        <f>$G741*M741</f>
        <v>0</v>
      </c>
      <c r="Q741" s="180" t="s">
        <v>13</v>
      </c>
      <c r="R741" s="181">
        <f>R740-R739</f>
        <v>0</v>
      </c>
    </row>
    <row r="742" spans="1:18">
      <c r="A742" s="189" t="s">
        <v>17</v>
      </c>
      <c r="C742" s="156">
        <v>239492625.9472512</v>
      </c>
      <c r="E742" s="222">
        <v>4.1280000000000001</v>
      </c>
      <c r="F742" s="182" t="s">
        <v>10</v>
      </c>
      <c r="G742" s="157">
        <v>9886256</v>
      </c>
      <c r="I742" s="12">
        <f t="shared" ref="I742:I743" si="206">I$740</f>
        <v>0</v>
      </c>
      <c r="J742" s="172"/>
      <c r="K742" s="157">
        <f>$G742*I742</f>
        <v>0</v>
      </c>
      <c r="M742" s="12">
        <f t="shared" ref="M742:M743" si="207">M$740</f>
        <v>0</v>
      </c>
      <c r="N742" s="172"/>
      <c r="O742" s="157">
        <f>$G742*M742</f>
        <v>0</v>
      </c>
      <c r="Q742" s="183" t="s">
        <v>14</v>
      </c>
      <c r="R742" s="99">
        <f>ROUND(R740/SUM(G740:G743),$R$9)</f>
        <v>0</v>
      </c>
    </row>
    <row r="743" spans="1:18">
      <c r="A743" s="189" t="s">
        <v>312</v>
      </c>
      <c r="C743" s="275">
        <v>229035744.99930882</v>
      </c>
      <c r="E743" s="222">
        <v>4.1280000000000001</v>
      </c>
      <c r="F743" s="182" t="s">
        <v>10</v>
      </c>
      <c r="G743" s="199">
        <v>9454596</v>
      </c>
      <c r="I743" s="12">
        <f t="shared" si="206"/>
        <v>0</v>
      </c>
      <c r="J743" s="172"/>
      <c r="K743" s="157">
        <f>$G743*I743</f>
        <v>0</v>
      </c>
      <c r="M743" s="12">
        <f t="shared" si="207"/>
        <v>0</v>
      </c>
      <c r="N743" s="172"/>
      <c r="O743" s="157">
        <f>$G743*M743</f>
        <v>0</v>
      </c>
    </row>
    <row r="744" spans="1:18" ht="16.5" thickBot="1">
      <c r="A744" s="171" t="s">
        <v>15</v>
      </c>
      <c r="C744" s="277">
        <v>705455548.94656003</v>
      </c>
      <c r="E744" s="278"/>
      <c r="F744" s="209"/>
      <c r="G744" s="196">
        <v>31979111</v>
      </c>
      <c r="I744" s="211"/>
      <c r="K744" s="208">
        <f>SUM(K740:K743)</f>
        <v>0</v>
      </c>
      <c r="M744" s="211"/>
      <c r="O744" s="208">
        <f>SUM(O740:O743)</f>
        <v>0</v>
      </c>
    </row>
    <row r="745" spans="1:18" ht="16.5" thickTop="1">
      <c r="A745" s="171"/>
      <c r="E745" s="12"/>
      <c r="F745" s="12"/>
    </row>
    <row r="746" spans="1:18">
      <c r="A746" s="167" t="s">
        <v>156</v>
      </c>
      <c r="E746" s="209"/>
      <c r="F746" s="209"/>
    </row>
    <row r="747" spans="1:18">
      <c r="A747" s="171" t="s">
        <v>7</v>
      </c>
      <c r="C747" s="156">
        <v>12</v>
      </c>
    </row>
    <row r="748" spans="1:18">
      <c r="A748" s="171" t="s">
        <v>313</v>
      </c>
      <c r="C748" s="156">
        <v>376680000</v>
      </c>
      <c r="E748" s="222">
        <v>5.8418999999999999</v>
      </c>
      <c r="F748" s="182" t="s">
        <v>10</v>
      </c>
      <c r="G748" s="157">
        <v>22005408.239999995</v>
      </c>
    </row>
    <row r="749" spans="1:18">
      <c r="A749" s="171" t="s">
        <v>314</v>
      </c>
      <c r="E749" s="222"/>
      <c r="F749" s="182"/>
    </row>
    <row r="750" spans="1:18">
      <c r="A750" s="171" t="s">
        <v>315</v>
      </c>
      <c r="C750" s="156">
        <v>911946197</v>
      </c>
      <c r="E750" s="222">
        <v>4.4905999999999997</v>
      </c>
      <c r="F750" s="182" t="s">
        <v>10</v>
      </c>
      <c r="G750" s="157">
        <v>40952184.777309686</v>
      </c>
    </row>
    <row r="751" spans="1:18" ht="16.5" thickBot="1">
      <c r="A751" s="171" t="s">
        <v>112</v>
      </c>
      <c r="C751" s="221">
        <v>1288626197</v>
      </c>
      <c r="E751" s="276"/>
      <c r="F751" s="209"/>
      <c r="G751" s="208">
        <v>62957593.017309681</v>
      </c>
      <c r="I751" s="211"/>
      <c r="K751" s="208">
        <v>0</v>
      </c>
      <c r="M751" s="211"/>
      <c r="O751" s="208">
        <v>0</v>
      </c>
    </row>
    <row r="752" spans="1:18" ht="16.5" thickTop="1">
      <c r="E752" s="209"/>
      <c r="F752" s="209"/>
    </row>
    <row r="753" spans="1:15">
      <c r="A753" s="167" t="s">
        <v>198</v>
      </c>
    </row>
    <row r="754" spans="1:15">
      <c r="A754" s="171" t="s">
        <v>25</v>
      </c>
      <c r="C754" s="241">
        <v>4</v>
      </c>
    </row>
    <row r="755" spans="1:15">
      <c r="A755" s="171" t="s">
        <v>113</v>
      </c>
      <c r="C755" s="156">
        <v>48</v>
      </c>
      <c r="E755" s="249">
        <v>2.1800000000000002</v>
      </c>
      <c r="F755" s="172"/>
      <c r="G755" s="157">
        <v>105</v>
      </c>
    </row>
    <row r="756" spans="1:15">
      <c r="A756" s="171" t="s">
        <v>114</v>
      </c>
      <c r="C756" s="156">
        <v>207</v>
      </c>
      <c r="E756" s="247">
        <v>2.1858</v>
      </c>
      <c r="F756" s="182"/>
      <c r="G756" s="157">
        <v>452</v>
      </c>
    </row>
    <row r="757" spans="1:15">
      <c r="A757" s="171" t="s">
        <v>57</v>
      </c>
      <c r="C757" s="275">
        <v>255</v>
      </c>
      <c r="E757" s="279"/>
      <c r="F757" s="182"/>
      <c r="G757" s="280">
        <v>557</v>
      </c>
    </row>
    <row r="758" spans="1:15" ht="16.5" thickBot="1">
      <c r="A758" s="171" t="s">
        <v>58</v>
      </c>
      <c r="C758" s="242">
        <v>7387</v>
      </c>
      <c r="E758" s="1"/>
      <c r="F758" s="13"/>
      <c r="G758" s="44">
        <v>557</v>
      </c>
      <c r="I758" s="211"/>
      <c r="K758" s="208">
        <v>0</v>
      </c>
      <c r="M758" s="211"/>
      <c r="O758" s="208">
        <v>0</v>
      </c>
    </row>
    <row r="759" spans="1:15" ht="16.5" thickTop="1">
      <c r="E759" s="209"/>
      <c r="F759" s="209"/>
    </row>
    <row r="760" spans="1:15">
      <c r="A760" s="167" t="s">
        <v>115</v>
      </c>
      <c r="E760" s="209"/>
      <c r="F760" s="209"/>
    </row>
    <row r="761" spans="1:15">
      <c r="A761" s="171" t="s">
        <v>116</v>
      </c>
      <c r="C761" s="49"/>
      <c r="E761" s="209"/>
      <c r="F761" s="209"/>
      <c r="G761" s="157">
        <v>6795.090000000062</v>
      </c>
    </row>
    <row r="762" spans="1:15">
      <c r="A762" s="171" t="s">
        <v>117</v>
      </c>
      <c r="C762" s="49"/>
      <c r="E762" s="209"/>
      <c r="F762" s="209"/>
      <c r="G762" s="157">
        <v>3742344.1399999997</v>
      </c>
    </row>
    <row r="763" spans="1:15">
      <c r="A763" s="171" t="s">
        <v>118</v>
      </c>
      <c r="C763" s="49"/>
      <c r="E763" s="209"/>
      <c r="F763" s="209"/>
      <c r="G763" s="157">
        <v>823369.79999999993</v>
      </c>
    </row>
    <row r="764" spans="1:15">
      <c r="A764" s="171" t="s">
        <v>119</v>
      </c>
      <c r="C764" s="49"/>
      <c r="E764" s="209"/>
      <c r="F764" s="209"/>
      <c r="G764" s="157">
        <v>231622.84</v>
      </c>
    </row>
    <row r="765" spans="1:15">
      <c r="A765" s="171" t="s">
        <v>120</v>
      </c>
      <c r="C765" s="49"/>
      <c r="E765" s="209"/>
      <c r="F765" s="209"/>
      <c r="G765" s="157">
        <v>4655.0400000000009</v>
      </c>
    </row>
    <row r="766" spans="1:15" ht="16.5" thickBot="1">
      <c r="A766" s="171" t="s">
        <v>121</v>
      </c>
      <c r="C766" s="50"/>
      <c r="E766" s="278"/>
      <c r="F766" s="209"/>
      <c r="G766" s="196">
        <v>4808786.9099999992</v>
      </c>
      <c r="I766" s="211"/>
      <c r="K766" s="208">
        <v>0</v>
      </c>
      <c r="M766" s="211"/>
      <c r="O766" s="208">
        <v>0</v>
      </c>
    </row>
    <row r="767" spans="1:15" ht="16.5" thickTop="1">
      <c r="E767" s="209"/>
      <c r="F767" s="209"/>
    </row>
    <row r="768" spans="1:15" ht="16.5" thickBot="1">
      <c r="A768" s="195" t="s">
        <v>122</v>
      </c>
      <c r="B768" s="195"/>
      <c r="C768" s="50">
        <v>24837388160.662254</v>
      </c>
      <c r="E768" s="195"/>
      <c r="G768" s="196">
        <f>G28+G49+G69+G90+G111+G132+G195-G207+G221-G232+G246-G257+G271-G281+G146+G158+G170+G181+G296+G309+G316+G328+G340+G351+G362+G377+G394+G409+G431+G499+G507+G512+G526+G536+G589+G602+G616+G678+G721+G725+G736+G744+G751+G758+G766</f>
        <v>2033139591.3536203</v>
      </c>
      <c r="I768" s="211"/>
      <c r="K768" s="208">
        <f>SUM(K28,K49,K69,K90,K111,K132,K195-K207,K221-K232,K246-K257,K271-K281,K146,K158,K170,K181,K296,K309,K316,K328,K340,K351,K362,K377,K394,K409,K431,K499,K507,K512,K526,K536,K574,K589,K602,K616,K669,K677,K721,K725,K736,K744,K751,K758,K766)</f>
        <v>-1079762.1748470152</v>
      </c>
      <c r="M768" s="211"/>
      <c r="O768" s="208">
        <f>SUM(O28,O49,O69,O90,O111,O132,O195-O207,O221-O232,O246-O257,O271-O281,O146,O158,O170,O181,O296,O309,O316,O328,O340,O351,O362,O377,O394,O409,O431,O499,O507,O512,O526,O536,O574,O589,O602,O616,O678,O721,O725,O736,O744,O751,O758,O766)</f>
        <v>-1104328.4361705228</v>
      </c>
    </row>
    <row r="769" spans="5:15" ht="16.5" thickTop="1">
      <c r="K769" s="157">
        <f>K768-'Exhibit-RMP(RMM-1) page 1'!M49*1000</f>
        <v>0</v>
      </c>
      <c r="O769" s="157">
        <f>O768-'Exhibit-RMP(RMM-1) page 2'!K49*1000</f>
        <v>1769.1411084544379</v>
      </c>
    </row>
    <row r="770" spans="5:15">
      <c r="E770" s="281"/>
      <c r="O770" s="157">
        <f>O768-'Exhibit-RMP(RMM-1) page 1'!S49*1000</f>
        <v>0</v>
      </c>
    </row>
    <row r="772" spans="5:15">
      <c r="G772" s="282"/>
    </row>
  </sheetData>
  <pageMargins left="0.7" right="0.7" top="0.75" bottom="0.75" header="0.3" footer="0.3"/>
  <pageSetup scale="72" orientation="portrait" r:id="rId1"/>
  <rowBreaks count="18" manualBreakCount="18">
    <brk id="50" max="14" man="1"/>
    <brk id="91" max="14" man="1"/>
    <brk id="133" max="14" man="1"/>
    <brk id="171" max="14" man="1"/>
    <brk id="208" max="14" man="1"/>
    <brk id="258" max="14" man="1"/>
    <brk id="297" max="14" man="1"/>
    <brk id="341" max="14" man="1"/>
    <brk id="379" max="14" man="1"/>
    <brk id="432" max="14" man="1"/>
    <brk id="477" max="14" man="1"/>
    <brk id="508" max="14" man="1"/>
    <brk id="538" max="14" man="1"/>
    <brk id="575" max="14" man="1"/>
    <brk id="617" max="14" man="1"/>
    <brk id="658" max="14" man="1"/>
    <brk id="679" max="14" man="1"/>
    <brk id="72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90" zoomScaleNormal="90" workbookViewId="0">
      <selection activeCell="F21" sqref="F21"/>
    </sheetView>
  </sheetViews>
  <sheetFormatPr defaultColWidth="8.375" defaultRowHeight="12.75"/>
  <cols>
    <col min="1" max="1" width="7.25" style="53" customWidth="1"/>
    <col min="2" max="4" width="8.375" style="53"/>
    <col min="5" max="5" width="32.5" style="53" customWidth="1"/>
    <col min="6" max="6" width="15.625" style="53" bestFit="1" customWidth="1"/>
    <col min="7" max="7" width="42.25" style="53" bestFit="1" customWidth="1"/>
    <col min="8" max="8" width="14.375" style="53" customWidth="1"/>
    <col min="9" max="9" width="7.25" style="53" customWidth="1"/>
    <col min="10" max="10" width="7.75" style="53" customWidth="1"/>
    <col min="11" max="16384" width="8.375" style="53"/>
  </cols>
  <sheetData>
    <row r="1" spans="1:8">
      <c r="A1" s="56" t="s">
        <v>123</v>
      </c>
    </row>
    <row r="2" spans="1:8">
      <c r="A2" s="56" t="s">
        <v>375</v>
      </c>
    </row>
    <row r="3" spans="1:8">
      <c r="A3" s="89" t="s">
        <v>376</v>
      </c>
    </row>
    <row r="5" spans="1:8">
      <c r="A5" s="90" t="s">
        <v>377</v>
      </c>
    </row>
    <row r="6" spans="1:8">
      <c r="A6" s="90"/>
    </row>
    <row r="7" spans="1:8">
      <c r="A7" s="56" t="s">
        <v>378</v>
      </c>
      <c r="G7" s="56" t="s">
        <v>379</v>
      </c>
    </row>
    <row r="8" spans="1:8">
      <c r="A8" s="54"/>
      <c r="B8" s="56" t="s">
        <v>400</v>
      </c>
    </row>
    <row r="9" spans="1:8">
      <c r="A9" s="54">
        <v>1</v>
      </c>
      <c r="B9" s="91" t="s">
        <v>380</v>
      </c>
      <c r="F9" s="92">
        <v>670985.76760209701</v>
      </c>
      <c r="G9" s="53" t="s">
        <v>381</v>
      </c>
    </row>
    <row r="10" spans="1:8">
      <c r="A10" s="54">
        <v>2</v>
      </c>
      <c r="B10" s="91" t="s">
        <v>382</v>
      </c>
      <c r="F10" s="93">
        <v>0</v>
      </c>
      <c r="G10" s="53" t="s">
        <v>383</v>
      </c>
    </row>
    <row r="11" spans="1:8">
      <c r="A11" s="54">
        <v>3</v>
      </c>
      <c r="B11" s="91" t="s">
        <v>384</v>
      </c>
      <c r="F11" s="94">
        <v>670985.76760209701</v>
      </c>
      <c r="G11" s="53" t="s">
        <v>385</v>
      </c>
    </row>
    <row r="12" spans="1:8">
      <c r="A12" s="54">
        <v>4</v>
      </c>
      <c r="B12" s="91" t="s">
        <v>401</v>
      </c>
      <c r="F12" s="94">
        <v>2857471.5724115698</v>
      </c>
      <c r="G12" s="53" t="s">
        <v>386</v>
      </c>
      <c r="H12" s="283"/>
    </row>
    <row r="13" spans="1:8">
      <c r="A13" s="54">
        <v>5</v>
      </c>
      <c r="B13" s="91" t="s">
        <v>387</v>
      </c>
      <c r="F13" s="94">
        <v>-285747.15724115702</v>
      </c>
      <c r="G13" s="53" t="s">
        <v>388</v>
      </c>
    </row>
    <row r="14" spans="1:8">
      <c r="A14" s="54">
        <v>6</v>
      </c>
      <c r="B14" s="91" t="s">
        <v>402</v>
      </c>
      <c r="F14" s="94">
        <v>4898.3175793681621</v>
      </c>
      <c r="G14" s="53" t="s">
        <v>389</v>
      </c>
    </row>
    <row r="15" spans="1:8">
      <c r="A15" s="54">
        <v>7</v>
      </c>
      <c r="B15" s="91" t="s">
        <v>403</v>
      </c>
      <c r="F15" s="94">
        <v>600000</v>
      </c>
      <c r="G15" s="53" t="s">
        <v>390</v>
      </c>
    </row>
    <row r="16" spans="1:8">
      <c r="A16" s="54">
        <v>8</v>
      </c>
      <c r="B16" s="91" t="s">
        <v>404</v>
      </c>
      <c r="F16" s="94">
        <v>-2000000</v>
      </c>
      <c r="G16" s="53" t="s">
        <v>391</v>
      </c>
    </row>
    <row r="17" spans="1:7">
      <c r="A17" s="54">
        <v>9</v>
      </c>
      <c r="B17" s="91" t="s">
        <v>405</v>
      </c>
      <c r="F17" s="94">
        <v>-303758.33999999997</v>
      </c>
      <c r="G17" s="53" t="s">
        <v>392</v>
      </c>
    </row>
    <row r="18" spans="1:7">
      <c r="A18" s="54">
        <v>10</v>
      </c>
      <c r="B18" s="91" t="s">
        <v>393</v>
      </c>
      <c r="F18" s="94">
        <v>-482466.99</v>
      </c>
      <c r="G18" s="53" t="s">
        <v>394</v>
      </c>
    </row>
    <row r="19" spans="1:7">
      <c r="A19" s="54">
        <v>11</v>
      </c>
      <c r="B19" s="91" t="s">
        <v>406</v>
      </c>
      <c r="F19" s="94">
        <v>24510.365593534025</v>
      </c>
      <c r="G19" s="53" t="s">
        <v>395</v>
      </c>
    </row>
    <row r="20" spans="1:7">
      <c r="A20" s="54">
        <v>12</v>
      </c>
      <c r="B20" s="91" t="s">
        <v>407</v>
      </c>
      <c r="F20" s="94">
        <v>20204.041333564885</v>
      </c>
      <c r="G20" s="53" t="s">
        <v>396</v>
      </c>
    </row>
    <row r="21" spans="1:7">
      <c r="A21" s="54">
        <v>13</v>
      </c>
      <c r="B21" s="56" t="s">
        <v>408</v>
      </c>
      <c r="F21" s="95">
        <v>1106097.5772789768</v>
      </c>
    </row>
    <row r="22" spans="1:7">
      <c r="A22" s="54"/>
      <c r="F22" s="96"/>
    </row>
    <row r="23" spans="1:7" customFormat="1" ht="15.75"/>
    <row r="24" spans="1:7" customFormat="1" ht="15.75"/>
    <row r="25" spans="1:7" customFormat="1" ht="15.75"/>
    <row r="26" spans="1:7" customFormat="1" ht="15.75">
      <c r="F26" s="97"/>
    </row>
    <row r="27" spans="1:7" customFormat="1" ht="15.75">
      <c r="F27" s="97"/>
    </row>
    <row r="28" spans="1:7" customFormat="1" ht="15.75">
      <c r="F28" s="97"/>
    </row>
    <row r="29" spans="1:7" customFormat="1" ht="15.75">
      <c r="F29" s="97"/>
    </row>
    <row r="30" spans="1:7" customFormat="1" ht="15.75">
      <c r="F30" s="97"/>
    </row>
    <row r="31" spans="1:7" customFormat="1" ht="15.75">
      <c r="F31" s="97"/>
    </row>
    <row r="32" spans="1:7" customFormat="1" ht="15.75">
      <c r="F32" s="97"/>
    </row>
    <row r="33" spans="1:8" customFormat="1" ht="13.5" customHeight="1">
      <c r="F33" s="97"/>
    </row>
    <row r="34" spans="1:8" customFormat="1" ht="15.75">
      <c r="F34" s="97"/>
    </row>
    <row r="35" spans="1:8" customFormat="1" ht="15.75">
      <c r="F35" s="97"/>
    </row>
    <row r="36" spans="1:8" customFormat="1" ht="15.75">
      <c r="F36" s="97"/>
    </row>
    <row r="37" spans="1:8">
      <c r="F37" s="98"/>
    </row>
    <row r="38" spans="1:8">
      <c r="F38" s="98"/>
    </row>
    <row r="39" spans="1:8">
      <c r="A39" s="54"/>
      <c r="F39" s="98"/>
    </row>
    <row r="40" spans="1:8">
      <c r="A40" s="54"/>
      <c r="G40" s="54"/>
    </row>
    <row r="41" spans="1:8">
      <c r="A41" s="55"/>
      <c r="B41" s="56"/>
      <c r="C41" s="56"/>
      <c r="D41" s="56"/>
      <c r="E41" s="56"/>
      <c r="F41" s="57"/>
      <c r="G41" s="57"/>
    </row>
    <row r="42" spans="1:8">
      <c r="A42" s="54"/>
      <c r="F42" s="58"/>
      <c r="G42" s="58"/>
      <c r="H42" s="56"/>
    </row>
    <row r="43" spans="1:8">
      <c r="A43" s="54"/>
      <c r="F43" s="58"/>
      <c r="G43" s="58"/>
    </row>
    <row r="44" spans="1:8">
      <c r="A44" s="54"/>
      <c r="F44" s="59"/>
      <c r="G44" s="59"/>
    </row>
    <row r="45" spans="1:8">
      <c r="A45" s="54"/>
      <c r="G45" s="60"/>
    </row>
    <row r="46" spans="1:8">
      <c r="A46" s="54"/>
      <c r="G46" s="60"/>
    </row>
    <row r="47" spans="1:8">
      <c r="A47" s="54"/>
      <c r="G47" s="60"/>
    </row>
    <row r="48" spans="1:8">
      <c r="A48" s="54"/>
      <c r="G48" s="60"/>
    </row>
    <row r="49" spans="1:9">
      <c r="A49" s="54"/>
      <c r="F49" s="60"/>
      <c r="G49" s="60"/>
    </row>
    <row r="50" spans="1:9">
      <c r="A50" s="54"/>
      <c r="F50" s="60"/>
      <c r="G50" s="60"/>
    </row>
    <row r="51" spans="1:9">
      <c r="A51" s="54"/>
      <c r="F51" s="60"/>
      <c r="G51" s="60"/>
    </row>
    <row r="52" spans="1:9">
      <c r="A52" s="54"/>
      <c r="F52" s="60"/>
      <c r="G52" s="60"/>
    </row>
    <row r="53" spans="1:9">
      <c r="A53" s="54"/>
      <c r="F53" s="60"/>
      <c r="G53" s="60"/>
    </row>
    <row r="54" spans="1:9">
      <c r="A54" s="54"/>
      <c r="F54" s="60"/>
      <c r="G54" s="60"/>
    </row>
    <row r="55" spans="1:9">
      <c r="F55" s="60"/>
      <c r="G55" s="60"/>
      <c r="H55" s="60"/>
      <c r="I55" s="60"/>
    </row>
    <row r="108" spans="2:2">
      <c r="B108" s="53">
        <v>31</v>
      </c>
    </row>
    <row r="109" spans="2:2">
      <c r="B109" s="53">
        <v>59</v>
      </c>
    </row>
    <row r="110" spans="2:2">
      <c r="B110" s="53">
        <v>88</v>
      </c>
    </row>
    <row r="111" spans="2:2">
      <c r="B111" s="53">
        <v>119</v>
      </c>
    </row>
    <row r="112" spans="2:2">
      <c r="B112" s="53">
        <v>149</v>
      </c>
    </row>
    <row r="113" spans="2:2">
      <c r="B113" s="53">
        <v>180</v>
      </c>
    </row>
    <row r="114" spans="2:2">
      <c r="B114" s="53">
        <v>210</v>
      </c>
    </row>
    <row r="115" spans="2:2">
      <c r="B115" s="53">
        <v>241</v>
      </c>
    </row>
    <row r="116" spans="2:2">
      <c r="B116" s="53">
        <v>272</v>
      </c>
    </row>
    <row r="117" spans="2:2">
      <c r="B117" s="53">
        <v>302</v>
      </c>
    </row>
    <row r="118" spans="2:2">
      <c r="B118" s="53">
        <v>333</v>
      </c>
    </row>
    <row r="119" spans="2:2">
      <c r="B119" s="53">
        <v>363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="70" zoomScaleSheetLayoutView="70" workbookViewId="0">
      <selection activeCell="K15" sqref="K15"/>
    </sheetView>
  </sheetViews>
  <sheetFormatPr defaultColWidth="8.5" defaultRowHeight="15.75"/>
  <cols>
    <col min="1" max="1" width="44.125" style="62" customWidth="1"/>
    <col min="2" max="2" width="1.25" style="62" customWidth="1"/>
    <col min="3" max="3" width="12.25" style="62" bestFit="1" customWidth="1"/>
    <col min="4" max="4" width="1.25" style="62" customWidth="1"/>
    <col min="5" max="5" width="10" style="62" bestFit="1" customWidth="1"/>
    <col min="6" max="6" width="1.25" style="62" customWidth="1"/>
    <col min="7" max="7" width="10" style="62" customWidth="1"/>
    <col min="8" max="8" width="1.25" style="62" customWidth="1"/>
    <col min="9" max="9" width="9.625" style="62" bestFit="1" customWidth="1"/>
    <col min="10" max="10" width="8.25" style="62" bestFit="1" customWidth="1"/>
    <col min="11" max="200" width="7" style="62" customWidth="1"/>
    <col min="201" max="201" width="20.75" style="62" customWidth="1"/>
    <col min="202" max="202" width="1.75" style="62" customWidth="1"/>
    <col min="203" max="203" width="14.25" style="62" customWidth="1"/>
    <col min="204" max="204" width="4.25" style="62" customWidth="1"/>
    <col min="205" max="205" width="8.75" style="62" bestFit="1" customWidth="1"/>
    <col min="206" max="206" width="6.25" style="62" bestFit="1" customWidth="1"/>
    <col min="207" max="207" width="2.125" style="62" customWidth="1"/>
    <col min="208" max="208" width="8.5" style="62" bestFit="1" customWidth="1"/>
    <col min="209" max="209" width="6.25" style="62" bestFit="1" customWidth="1"/>
    <col min="210" max="210" width="2.25" style="62" customWidth="1"/>
    <col min="211" max="211" width="9.5" style="62" bestFit="1" customWidth="1"/>
    <col min="212" max="212" width="7" style="62" bestFit="1" customWidth="1"/>
    <col min="213" max="213" width="1.75" style="62" customWidth="1"/>
    <col min="214" max="214" width="8.75" style="62" bestFit="1" customWidth="1"/>
    <col min="215" max="215" width="2" style="62" customWidth="1"/>
    <col min="216" max="216" width="8.75" style="62" bestFit="1" customWidth="1"/>
    <col min="217" max="217" width="6.25" style="62" bestFit="1" customWidth="1"/>
    <col min="218" max="218" width="1.25" style="62" customWidth="1"/>
    <col min="219" max="219" width="8.5" style="62" bestFit="1" customWidth="1"/>
    <col min="220" max="220" width="6.25" style="62" bestFit="1" customWidth="1"/>
    <col min="221" max="221" width="1.75" style="62" customWidth="1"/>
    <col min="222" max="222" width="9.5" style="62" bestFit="1" customWidth="1"/>
    <col min="223" max="223" width="7" style="62" bestFit="1" customWidth="1"/>
    <col min="224" max="224" width="1.625" style="62" customWidth="1"/>
    <col min="225" max="225" width="7.25" style="62" bestFit="1" customWidth="1"/>
    <col min="226" max="226" width="2.625" style="62" customWidth="1"/>
    <col min="227" max="227" width="13.25" style="62" customWidth="1"/>
    <col min="228" max="228" width="6.25" style="62" bestFit="1" customWidth="1"/>
    <col min="229" max="229" width="1.75" style="62" customWidth="1"/>
    <col min="230" max="230" width="8.5" style="62"/>
    <col min="231" max="231" width="42.25" style="62" bestFit="1" customWidth="1"/>
    <col min="232" max="232" width="1.25" style="62" customWidth="1"/>
    <col min="233" max="233" width="11.625" style="62" customWidth="1"/>
    <col min="234" max="234" width="1.25" style="62" customWidth="1"/>
    <col min="235" max="235" width="9.625" style="62" customWidth="1"/>
    <col min="236" max="236" width="8.125" style="62" customWidth="1"/>
    <col min="237" max="237" width="1.25" style="62" customWidth="1"/>
    <col min="238" max="238" width="8.125" style="62" customWidth="1"/>
    <col min="239" max="239" width="1.625" style="62" customWidth="1"/>
    <col min="240" max="240" width="8" style="62" bestFit="1" customWidth="1"/>
    <col min="241" max="241" width="9.75" style="62" bestFit="1" customWidth="1"/>
    <col min="242" max="456" width="7" style="62" customWidth="1"/>
    <col min="457" max="457" width="20.75" style="62" customWidth="1"/>
    <col min="458" max="458" width="1.75" style="62" customWidth="1"/>
    <col min="459" max="459" width="14.25" style="62" customWidth="1"/>
    <col min="460" max="460" width="4.25" style="62" customWidth="1"/>
    <col min="461" max="461" width="8.75" style="62" bestFit="1" customWidth="1"/>
    <col min="462" max="462" width="6.25" style="62" bestFit="1" customWidth="1"/>
    <col min="463" max="463" width="2.125" style="62" customWidth="1"/>
    <col min="464" max="464" width="8.5" style="62" bestFit="1" customWidth="1"/>
    <col min="465" max="465" width="6.25" style="62" bestFit="1" customWidth="1"/>
    <col min="466" max="466" width="2.25" style="62" customWidth="1"/>
    <col min="467" max="467" width="9.5" style="62" bestFit="1" customWidth="1"/>
    <col min="468" max="468" width="7" style="62" bestFit="1" customWidth="1"/>
    <col min="469" max="469" width="1.75" style="62" customWidth="1"/>
    <col min="470" max="470" width="8.75" style="62" bestFit="1" customWidth="1"/>
    <col min="471" max="471" width="2" style="62" customWidth="1"/>
    <col min="472" max="472" width="8.75" style="62" bestFit="1" customWidth="1"/>
    <col min="473" max="473" width="6.25" style="62" bestFit="1" customWidth="1"/>
    <col min="474" max="474" width="1.25" style="62" customWidth="1"/>
    <col min="475" max="475" width="8.5" style="62" bestFit="1" customWidth="1"/>
    <col min="476" max="476" width="6.25" style="62" bestFit="1" customWidth="1"/>
    <col min="477" max="477" width="1.75" style="62" customWidth="1"/>
    <col min="478" max="478" width="9.5" style="62" bestFit="1" customWidth="1"/>
    <col min="479" max="479" width="7" style="62" bestFit="1" customWidth="1"/>
    <col min="480" max="480" width="1.625" style="62" customWidth="1"/>
    <col min="481" max="481" width="7.25" style="62" bestFit="1" customWidth="1"/>
    <col min="482" max="482" width="2.625" style="62" customWidth="1"/>
    <col min="483" max="483" width="13.25" style="62" customWidth="1"/>
    <col min="484" max="484" width="6.25" style="62" bestFit="1" customWidth="1"/>
    <col min="485" max="485" width="1.75" style="62" customWidth="1"/>
    <col min="486" max="486" width="8.5" style="62"/>
    <col min="487" max="487" width="42.25" style="62" bestFit="1" customWidth="1"/>
    <col min="488" max="488" width="1.25" style="62" customWidth="1"/>
    <col min="489" max="489" width="11.625" style="62" customWidth="1"/>
    <col min="490" max="490" width="1.25" style="62" customWidth="1"/>
    <col min="491" max="491" width="9.625" style="62" customWidth="1"/>
    <col min="492" max="492" width="8.125" style="62" customWidth="1"/>
    <col min="493" max="493" width="1.25" style="62" customWidth="1"/>
    <col min="494" max="494" width="8.125" style="62" customWidth="1"/>
    <col min="495" max="495" width="1.625" style="62" customWidth="1"/>
    <col min="496" max="496" width="8" style="62" bestFit="1" customWidth="1"/>
    <col min="497" max="497" width="9.75" style="62" bestFit="1" customWidth="1"/>
    <col min="498" max="712" width="7" style="62" customWidth="1"/>
    <col min="713" max="713" width="20.75" style="62" customWidth="1"/>
    <col min="714" max="714" width="1.75" style="62" customWidth="1"/>
    <col min="715" max="715" width="14.25" style="62" customWidth="1"/>
    <col min="716" max="716" width="4.25" style="62" customWidth="1"/>
    <col min="717" max="717" width="8.75" style="62" bestFit="1" customWidth="1"/>
    <col min="718" max="718" width="6.25" style="62" bestFit="1" customWidth="1"/>
    <col min="719" max="719" width="2.125" style="62" customWidth="1"/>
    <col min="720" max="720" width="8.5" style="62" bestFit="1" customWidth="1"/>
    <col min="721" max="721" width="6.25" style="62" bestFit="1" customWidth="1"/>
    <col min="722" max="722" width="2.25" style="62" customWidth="1"/>
    <col min="723" max="723" width="9.5" style="62" bestFit="1" customWidth="1"/>
    <col min="724" max="724" width="7" style="62" bestFit="1" customWidth="1"/>
    <col min="725" max="725" width="1.75" style="62" customWidth="1"/>
    <col min="726" max="726" width="8.75" style="62" bestFit="1" customWidth="1"/>
    <col min="727" max="727" width="2" style="62" customWidth="1"/>
    <col min="728" max="728" width="8.75" style="62" bestFit="1" customWidth="1"/>
    <col min="729" max="729" width="6.25" style="62" bestFit="1" customWidth="1"/>
    <col min="730" max="730" width="1.25" style="62" customWidth="1"/>
    <col min="731" max="731" width="8.5" style="62" bestFit="1" customWidth="1"/>
    <col min="732" max="732" width="6.25" style="62" bestFit="1" customWidth="1"/>
    <col min="733" max="733" width="1.75" style="62" customWidth="1"/>
    <col min="734" max="734" width="9.5" style="62" bestFit="1" customWidth="1"/>
    <col min="735" max="735" width="7" style="62" bestFit="1" customWidth="1"/>
    <col min="736" max="736" width="1.625" style="62" customWidth="1"/>
    <col min="737" max="737" width="7.25" style="62" bestFit="1" customWidth="1"/>
    <col min="738" max="738" width="2.625" style="62" customWidth="1"/>
    <col min="739" max="739" width="13.25" style="62" customWidth="1"/>
    <col min="740" max="740" width="6.25" style="62" bestFit="1" customWidth="1"/>
    <col min="741" max="741" width="1.75" style="62" customWidth="1"/>
    <col min="742" max="742" width="8.5" style="62"/>
    <col min="743" max="743" width="42.25" style="62" bestFit="1" customWidth="1"/>
    <col min="744" max="744" width="1.25" style="62" customWidth="1"/>
    <col min="745" max="745" width="11.625" style="62" customWidth="1"/>
    <col min="746" max="746" width="1.25" style="62" customWidth="1"/>
    <col min="747" max="747" width="9.625" style="62" customWidth="1"/>
    <col min="748" max="748" width="8.125" style="62" customWidth="1"/>
    <col min="749" max="749" width="1.25" style="62" customWidth="1"/>
    <col min="750" max="750" width="8.125" style="62" customWidth="1"/>
    <col min="751" max="751" width="1.625" style="62" customWidth="1"/>
    <col min="752" max="752" width="8" style="62" bestFit="1" customWidth="1"/>
    <col min="753" max="753" width="9.75" style="62" bestFit="1" customWidth="1"/>
    <col min="754" max="968" width="7" style="62" customWidth="1"/>
    <col min="969" max="969" width="20.75" style="62" customWidth="1"/>
    <col min="970" max="970" width="1.75" style="62" customWidth="1"/>
    <col min="971" max="971" width="14.25" style="62" customWidth="1"/>
    <col min="972" max="972" width="4.25" style="62" customWidth="1"/>
    <col min="973" max="973" width="8.75" style="62" bestFit="1" customWidth="1"/>
    <col min="974" max="974" width="6.25" style="62" bestFit="1" customWidth="1"/>
    <col min="975" max="975" width="2.125" style="62" customWidth="1"/>
    <col min="976" max="976" width="8.5" style="62" bestFit="1" customWidth="1"/>
    <col min="977" max="977" width="6.25" style="62" bestFit="1" customWidth="1"/>
    <col min="978" max="978" width="2.25" style="62" customWidth="1"/>
    <col min="979" max="979" width="9.5" style="62" bestFit="1" customWidth="1"/>
    <col min="980" max="980" width="7" style="62" bestFit="1" customWidth="1"/>
    <col min="981" max="981" width="1.75" style="62" customWidth="1"/>
    <col min="982" max="982" width="8.75" style="62" bestFit="1" customWidth="1"/>
    <col min="983" max="983" width="2" style="62" customWidth="1"/>
    <col min="984" max="984" width="8.75" style="62" bestFit="1" customWidth="1"/>
    <col min="985" max="985" width="6.25" style="62" bestFit="1" customWidth="1"/>
    <col min="986" max="986" width="1.25" style="62" customWidth="1"/>
    <col min="987" max="987" width="8.5" style="62" bestFit="1" customWidth="1"/>
    <col min="988" max="988" width="6.25" style="62" bestFit="1" customWidth="1"/>
    <col min="989" max="989" width="1.75" style="62" customWidth="1"/>
    <col min="990" max="990" width="9.5" style="62" bestFit="1" customWidth="1"/>
    <col min="991" max="991" width="7" style="62" bestFit="1" customWidth="1"/>
    <col min="992" max="992" width="1.625" style="62" customWidth="1"/>
    <col min="993" max="993" width="7.25" style="62" bestFit="1" customWidth="1"/>
    <col min="994" max="994" width="2.625" style="62" customWidth="1"/>
    <col min="995" max="995" width="13.25" style="62" customWidth="1"/>
    <col min="996" max="996" width="6.25" style="62" bestFit="1" customWidth="1"/>
    <col min="997" max="997" width="1.75" style="62" customWidth="1"/>
    <col min="998" max="998" width="8.5" style="62"/>
    <col min="999" max="999" width="42.25" style="62" bestFit="1" customWidth="1"/>
    <col min="1000" max="1000" width="1.25" style="62" customWidth="1"/>
    <col min="1001" max="1001" width="11.625" style="62" customWidth="1"/>
    <col min="1002" max="1002" width="1.25" style="62" customWidth="1"/>
    <col min="1003" max="1003" width="9.625" style="62" customWidth="1"/>
    <col min="1004" max="1004" width="8.125" style="62" customWidth="1"/>
    <col min="1005" max="1005" width="1.25" style="62" customWidth="1"/>
    <col min="1006" max="1006" width="8.125" style="62" customWidth="1"/>
    <col min="1007" max="1007" width="1.625" style="62" customWidth="1"/>
    <col min="1008" max="1008" width="8" style="62" bestFit="1" customWidth="1"/>
    <col min="1009" max="1009" width="9.75" style="62" bestFit="1" customWidth="1"/>
    <col min="1010" max="1224" width="7" style="62" customWidth="1"/>
    <col min="1225" max="1225" width="20.75" style="62" customWidth="1"/>
    <col min="1226" max="1226" width="1.75" style="62" customWidth="1"/>
    <col min="1227" max="1227" width="14.25" style="62" customWidth="1"/>
    <col min="1228" max="1228" width="4.25" style="62" customWidth="1"/>
    <col min="1229" max="1229" width="8.75" style="62" bestFit="1" customWidth="1"/>
    <col min="1230" max="1230" width="6.25" style="62" bestFit="1" customWidth="1"/>
    <col min="1231" max="1231" width="2.125" style="62" customWidth="1"/>
    <col min="1232" max="1232" width="8.5" style="62" bestFit="1" customWidth="1"/>
    <col min="1233" max="1233" width="6.25" style="62" bestFit="1" customWidth="1"/>
    <col min="1234" max="1234" width="2.25" style="62" customWidth="1"/>
    <col min="1235" max="1235" width="9.5" style="62" bestFit="1" customWidth="1"/>
    <col min="1236" max="1236" width="7" style="62" bestFit="1" customWidth="1"/>
    <col min="1237" max="1237" width="1.75" style="62" customWidth="1"/>
    <col min="1238" max="1238" width="8.75" style="62" bestFit="1" customWidth="1"/>
    <col min="1239" max="1239" width="2" style="62" customWidth="1"/>
    <col min="1240" max="1240" width="8.75" style="62" bestFit="1" customWidth="1"/>
    <col min="1241" max="1241" width="6.25" style="62" bestFit="1" customWidth="1"/>
    <col min="1242" max="1242" width="1.25" style="62" customWidth="1"/>
    <col min="1243" max="1243" width="8.5" style="62" bestFit="1" customWidth="1"/>
    <col min="1244" max="1244" width="6.25" style="62" bestFit="1" customWidth="1"/>
    <col min="1245" max="1245" width="1.75" style="62" customWidth="1"/>
    <col min="1246" max="1246" width="9.5" style="62" bestFit="1" customWidth="1"/>
    <col min="1247" max="1247" width="7" style="62" bestFit="1" customWidth="1"/>
    <col min="1248" max="1248" width="1.625" style="62" customWidth="1"/>
    <col min="1249" max="1249" width="7.25" style="62" bestFit="1" customWidth="1"/>
    <col min="1250" max="1250" width="2.625" style="62" customWidth="1"/>
    <col min="1251" max="1251" width="13.25" style="62" customWidth="1"/>
    <col min="1252" max="1252" width="6.25" style="62" bestFit="1" customWidth="1"/>
    <col min="1253" max="1253" width="1.75" style="62" customWidth="1"/>
    <col min="1254" max="1254" width="8.5" style="62"/>
    <col min="1255" max="1255" width="42.25" style="62" bestFit="1" customWidth="1"/>
    <col min="1256" max="1256" width="1.25" style="62" customWidth="1"/>
    <col min="1257" max="1257" width="11.625" style="62" customWidth="1"/>
    <col min="1258" max="1258" width="1.25" style="62" customWidth="1"/>
    <col min="1259" max="1259" width="9.625" style="62" customWidth="1"/>
    <col min="1260" max="1260" width="8.125" style="62" customWidth="1"/>
    <col min="1261" max="1261" width="1.25" style="62" customWidth="1"/>
    <col min="1262" max="1262" width="8.125" style="62" customWidth="1"/>
    <col min="1263" max="1263" width="1.625" style="62" customWidth="1"/>
    <col min="1264" max="1264" width="8" style="62" bestFit="1" customWidth="1"/>
    <col min="1265" max="1265" width="9.75" style="62" bestFit="1" customWidth="1"/>
    <col min="1266" max="1480" width="7" style="62" customWidth="1"/>
    <col min="1481" max="1481" width="20.75" style="62" customWidth="1"/>
    <col min="1482" max="1482" width="1.75" style="62" customWidth="1"/>
    <col min="1483" max="1483" width="14.25" style="62" customWidth="1"/>
    <col min="1484" max="1484" width="4.25" style="62" customWidth="1"/>
    <col min="1485" max="1485" width="8.75" style="62" bestFit="1" customWidth="1"/>
    <col min="1486" max="1486" width="6.25" style="62" bestFit="1" customWidth="1"/>
    <col min="1487" max="1487" width="2.125" style="62" customWidth="1"/>
    <col min="1488" max="1488" width="8.5" style="62" bestFit="1" customWidth="1"/>
    <col min="1489" max="1489" width="6.25" style="62" bestFit="1" customWidth="1"/>
    <col min="1490" max="1490" width="2.25" style="62" customWidth="1"/>
    <col min="1491" max="1491" width="9.5" style="62" bestFit="1" customWidth="1"/>
    <col min="1492" max="1492" width="7" style="62" bestFit="1" customWidth="1"/>
    <col min="1493" max="1493" width="1.75" style="62" customWidth="1"/>
    <col min="1494" max="1494" width="8.75" style="62" bestFit="1" customWidth="1"/>
    <col min="1495" max="1495" width="2" style="62" customWidth="1"/>
    <col min="1496" max="1496" width="8.75" style="62" bestFit="1" customWidth="1"/>
    <col min="1497" max="1497" width="6.25" style="62" bestFit="1" customWidth="1"/>
    <col min="1498" max="1498" width="1.25" style="62" customWidth="1"/>
    <col min="1499" max="1499" width="8.5" style="62" bestFit="1" customWidth="1"/>
    <col min="1500" max="1500" width="6.25" style="62" bestFit="1" customWidth="1"/>
    <col min="1501" max="1501" width="1.75" style="62" customWidth="1"/>
    <col min="1502" max="1502" width="9.5" style="62" bestFit="1" customWidth="1"/>
    <col min="1503" max="1503" width="7" style="62" bestFit="1" customWidth="1"/>
    <col min="1504" max="1504" width="1.625" style="62" customWidth="1"/>
    <col min="1505" max="1505" width="7.25" style="62" bestFit="1" customWidth="1"/>
    <col min="1506" max="1506" width="2.625" style="62" customWidth="1"/>
    <col min="1507" max="1507" width="13.25" style="62" customWidth="1"/>
    <col min="1508" max="1508" width="6.25" style="62" bestFit="1" customWidth="1"/>
    <col min="1509" max="1509" width="1.75" style="62" customWidth="1"/>
    <col min="1510" max="1510" width="8.5" style="62"/>
    <col min="1511" max="1511" width="42.25" style="62" bestFit="1" customWidth="1"/>
    <col min="1512" max="1512" width="1.25" style="62" customWidth="1"/>
    <col min="1513" max="1513" width="11.625" style="62" customWidth="1"/>
    <col min="1514" max="1514" width="1.25" style="62" customWidth="1"/>
    <col min="1515" max="1515" width="9.625" style="62" customWidth="1"/>
    <col min="1516" max="1516" width="8.125" style="62" customWidth="1"/>
    <col min="1517" max="1517" width="1.25" style="62" customWidth="1"/>
    <col min="1518" max="1518" width="8.125" style="62" customWidth="1"/>
    <col min="1519" max="1519" width="1.625" style="62" customWidth="1"/>
    <col min="1520" max="1520" width="8" style="62" bestFit="1" customWidth="1"/>
    <col min="1521" max="1521" width="9.75" style="62" bestFit="1" customWidth="1"/>
    <col min="1522" max="1736" width="7" style="62" customWidth="1"/>
    <col min="1737" max="1737" width="20.75" style="62" customWidth="1"/>
    <col min="1738" max="1738" width="1.75" style="62" customWidth="1"/>
    <col min="1739" max="1739" width="14.25" style="62" customWidth="1"/>
    <col min="1740" max="1740" width="4.25" style="62" customWidth="1"/>
    <col min="1741" max="1741" width="8.75" style="62" bestFit="1" customWidth="1"/>
    <col min="1742" max="1742" width="6.25" style="62" bestFit="1" customWidth="1"/>
    <col min="1743" max="1743" width="2.125" style="62" customWidth="1"/>
    <col min="1744" max="1744" width="8.5" style="62" bestFit="1" customWidth="1"/>
    <col min="1745" max="1745" width="6.25" style="62" bestFit="1" customWidth="1"/>
    <col min="1746" max="1746" width="2.25" style="62" customWidth="1"/>
    <col min="1747" max="1747" width="9.5" style="62" bestFit="1" customWidth="1"/>
    <col min="1748" max="1748" width="7" style="62" bestFit="1" customWidth="1"/>
    <col min="1749" max="1749" width="1.75" style="62" customWidth="1"/>
    <col min="1750" max="1750" width="8.75" style="62" bestFit="1" customWidth="1"/>
    <col min="1751" max="1751" width="2" style="62" customWidth="1"/>
    <col min="1752" max="1752" width="8.75" style="62" bestFit="1" customWidth="1"/>
    <col min="1753" max="1753" width="6.25" style="62" bestFit="1" customWidth="1"/>
    <col min="1754" max="1754" width="1.25" style="62" customWidth="1"/>
    <col min="1755" max="1755" width="8.5" style="62" bestFit="1" customWidth="1"/>
    <col min="1756" max="1756" width="6.25" style="62" bestFit="1" customWidth="1"/>
    <col min="1757" max="1757" width="1.75" style="62" customWidth="1"/>
    <col min="1758" max="1758" width="9.5" style="62" bestFit="1" customWidth="1"/>
    <col min="1759" max="1759" width="7" style="62" bestFit="1" customWidth="1"/>
    <col min="1760" max="1760" width="1.625" style="62" customWidth="1"/>
    <col min="1761" max="1761" width="7.25" style="62" bestFit="1" customWidth="1"/>
    <col min="1762" max="1762" width="2.625" style="62" customWidth="1"/>
    <col min="1763" max="1763" width="13.25" style="62" customWidth="1"/>
    <col min="1764" max="1764" width="6.25" style="62" bestFit="1" customWidth="1"/>
    <col min="1765" max="1765" width="1.75" style="62" customWidth="1"/>
    <col min="1766" max="1766" width="8.5" style="62"/>
    <col min="1767" max="1767" width="42.25" style="62" bestFit="1" customWidth="1"/>
    <col min="1768" max="1768" width="1.25" style="62" customWidth="1"/>
    <col min="1769" max="1769" width="11.625" style="62" customWidth="1"/>
    <col min="1770" max="1770" width="1.25" style="62" customWidth="1"/>
    <col min="1771" max="1771" width="9.625" style="62" customWidth="1"/>
    <col min="1772" max="1772" width="8.125" style="62" customWidth="1"/>
    <col min="1773" max="1773" width="1.25" style="62" customWidth="1"/>
    <col min="1774" max="1774" width="8.125" style="62" customWidth="1"/>
    <col min="1775" max="1775" width="1.625" style="62" customWidth="1"/>
    <col min="1776" max="1776" width="8" style="62" bestFit="1" customWidth="1"/>
    <col min="1777" max="1777" width="9.75" style="62" bestFit="1" customWidth="1"/>
    <col min="1778" max="1992" width="7" style="62" customWidth="1"/>
    <col min="1993" max="1993" width="20.75" style="62" customWidth="1"/>
    <col min="1994" max="1994" width="1.75" style="62" customWidth="1"/>
    <col min="1995" max="1995" width="14.25" style="62" customWidth="1"/>
    <col min="1996" max="1996" width="4.25" style="62" customWidth="1"/>
    <col min="1997" max="1997" width="8.75" style="62" bestFit="1" customWidth="1"/>
    <col min="1998" max="1998" width="6.25" style="62" bestFit="1" customWidth="1"/>
    <col min="1999" max="1999" width="2.125" style="62" customWidth="1"/>
    <col min="2000" max="2000" width="8.5" style="62" bestFit="1" customWidth="1"/>
    <col min="2001" max="2001" width="6.25" style="62" bestFit="1" customWidth="1"/>
    <col min="2002" max="2002" width="2.25" style="62" customWidth="1"/>
    <col min="2003" max="2003" width="9.5" style="62" bestFit="1" customWidth="1"/>
    <col min="2004" max="2004" width="7" style="62" bestFit="1" customWidth="1"/>
    <col min="2005" max="2005" width="1.75" style="62" customWidth="1"/>
    <col min="2006" max="2006" width="8.75" style="62" bestFit="1" customWidth="1"/>
    <col min="2007" max="2007" width="2" style="62" customWidth="1"/>
    <col min="2008" max="2008" width="8.75" style="62" bestFit="1" customWidth="1"/>
    <col min="2009" max="2009" width="6.25" style="62" bestFit="1" customWidth="1"/>
    <col min="2010" max="2010" width="1.25" style="62" customWidth="1"/>
    <col min="2011" max="2011" width="8.5" style="62" bestFit="1" customWidth="1"/>
    <col min="2012" max="2012" width="6.25" style="62" bestFit="1" customWidth="1"/>
    <col min="2013" max="2013" width="1.75" style="62" customWidth="1"/>
    <col min="2014" max="2014" width="9.5" style="62" bestFit="1" customWidth="1"/>
    <col min="2015" max="2015" width="7" style="62" bestFit="1" customWidth="1"/>
    <col min="2016" max="2016" width="1.625" style="62" customWidth="1"/>
    <col min="2017" max="2017" width="7.25" style="62" bestFit="1" customWidth="1"/>
    <col min="2018" max="2018" width="2.625" style="62" customWidth="1"/>
    <col min="2019" max="2019" width="13.25" style="62" customWidth="1"/>
    <col min="2020" max="2020" width="6.25" style="62" bestFit="1" customWidth="1"/>
    <col min="2021" max="2021" width="1.75" style="62" customWidth="1"/>
    <col min="2022" max="2022" width="8.5" style="62"/>
    <col min="2023" max="2023" width="42.25" style="62" bestFit="1" customWidth="1"/>
    <col min="2024" max="2024" width="1.25" style="62" customWidth="1"/>
    <col min="2025" max="2025" width="11.625" style="62" customWidth="1"/>
    <col min="2026" max="2026" width="1.25" style="62" customWidth="1"/>
    <col min="2027" max="2027" width="9.625" style="62" customWidth="1"/>
    <col min="2028" max="2028" width="8.125" style="62" customWidth="1"/>
    <col min="2029" max="2029" width="1.25" style="62" customWidth="1"/>
    <col min="2030" max="2030" width="8.125" style="62" customWidth="1"/>
    <col min="2031" max="2031" width="1.625" style="62" customWidth="1"/>
    <col min="2032" max="2032" width="8" style="62" bestFit="1" customWidth="1"/>
    <col min="2033" max="2033" width="9.75" style="62" bestFit="1" customWidth="1"/>
    <col min="2034" max="2248" width="7" style="62" customWidth="1"/>
    <col min="2249" max="2249" width="20.75" style="62" customWidth="1"/>
    <col min="2250" max="2250" width="1.75" style="62" customWidth="1"/>
    <col min="2251" max="2251" width="14.25" style="62" customWidth="1"/>
    <col min="2252" max="2252" width="4.25" style="62" customWidth="1"/>
    <col min="2253" max="2253" width="8.75" style="62" bestFit="1" customWidth="1"/>
    <col min="2254" max="2254" width="6.25" style="62" bestFit="1" customWidth="1"/>
    <col min="2255" max="2255" width="2.125" style="62" customWidth="1"/>
    <col min="2256" max="2256" width="8.5" style="62" bestFit="1" customWidth="1"/>
    <col min="2257" max="2257" width="6.25" style="62" bestFit="1" customWidth="1"/>
    <col min="2258" max="2258" width="2.25" style="62" customWidth="1"/>
    <col min="2259" max="2259" width="9.5" style="62" bestFit="1" customWidth="1"/>
    <col min="2260" max="2260" width="7" style="62" bestFit="1" customWidth="1"/>
    <col min="2261" max="2261" width="1.75" style="62" customWidth="1"/>
    <col min="2262" max="2262" width="8.75" style="62" bestFit="1" customWidth="1"/>
    <col min="2263" max="2263" width="2" style="62" customWidth="1"/>
    <col min="2264" max="2264" width="8.75" style="62" bestFit="1" customWidth="1"/>
    <col min="2265" max="2265" width="6.25" style="62" bestFit="1" customWidth="1"/>
    <col min="2266" max="2266" width="1.25" style="62" customWidth="1"/>
    <col min="2267" max="2267" width="8.5" style="62" bestFit="1" customWidth="1"/>
    <col min="2268" max="2268" width="6.25" style="62" bestFit="1" customWidth="1"/>
    <col min="2269" max="2269" width="1.75" style="62" customWidth="1"/>
    <col min="2270" max="2270" width="9.5" style="62" bestFit="1" customWidth="1"/>
    <col min="2271" max="2271" width="7" style="62" bestFit="1" customWidth="1"/>
    <col min="2272" max="2272" width="1.625" style="62" customWidth="1"/>
    <col min="2273" max="2273" width="7.25" style="62" bestFit="1" customWidth="1"/>
    <col min="2274" max="2274" width="2.625" style="62" customWidth="1"/>
    <col min="2275" max="2275" width="13.25" style="62" customWidth="1"/>
    <col min="2276" max="2276" width="6.25" style="62" bestFit="1" customWidth="1"/>
    <col min="2277" max="2277" width="1.75" style="62" customWidth="1"/>
    <col min="2278" max="2278" width="8.5" style="62"/>
    <col min="2279" max="2279" width="42.25" style="62" bestFit="1" customWidth="1"/>
    <col min="2280" max="2280" width="1.25" style="62" customWidth="1"/>
    <col min="2281" max="2281" width="11.625" style="62" customWidth="1"/>
    <col min="2282" max="2282" width="1.25" style="62" customWidth="1"/>
    <col min="2283" max="2283" width="9.625" style="62" customWidth="1"/>
    <col min="2284" max="2284" width="8.125" style="62" customWidth="1"/>
    <col min="2285" max="2285" width="1.25" style="62" customWidth="1"/>
    <col min="2286" max="2286" width="8.125" style="62" customWidth="1"/>
    <col min="2287" max="2287" width="1.625" style="62" customWidth="1"/>
    <col min="2288" max="2288" width="8" style="62" bestFit="1" customWidth="1"/>
    <col min="2289" max="2289" width="9.75" style="62" bestFit="1" customWidth="1"/>
    <col min="2290" max="2504" width="7" style="62" customWidth="1"/>
    <col min="2505" max="2505" width="20.75" style="62" customWidth="1"/>
    <col min="2506" max="2506" width="1.75" style="62" customWidth="1"/>
    <col min="2507" max="2507" width="14.25" style="62" customWidth="1"/>
    <col min="2508" max="2508" width="4.25" style="62" customWidth="1"/>
    <col min="2509" max="2509" width="8.75" style="62" bestFit="1" customWidth="1"/>
    <col min="2510" max="2510" width="6.25" style="62" bestFit="1" customWidth="1"/>
    <col min="2511" max="2511" width="2.125" style="62" customWidth="1"/>
    <col min="2512" max="2512" width="8.5" style="62" bestFit="1" customWidth="1"/>
    <col min="2513" max="2513" width="6.25" style="62" bestFit="1" customWidth="1"/>
    <col min="2514" max="2514" width="2.25" style="62" customWidth="1"/>
    <col min="2515" max="2515" width="9.5" style="62" bestFit="1" customWidth="1"/>
    <col min="2516" max="2516" width="7" style="62" bestFit="1" customWidth="1"/>
    <col min="2517" max="2517" width="1.75" style="62" customWidth="1"/>
    <col min="2518" max="2518" width="8.75" style="62" bestFit="1" customWidth="1"/>
    <col min="2519" max="2519" width="2" style="62" customWidth="1"/>
    <col min="2520" max="2520" width="8.75" style="62" bestFit="1" customWidth="1"/>
    <col min="2521" max="2521" width="6.25" style="62" bestFit="1" customWidth="1"/>
    <col min="2522" max="2522" width="1.25" style="62" customWidth="1"/>
    <col min="2523" max="2523" width="8.5" style="62" bestFit="1" customWidth="1"/>
    <col min="2524" max="2524" width="6.25" style="62" bestFit="1" customWidth="1"/>
    <col min="2525" max="2525" width="1.75" style="62" customWidth="1"/>
    <col min="2526" max="2526" width="9.5" style="62" bestFit="1" customWidth="1"/>
    <col min="2527" max="2527" width="7" style="62" bestFit="1" customWidth="1"/>
    <col min="2528" max="2528" width="1.625" style="62" customWidth="1"/>
    <col min="2529" max="2529" width="7.25" style="62" bestFit="1" customWidth="1"/>
    <col min="2530" max="2530" width="2.625" style="62" customWidth="1"/>
    <col min="2531" max="2531" width="13.25" style="62" customWidth="1"/>
    <col min="2532" max="2532" width="6.25" style="62" bestFit="1" customWidth="1"/>
    <col min="2533" max="2533" width="1.75" style="62" customWidth="1"/>
    <col min="2534" max="2534" width="8.5" style="62"/>
    <col min="2535" max="2535" width="42.25" style="62" bestFit="1" customWidth="1"/>
    <col min="2536" max="2536" width="1.25" style="62" customWidth="1"/>
    <col min="2537" max="2537" width="11.625" style="62" customWidth="1"/>
    <col min="2538" max="2538" width="1.25" style="62" customWidth="1"/>
    <col min="2539" max="2539" width="9.625" style="62" customWidth="1"/>
    <col min="2540" max="2540" width="8.125" style="62" customWidth="1"/>
    <col min="2541" max="2541" width="1.25" style="62" customWidth="1"/>
    <col min="2542" max="2542" width="8.125" style="62" customWidth="1"/>
    <col min="2543" max="2543" width="1.625" style="62" customWidth="1"/>
    <col min="2544" max="2544" width="8" style="62" bestFit="1" customWidth="1"/>
    <col min="2545" max="2545" width="9.75" style="62" bestFit="1" customWidth="1"/>
    <col min="2546" max="2760" width="7" style="62" customWidth="1"/>
    <col min="2761" max="2761" width="20.75" style="62" customWidth="1"/>
    <col min="2762" max="2762" width="1.75" style="62" customWidth="1"/>
    <col min="2763" max="2763" width="14.25" style="62" customWidth="1"/>
    <col min="2764" max="2764" width="4.25" style="62" customWidth="1"/>
    <col min="2765" max="2765" width="8.75" style="62" bestFit="1" customWidth="1"/>
    <col min="2766" max="2766" width="6.25" style="62" bestFit="1" customWidth="1"/>
    <col min="2767" max="2767" width="2.125" style="62" customWidth="1"/>
    <col min="2768" max="2768" width="8.5" style="62" bestFit="1" customWidth="1"/>
    <col min="2769" max="2769" width="6.25" style="62" bestFit="1" customWidth="1"/>
    <col min="2770" max="2770" width="2.25" style="62" customWidth="1"/>
    <col min="2771" max="2771" width="9.5" style="62" bestFit="1" customWidth="1"/>
    <col min="2772" max="2772" width="7" style="62" bestFit="1" customWidth="1"/>
    <col min="2773" max="2773" width="1.75" style="62" customWidth="1"/>
    <col min="2774" max="2774" width="8.75" style="62" bestFit="1" customWidth="1"/>
    <col min="2775" max="2775" width="2" style="62" customWidth="1"/>
    <col min="2776" max="2776" width="8.75" style="62" bestFit="1" customWidth="1"/>
    <col min="2777" max="2777" width="6.25" style="62" bestFit="1" customWidth="1"/>
    <col min="2778" max="2778" width="1.25" style="62" customWidth="1"/>
    <col min="2779" max="2779" width="8.5" style="62" bestFit="1" customWidth="1"/>
    <col min="2780" max="2780" width="6.25" style="62" bestFit="1" customWidth="1"/>
    <col min="2781" max="2781" width="1.75" style="62" customWidth="1"/>
    <col min="2782" max="2782" width="9.5" style="62" bestFit="1" customWidth="1"/>
    <col min="2783" max="2783" width="7" style="62" bestFit="1" customWidth="1"/>
    <col min="2784" max="2784" width="1.625" style="62" customWidth="1"/>
    <col min="2785" max="2785" width="7.25" style="62" bestFit="1" customWidth="1"/>
    <col min="2786" max="2786" width="2.625" style="62" customWidth="1"/>
    <col min="2787" max="2787" width="13.25" style="62" customWidth="1"/>
    <col min="2788" max="2788" width="6.25" style="62" bestFit="1" customWidth="1"/>
    <col min="2789" max="2789" width="1.75" style="62" customWidth="1"/>
    <col min="2790" max="2790" width="8.5" style="62"/>
    <col min="2791" max="2791" width="42.25" style="62" bestFit="1" customWidth="1"/>
    <col min="2792" max="2792" width="1.25" style="62" customWidth="1"/>
    <col min="2793" max="2793" width="11.625" style="62" customWidth="1"/>
    <col min="2794" max="2794" width="1.25" style="62" customWidth="1"/>
    <col min="2795" max="2795" width="9.625" style="62" customWidth="1"/>
    <col min="2796" max="2796" width="8.125" style="62" customWidth="1"/>
    <col min="2797" max="2797" width="1.25" style="62" customWidth="1"/>
    <col min="2798" max="2798" width="8.125" style="62" customWidth="1"/>
    <col min="2799" max="2799" width="1.625" style="62" customWidth="1"/>
    <col min="2800" max="2800" width="8" style="62" bestFit="1" customWidth="1"/>
    <col min="2801" max="2801" width="9.75" style="62" bestFit="1" customWidth="1"/>
    <col min="2802" max="3016" width="7" style="62" customWidth="1"/>
    <col min="3017" max="3017" width="20.75" style="62" customWidth="1"/>
    <col min="3018" max="3018" width="1.75" style="62" customWidth="1"/>
    <col min="3019" max="3019" width="14.25" style="62" customWidth="1"/>
    <col min="3020" max="3020" width="4.25" style="62" customWidth="1"/>
    <col min="3021" max="3021" width="8.75" style="62" bestFit="1" customWidth="1"/>
    <col min="3022" max="3022" width="6.25" style="62" bestFit="1" customWidth="1"/>
    <col min="3023" max="3023" width="2.125" style="62" customWidth="1"/>
    <col min="3024" max="3024" width="8.5" style="62" bestFit="1" customWidth="1"/>
    <col min="3025" max="3025" width="6.25" style="62" bestFit="1" customWidth="1"/>
    <col min="3026" max="3026" width="2.25" style="62" customWidth="1"/>
    <col min="3027" max="3027" width="9.5" style="62" bestFit="1" customWidth="1"/>
    <col min="3028" max="3028" width="7" style="62" bestFit="1" customWidth="1"/>
    <col min="3029" max="3029" width="1.75" style="62" customWidth="1"/>
    <col min="3030" max="3030" width="8.75" style="62" bestFit="1" customWidth="1"/>
    <col min="3031" max="3031" width="2" style="62" customWidth="1"/>
    <col min="3032" max="3032" width="8.75" style="62" bestFit="1" customWidth="1"/>
    <col min="3033" max="3033" width="6.25" style="62" bestFit="1" customWidth="1"/>
    <col min="3034" max="3034" width="1.25" style="62" customWidth="1"/>
    <col min="3035" max="3035" width="8.5" style="62" bestFit="1" customWidth="1"/>
    <col min="3036" max="3036" width="6.25" style="62" bestFit="1" customWidth="1"/>
    <col min="3037" max="3037" width="1.75" style="62" customWidth="1"/>
    <col min="3038" max="3038" width="9.5" style="62" bestFit="1" customWidth="1"/>
    <col min="3039" max="3039" width="7" style="62" bestFit="1" customWidth="1"/>
    <col min="3040" max="3040" width="1.625" style="62" customWidth="1"/>
    <col min="3041" max="3041" width="7.25" style="62" bestFit="1" customWidth="1"/>
    <col min="3042" max="3042" width="2.625" style="62" customWidth="1"/>
    <col min="3043" max="3043" width="13.25" style="62" customWidth="1"/>
    <col min="3044" max="3044" width="6.25" style="62" bestFit="1" customWidth="1"/>
    <col min="3045" max="3045" width="1.75" style="62" customWidth="1"/>
    <col min="3046" max="3046" width="8.5" style="62"/>
    <col min="3047" max="3047" width="42.25" style="62" bestFit="1" customWidth="1"/>
    <col min="3048" max="3048" width="1.25" style="62" customWidth="1"/>
    <col min="3049" max="3049" width="11.625" style="62" customWidth="1"/>
    <col min="3050" max="3050" width="1.25" style="62" customWidth="1"/>
    <col min="3051" max="3051" width="9.625" style="62" customWidth="1"/>
    <col min="3052" max="3052" width="8.125" style="62" customWidth="1"/>
    <col min="3053" max="3053" width="1.25" style="62" customWidth="1"/>
    <col min="3054" max="3054" width="8.125" style="62" customWidth="1"/>
    <col min="3055" max="3055" width="1.625" style="62" customWidth="1"/>
    <col min="3056" max="3056" width="8" style="62" bestFit="1" customWidth="1"/>
    <col min="3057" max="3057" width="9.75" style="62" bestFit="1" customWidth="1"/>
    <col min="3058" max="3272" width="7" style="62" customWidth="1"/>
    <col min="3273" max="3273" width="20.75" style="62" customWidth="1"/>
    <col min="3274" max="3274" width="1.75" style="62" customWidth="1"/>
    <col min="3275" max="3275" width="14.25" style="62" customWidth="1"/>
    <col min="3276" max="3276" width="4.25" style="62" customWidth="1"/>
    <col min="3277" max="3277" width="8.75" style="62" bestFit="1" customWidth="1"/>
    <col min="3278" max="3278" width="6.25" style="62" bestFit="1" customWidth="1"/>
    <col min="3279" max="3279" width="2.125" style="62" customWidth="1"/>
    <col min="3280" max="3280" width="8.5" style="62" bestFit="1" customWidth="1"/>
    <col min="3281" max="3281" width="6.25" style="62" bestFit="1" customWidth="1"/>
    <col min="3282" max="3282" width="2.25" style="62" customWidth="1"/>
    <col min="3283" max="3283" width="9.5" style="62" bestFit="1" customWidth="1"/>
    <col min="3284" max="3284" width="7" style="62" bestFit="1" customWidth="1"/>
    <col min="3285" max="3285" width="1.75" style="62" customWidth="1"/>
    <col min="3286" max="3286" width="8.75" style="62" bestFit="1" customWidth="1"/>
    <col min="3287" max="3287" width="2" style="62" customWidth="1"/>
    <col min="3288" max="3288" width="8.75" style="62" bestFit="1" customWidth="1"/>
    <col min="3289" max="3289" width="6.25" style="62" bestFit="1" customWidth="1"/>
    <col min="3290" max="3290" width="1.25" style="62" customWidth="1"/>
    <col min="3291" max="3291" width="8.5" style="62" bestFit="1" customWidth="1"/>
    <col min="3292" max="3292" width="6.25" style="62" bestFit="1" customWidth="1"/>
    <col min="3293" max="3293" width="1.75" style="62" customWidth="1"/>
    <col min="3294" max="3294" width="9.5" style="62" bestFit="1" customWidth="1"/>
    <col min="3295" max="3295" width="7" style="62" bestFit="1" customWidth="1"/>
    <col min="3296" max="3296" width="1.625" style="62" customWidth="1"/>
    <col min="3297" max="3297" width="7.25" style="62" bestFit="1" customWidth="1"/>
    <col min="3298" max="3298" width="2.625" style="62" customWidth="1"/>
    <col min="3299" max="3299" width="13.25" style="62" customWidth="1"/>
    <col min="3300" max="3300" width="6.25" style="62" bestFit="1" customWidth="1"/>
    <col min="3301" max="3301" width="1.75" style="62" customWidth="1"/>
    <col min="3302" max="3302" width="8.5" style="62"/>
    <col min="3303" max="3303" width="42.25" style="62" bestFit="1" customWidth="1"/>
    <col min="3304" max="3304" width="1.25" style="62" customWidth="1"/>
    <col min="3305" max="3305" width="11.625" style="62" customWidth="1"/>
    <col min="3306" max="3306" width="1.25" style="62" customWidth="1"/>
    <col min="3307" max="3307" width="9.625" style="62" customWidth="1"/>
    <col min="3308" max="3308" width="8.125" style="62" customWidth="1"/>
    <col min="3309" max="3309" width="1.25" style="62" customWidth="1"/>
    <col min="3310" max="3310" width="8.125" style="62" customWidth="1"/>
    <col min="3311" max="3311" width="1.625" style="62" customWidth="1"/>
    <col min="3312" max="3312" width="8" style="62" bestFit="1" customWidth="1"/>
    <col min="3313" max="3313" width="9.75" style="62" bestFit="1" customWidth="1"/>
    <col min="3314" max="3528" width="7" style="62" customWidth="1"/>
    <col min="3529" max="3529" width="20.75" style="62" customWidth="1"/>
    <col min="3530" max="3530" width="1.75" style="62" customWidth="1"/>
    <col min="3531" max="3531" width="14.25" style="62" customWidth="1"/>
    <col min="3532" max="3532" width="4.25" style="62" customWidth="1"/>
    <col min="3533" max="3533" width="8.75" style="62" bestFit="1" customWidth="1"/>
    <col min="3534" max="3534" width="6.25" style="62" bestFit="1" customWidth="1"/>
    <col min="3535" max="3535" width="2.125" style="62" customWidth="1"/>
    <col min="3536" max="3536" width="8.5" style="62" bestFit="1" customWidth="1"/>
    <col min="3537" max="3537" width="6.25" style="62" bestFit="1" customWidth="1"/>
    <col min="3538" max="3538" width="2.25" style="62" customWidth="1"/>
    <col min="3539" max="3539" width="9.5" style="62" bestFit="1" customWidth="1"/>
    <col min="3540" max="3540" width="7" style="62" bestFit="1" customWidth="1"/>
    <col min="3541" max="3541" width="1.75" style="62" customWidth="1"/>
    <col min="3542" max="3542" width="8.75" style="62" bestFit="1" customWidth="1"/>
    <col min="3543" max="3543" width="2" style="62" customWidth="1"/>
    <col min="3544" max="3544" width="8.75" style="62" bestFit="1" customWidth="1"/>
    <col min="3545" max="3545" width="6.25" style="62" bestFit="1" customWidth="1"/>
    <col min="3546" max="3546" width="1.25" style="62" customWidth="1"/>
    <col min="3547" max="3547" width="8.5" style="62" bestFit="1" customWidth="1"/>
    <col min="3548" max="3548" width="6.25" style="62" bestFit="1" customWidth="1"/>
    <col min="3549" max="3549" width="1.75" style="62" customWidth="1"/>
    <col min="3550" max="3550" width="9.5" style="62" bestFit="1" customWidth="1"/>
    <col min="3551" max="3551" width="7" style="62" bestFit="1" customWidth="1"/>
    <col min="3552" max="3552" width="1.625" style="62" customWidth="1"/>
    <col min="3553" max="3553" width="7.25" style="62" bestFit="1" customWidth="1"/>
    <col min="3554" max="3554" width="2.625" style="62" customWidth="1"/>
    <col min="3555" max="3555" width="13.25" style="62" customWidth="1"/>
    <col min="3556" max="3556" width="6.25" style="62" bestFit="1" customWidth="1"/>
    <col min="3557" max="3557" width="1.75" style="62" customWidth="1"/>
    <col min="3558" max="3558" width="8.5" style="62"/>
    <col min="3559" max="3559" width="42.25" style="62" bestFit="1" customWidth="1"/>
    <col min="3560" max="3560" width="1.25" style="62" customWidth="1"/>
    <col min="3561" max="3561" width="11.625" style="62" customWidth="1"/>
    <col min="3562" max="3562" width="1.25" style="62" customWidth="1"/>
    <col min="3563" max="3563" width="9.625" style="62" customWidth="1"/>
    <col min="3564" max="3564" width="8.125" style="62" customWidth="1"/>
    <col min="3565" max="3565" width="1.25" style="62" customWidth="1"/>
    <col min="3566" max="3566" width="8.125" style="62" customWidth="1"/>
    <col min="3567" max="3567" width="1.625" style="62" customWidth="1"/>
    <col min="3568" max="3568" width="8" style="62" bestFit="1" customWidth="1"/>
    <col min="3569" max="3569" width="9.75" style="62" bestFit="1" customWidth="1"/>
    <col min="3570" max="3784" width="7" style="62" customWidth="1"/>
    <col min="3785" max="3785" width="20.75" style="62" customWidth="1"/>
    <col min="3786" max="3786" width="1.75" style="62" customWidth="1"/>
    <col min="3787" max="3787" width="14.25" style="62" customWidth="1"/>
    <col min="3788" max="3788" width="4.25" style="62" customWidth="1"/>
    <col min="3789" max="3789" width="8.75" style="62" bestFit="1" customWidth="1"/>
    <col min="3790" max="3790" width="6.25" style="62" bestFit="1" customWidth="1"/>
    <col min="3791" max="3791" width="2.125" style="62" customWidth="1"/>
    <col min="3792" max="3792" width="8.5" style="62" bestFit="1" customWidth="1"/>
    <col min="3793" max="3793" width="6.25" style="62" bestFit="1" customWidth="1"/>
    <col min="3794" max="3794" width="2.25" style="62" customWidth="1"/>
    <col min="3795" max="3795" width="9.5" style="62" bestFit="1" customWidth="1"/>
    <col min="3796" max="3796" width="7" style="62" bestFit="1" customWidth="1"/>
    <col min="3797" max="3797" width="1.75" style="62" customWidth="1"/>
    <col min="3798" max="3798" width="8.75" style="62" bestFit="1" customWidth="1"/>
    <col min="3799" max="3799" width="2" style="62" customWidth="1"/>
    <col min="3800" max="3800" width="8.75" style="62" bestFit="1" customWidth="1"/>
    <col min="3801" max="3801" width="6.25" style="62" bestFit="1" customWidth="1"/>
    <col min="3802" max="3802" width="1.25" style="62" customWidth="1"/>
    <col min="3803" max="3803" width="8.5" style="62" bestFit="1" customWidth="1"/>
    <col min="3804" max="3804" width="6.25" style="62" bestFit="1" customWidth="1"/>
    <col min="3805" max="3805" width="1.75" style="62" customWidth="1"/>
    <col min="3806" max="3806" width="9.5" style="62" bestFit="1" customWidth="1"/>
    <col min="3807" max="3807" width="7" style="62" bestFit="1" customWidth="1"/>
    <col min="3808" max="3808" width="1.625" style="62" customWidth="1"/>
    <col min="3809" max="3809" width="7.25" style="62" bestFit="1" customWidth="1"/>
    <col min="3810" max="3810" width="2.625" style="62" customWidth="1"/>
    <col min="3811" max="3811" width="13.25" style="62" customWidth="1"/>
    <col min="3812" max="3812" width="6.25" style="62" bestFit="1" customWidth="1"/>
    <col min="3813" max="3813" width="1.75" style="62" customWidth="1"/>
    <col min="3814" max="3814" width="8.5" style="62"/>
    <col min="3815" max="3815" width="42.25" style="62" bestFit="1" customWidth="1"/>
    <col min="3816" max="3816" width="1.25" style="62" customWidth="1"/>
    <col min="3817" max="3817" width="11.625" style="62" customWidth="1"/>
    <col min="3818" max="3818" width="1.25" style="62" customWidth="1"/>
    <col min="3819" max="3819" width="9.625" style="62" customWidth="1"/>
    <col min="3820" max="3820" width="8.125" style="62" customWidth="1"/>
    <col min="3821" max="3821" width="1.25" style="62" customWidth="1"/>
    <col min="3822" max="3822" width="8.125" style="62" customWidth="1"/>
    <col min="3823" max="3823" width="1.625" style="62" customWidth="1"/>
    <col min="3824" max="3824" width="8" style="62" bestFit="1" customWidth="1"/>
    <col min="3825" max="3825" width="9.75" style="62" bestFit="1" customWidth="1"/>
    <col min="3826" max="4040" width="7" style="62" customWidth="1"/>
    <col min="4041" max="4041" width="20.75" style="62" customWidth="1"/>
    <col min="4042" max="4042" width="1.75" style="62" customWidth="1"/>
    <col min="4043" max="4043" width="14.25" style="62" customWidth="1"/>
    <col min="4044" max="4044" width="4.25" style="62" customWidth="1"/>
    <col min="4045" max="4045" width="8.75" style="62" bestFit="1" customWidth="1"/>
    <col min="4046" max="4046" width="6.25" style="62" bestFit="1" customWidth="1"/>
    <col min="4047" max="4047" width="2.125" style="62" customWidth="1"/>
    <col min="4048" max="4048" width="8.5" style="62" bestFit="1" customWidth="1"/>
    <col min="4049" max="4049" width="6.25" style="62" bestFit="1" customWidth="1"/>
    <col min="4050" max="4050" width="2.25" style="62" customWidth="1"/>
    <col min="4051" max="4051" width="9.5" style="62" bestFit="1" customWidth="1"/>
    <col min="4052" max="4052" width="7" style="62" bestFit="1" customWidth="1"/>
    <col min="4053" max="4053" width="1.75" style="62" customWidth="1"/>
    <col min="4054" max="4054" width="8.75" style="62" bestFit="1" customWidth="1"/>
    <col min="4055" max="4055" width="2" style="62" customWidth="1"/>
    <col min="4056" max="4056" width="8.75" style="62" bestFit="1" customWidth="1"/>
    <col min="4057" max="4057" width="6.25" style="62" bestFit="1" customWidth="1"/>
    <col min="4058" max="4058" width="1.25" style="62" customWidth="1"/>
    <col min="4059" max="4059" width="8.5" style="62" bestFit="1" customWidth="1"/>
    <col min="4060" max="4060" width="6.25" style="62" bestFit="1" customWidth="1"/>
    <col min="4061" max="4061" width="1.75" style="62" customWidth="1"/>
    <col min="4062" max="4062" width="9.5" style="62" bestFit="1" customWidth="1"/>
    <col min="4063" max="4063" width="7" style="62" bestFit="1" customWidth="1"/>
    <col min="4064" max="4064" width="1.625" style="62" customWidth="1"/>
    <col min="4065" max="4065" width="7.25" style="62" bestFit="1" customWidth="1"/>
    <col min="4066" max="4066" width="2.625" style="62" customWidth="1"/>
    <col min="4067" max="4067" width="13.25" style="62" customWidth="1"/>
    <col min="4068" max="4068" width="6.25" style="62" bestFit="1" customWidth="1"/>
    <col min="4069" max="4069" width="1.75" style="62" customWidth="1"/>
    <col min="4070" max="4070" width="8.5" style="62"/>
    <col min="4071" max="4071" width="42.25" style="62" bestFit="1" customWidth="1"/>
    <col min="4072" max="4072" width="1.25" style="62" customWidth="1"/>
    <col min="4073" max="4073" width="11.625" style="62" customWidth="1"/>
    <col min="4074" max="4074" width="1.25" style="62" customWidth="1"/>
    <col min="4075" max="4075" width="9.625" style="62" customWidth="1"/>
    <col min="4076" max="4076" width="8.125" style="62" customWidth="1"/>
    <col min="4077" max="4077" width="1.25" style="62" customWidth="1"/>
    <col min="4078" max="4078" width="8.125" style="62" customWidth="1"/>
    <col min="4079" max="4079" width="1.625" style="62" customWidth="1"/>
    <col min="4080" max="4080" width="8" style="62" bestFit="1" customWidth="1"/>
    <col min="4081" max="4081" width="9.75" style="62" bestFit="1" customWidth="1"/>
    <col min="4082" max="4296" width="7" style="62" customWidth="1"/>
    <col min="4297" max="4297" width="20.75" style="62" customWidth="1"/>
    <col min="4298" max="4298" width="1.75" style="62" customWidth="1"/>
    <col min="4299" max="4299" width="14.25" style="62" customWidth="1"/>
    <col min="4300" max="4300" width="4.25" style="62" customWidth="1"/>
    <col min="4301" max="4301" width="8.75" style="62" bestFit="1" customWidth="1"/>
    <col min="4302" max="4302" width="6.25" style="62" bestFit="1" customWidth="1"/>
    <col min="4303" max="4303" width="2.125" style="62" customWidth="1"/>
    <col min="4304" max="4304" width="8.5" style="62" bestFit="1" customWidth="1"/>
    <col min="4305" max="4305" width="6.25" style="62" bestFit="1" customWidth="1"/>
    <col min="4306" max="4306" width="2.25" style="62" customWidth="1"/>
    <col min="4307" max="4307" width="9.5" style="62" bestFit="1" customWidth="1"/>
    <col min="4308" max="4308" width="7" style="62" bestFit="1" customWidth="1"/>
    <col min="4309" max="4309" width="1.75" style="62" customWidth="1"/>
    <col min="4310" max="4310" width="8.75" style="62" bestFit="1" customWidth="1"/>
    <col min="4311" max="4311" width="2" style="62" customWidth="1"/>
    <col min="4312" max="4312" width="8.75" style="62" bestFit="1" customWidth="1"/>
    <col min="4313" max="4313" width="6.25" style="62" bestFit="1" customWidth="1"/>
    <col min="4314" max="4314" width="1.25" style="62" customWidth="1"/>
    <col min="4315" max="4315" width="8.5" style="62" bestFit="1" customWidth="1"/>
    <col min="4316" max="4316" width="6.25" style="62" bestFit="1" customWidth="1"/>
    <col min="4317" max="4317" width="1.75" style="62" customWidth="1"/>
    <col min="4318" max="4318" width="9.5" style="62" bestFit="1" customWidth="1"/>
    <col min="4319" max="4319" width="7" style="62" bestFit="1" customWidth="1"/>
    <col min="4320" max="4320" width="1.625" style="62" customWidth="1"/>
    <col min="4321" max="4321" width="7.25" style="62" bestFit="1" customWidth="1"/>
    <col min="4322" max="4322" width="2.625" style="62" customWidth="1"/>
    <col min="4323" max="4323" width="13.25" style="62" customWidth="1"/>
    <col min="4324" max="4324" width="6.25" style="62" bestFit="1" customWidth="1"/>
    <col min="4325" max="4325" width="1.75" style="62" customWidth="1"/>
    <col min="4326" max="4326" width="8.5" style="62"/>
    <col min="4327" max="4327" width="42.25" style="62" bestFit="1" customWidth="1"/>
    <col min="4328" max="4328" width="1.25" style="62" customWidth="1"/>
    <col min="4329" max="4329" width="11.625" style="62" customWidth="1"/>
    <col min="4330" max="4330" width="1.25" style="62" customWidth="1"/>
    <col min="4331" max="4331" width="9.625" style="62" customWidth="1"/>
    <col min="4332" max="4332" width="8.125" style="62" customWidth="1"/>
    <col min="4333" max="4333" width="1.25" style="62" customWidth="1"/>
    <col min="4334" max="4334" width="8.125" style="62" customWidth="1"/>
    <col min="4335" max="4335" width="1.625" style="62" customWidth="1"/>
    <col min="4336" max="4336" width="8" style="62" bestFit="1" customWidth="1"/>
    <col min="4337" max="4337" width="9.75" style="62" bestFit="1" customWidth="1"/>
    <col min="4338" max="4552" width="7" style="62" customWidth="1"/>
    <col min="4553" max="4553" width="20.75" style="62" customWidth="1"/>
    <col min="4554" max="4554" width="1.75" style="62" customWidth="1"/>
    <col min="4555" max="4555" width="14.25" style="62" customWidth="1"/>
    <col min="4556" max="4556" width="4.25" style="62" customWidth="1"/>
    <col min="4557" max="4557" width="8.75" style="62" bestFit="1" customWidth="1"/>
    <col min="4558" max="4558" width="6.25" style="62" bestFit="1" customWidth="1"/>
    <col min="4559" max="4559" width="2.125" style="62" customWidth="1"/>
    <col min="4560" max="4560" width="8.5" style="62" bestFit="1" customWidth="1"/>
    <col min="4561" max="4561" width="6.25" style="62" bestFit="1" customWidth="1"/>
    <col min="4562" max="4562" width="2.25" style="62" customWidth="1"/>
    <col min="4563" max="4563" width="9.5" style="62" bestFit="1" customWidth="1"/>
    <col min="4564" max="4564" width="7" style="62" bestFit="1" customWidth="1"/>
    <col min="4565" max="4565" width="1.75" style="62" customWidth="1"/>
    <col min="4566" max="4566" width="8.75" style="62" bestFit="1" customWidth="1"/>
    <col min="4567" max="4567" width="2" style="62" customWidth="1"/>
    <col min="4568" max="4568" width="8.75" style="62" bestFit="1" customWidth="1"/>
    <col min="4569" max="4569" width="6.25" style="62" bestFit="1" customWidth="1"/>
    <col min="4570" max="4570" width="1.25" style="62" customWidth="1"/>
    <col min="4571" max="4571" width="8.5" style="62" bestFit="1" customWidth="1"/>
    <col min="4572" max="4572" width="6.25" style="62" bestFit="1" customWidth="1"/>
    <col min="4573" max="4573" width="1.75" style="62" customWidth="1"/>
    <col min="4574" max="4574" width="9.5" style="62" bestFit="1" customWidth="1"/>
    <col min="4575" max="4575" width="7" style="62" bestFit="1" customWidth="1"/>
    <col min="4576" max="4576" width="1.625" style="62" customWidth="1"/>
    <col min="4577" max="4577" width="7.25" style="62" bestFit="1" customWidth="1"/>
    <col min="4578" max="4578" width="2.625" style="62" customWidth="1"/>
    <col min="4579" max="4579" width="13.25" style="62" customWidth="1"/>
    <col min="4580" max="4580" width="6.25" style="62" bestFit="1" customWidth="1"/>
    <col min="4581" max="4581" width="1.75" style="62" customWidth="1"/>
    <col min="4582" max="4582" width="8.5" style="62"/>
    <col min="4583" max="4583" width="42.25" style="62" bestFit="1" customWidth="1"/>
    <col min="4584" max="4584" width="1.25" style="62" customWidth="1"/>
    <col min="4585" max="4585" width="11.625" style="62" customWidth="1"/>
    <col min="4586" max="4586" width="1.25" style="62" customWidth="1"/>
    <col min="4587" max="4587" width="9.625" style="62" customWidth="1"/>
    <col min="4588" max="4588" width="8.125" style="62" customWidth="1"/>
    <col min="4589" max="4589" width="1.25" style="62" customWidth="1"/>
    <col min="4590" max="4590" width="8.125" style="62" customWidth="1"/>
    <col min="4591" max="4591" width="1.625" style="62" customWidth="1"/>
    <col min="4592" max="4592" width="8" style="62" bestFit="1" customWidth="1"/>
    <col min="4593" max="4593" width="9.75" style="62" bestFit="1" customWidth="1"/>
    <col min="4594" max="4808" width="7" style="62" customWidth="1"/>
    <col min="4809" max="4809" width="20.75" style="62" customWidth="1"/>
    <col min="4810" max="4810" width="1.75" style="62" customWidth="1"/>
    <col min="4811" max="4811" width="14.25" style="62" customWidth="1"/>
    <col min="4812" max="4812" width="4.25" style="62" customWidth="1"/>
    <col min="4813" max="4813" width="8.75" style="62" bestFit="1" customWidth="1"/>
    <col min="4814" max="4814" width="6.25" style="62" bestFit="1" customWidth="1"/>
    <col min="4815" max="4815" width="2.125" style="62" customWidth="1"/>
    <col min="4816" max="4816" width="8.5" style="62" bestFit="1" customWidth="1"/>
    <col min="4817" max="4817" width="6.25" style="62" bestFit="1" customWidth="1"/>
    <col min="4818" max="4818" width="2.25" style="62" customWidth="1"/>
    <col min="4819" max="4819" width="9.5" style="62" bestFit="1" customWidth="1"/>
    <col min="4820" max="4820" width="7" style="62" bestFit="1" customWidth="1"/>
    <col min="4821" max="4821" width="1.75" style="62" customWidth="1"/>
    <col min="4822" max="4822" width="8.75" style="62" bestFit="1" customWidth="1"/>
    <col min="4823" max="4823" width="2" style="62" customWidth="1"/>
    <col min="4824" max="4824" width="8.75" style="62" bestFit="1" customWidth="1"/>
    <col min="4825" max="4825" width="6.25" style="62" bestFit="1" customWidth="1"/>
    <col min="4826" max="4826" width="1.25" style="62" customWidth="1"/>
    <col min="4827" max="4827" width="8.5" style="62" bestFit="1" customWidth="1"/>
    <col min="4828" max="4828" width="6.25" style="62" bestFit="1" customWidth="1"/>
    <col min="4829" max="4829" width="1.75" style="62" customWidth="1"/>
    <col min="4830" max="4830" width="9.5" style="62" bestFit="1" customWidth="1"/>
    <col min="4831" max="4831" width="7" style="62" bestFit="1" customWidth="1"/>
    <col min="4832" max="4832" width="1.625" style="62" customWidth="1"/>
    <col min="4833" max="4833" width="7.25" style="62" bestFit="1" customWidth="1"/>
    <col min="4834" max="4834" width="2.625" style="62" customWidth="1"/>
    <col min="4835" max="4835" width="13.25" style="62" customWidth="1"/>
    <col min="4836" max="4836" width="6.25" style="62" bestFit="1" customWidth="1"/>
    <col min="4837" max="4837" width="1.75" style="62" customWidth="1"/>
    <col min="4838" max="4838" width="8.5" style="62"/>
    <col min="4839" max="4839" width="42.25" style="62" bestFit="1" customWidth="1"/>
    <col min="4840" max="4840" width="1.25" style="62" customWidth="1"/>
    <col min="4841" max="4841" width="11.625" style="62" customWidth="1"/>
    <col min="4842" max="4842" width="1.25" style="62" customWidth="1"/>
    <col min="4843" max="4843" width="9.625" style="62" customWidth="1"/>
    <col min="4844" max="4844" width="8.125" style="62" customWidth="1"/>
    <col min="4845" max="4845" width="1.25" style="62" customWidth="1"/>
    <col min="4846" max="4846" width="8.125" style="62" customWidth="1"/>
    <col min="4847" max="4847" width="1.625" style="62" customWidth="1"/>
    <col min="4848" max="4848" width="8" style="62" bestFit="1" customWidth="1"/>
    <col min="4849" max="4849" width="9.75" style="62" bestFit="1" customWidth="1"/>
    <col min="4850" max="5064" width="7" style="62" customWidth="1"/>
    <col min="5065" max="5065" width="20.75" style="62" customWidth="1"/>
    <col min="5066" max="5066" width="1.75" style="62" customWidth="1"/>
    <col min="5067" max="5067" width="14.25" style="62" customWidth="1"/>
    <col min="5068" max="5068" width="4.25" style="62" customWidth="1"/>
    <col min="5069" max="5069" width="8.75" style="62" bestFit="1" customWidth="1"/>
    <col min="5070" max="5070" width="6.25" style="62" bestFit="1" customWidth="1"/>
    <col min="5071" max="5071" width="2.125" style="62" customWidth="1"/>
    <col min="5072" max="5072" width="8.5" style="62" bestFit="1" customWidth="1"/>
    <col min="5073" max="5073" width="6.25" style="62" bestFit="1" customWidth="1"/>
    <col min="5074" max="5074" width="2.25" style="62" customWidth="1"/>
    <col min="5075" max="5075" width="9.5" style="62" bestFit="1" customWidth="1"/>
    <col min="5076" max="5076" width="7" style="62" bestFit="1" customWidth="1"/>
    <col min="5077" max="5077" width="1.75" style="62" customWidth="1"/>
    <col min="5078" max="5078" width="8.75" style="62" bestFit="1" customWidth="1"/>
    <col min="5079" max="5079" width="2" style="62" customWidth="1"/>
    <col min="5080" max="5080" width="8.75" style="62" bestFit="1" customWidth="1"/>
    <col min="5081" max="5081" width="6.25" style="62" bestFit="1" customWidth="1"/>
    <col min="5082" max="5082" width="1.25" style="62" customWidth="1"/>
    <col min="5083" max="5083" width="8.5" style="62" bestFit="1" customWidth="1"/>
    <col min="5084" max="5084" width="6.25" style="62" bestFit="1" customWidth="1"/>
    <col min="5085" max="5085" width="1.75" style="62" customWidth="1"/>
    <col min="5086" max="5086" width="9.5" style="62" bestFit="1" customWidth="1"/>
    <col min="5087" max="5087" width="7" style="62" bestFit="1" customWidth="1"/>
    <col min="5088" max="5088" width="1.625" style="62" customWidth="1"/>
    <col min="5089" max="5089" width="7.25" style="62" bestFit="1" customWidth="1"/>
    <col min="5090" max="5090" width="2.625" style="62" customWidth="1"/>
    <col min="5091" max="5091" width="13.25" style="62" customWidth="1"/>
    <col min="5092" max="5092" width="6.25" style="62" bestFit="1" customWidth="1"/>
    <col min="5093" max="5093" width="1.75" style="62" customWidth="1"/>
    <col min="5094" max="5094" width="8.5" style="62"/>
    <col min="5095" max="5095" width="42.25" style="62" bestFit="1" customWidth="1"/>
    <col min="5096" max="5096" width="1.25" style="62" customWidth="1"/>
    <col min="5097" max="5097" width="11.625" style="62" customWidth="1"/>
    <col min="5098" max="5098" width="1.25" style="62" customWidth="1"/>
    <col min="5099" max="5099" width="9.625" style="62" customWidth="1"/>
    <col min="5100" max="5100" width="8.125" style="62" customWidth="1"/>
    <col min="5101" max="5101" width="1.25" style="62" customWidth="1"/>
    <col min="5102" max="5102" width="8.125" style="62" customWidth="1"/>
    <col min="5103" max="5103" width="1.625" style="62" customWidth="1"/>
    <col min="5104" max="5104" width="8" style="62" bestFit="1" customWidth="1"/>
    <col min="5105" max="5105" width="9.75" style="62" bestFit="1" customWidth="1"/>
    <col min="5106" max="5320" width="7" style="62" customWidth="1"/>
    <col min="5321" max="5321" width="20.75" style="62" customWidth="1"/>
    <col min="5322" max="5322" width="1.75" style="62" customWidth="1"/>
    <col min="5323" max="5323" width="14.25" style="62" customWidth="1"/>
    <col min="5324" max="5324" width="4.25" style="62" customWidth="1"/>
    <col min="5325" max="5325" width="8.75" style="62" bestFit="1" customWidth="1"/>
    <col min="5326" max="5326" width="6.25" style="62" bestFit="1" customWidth="1"/>
    <col min="5327" max="5327" width="2.125" style="62" customWidth="1"/>
    <col min="5328" max="5328" width="8.5" style="62" bestFit="1" customWidth="1"/>
    <col min="5329" max="5329" width="6.25" style="62" bestFit="1" customWidth="1"/>
    <col min="5330" max="5330" width="2.25" style="62" customWidth="1"/>
    <col min="5331" max="5331" width="9.5" style="62" bestFit="1" customWidth="1"/>
    <col min="5332" max="5332" width="7" style="62" bestFit="1" customWidth="1"/>
    <col min="5333" max="5333" width="1.75" style="62" customWidth="1"/>
    <col min="5334" max="5334" width="8.75" style="62" bestFit="1" customWidth="1"/>
    <col min="5335" max="5335" width="2" style="62" customWidth="1"/>
    <col min="5336" max="5336" width="8.75" style="62" bestFit="1" customWidth="1"/>
    <col min="5337" max="5337" width="6.25" style="62" bestFit="1" customWidth="1"/>
    <col min="5338" max="5338" width="1.25" style="62" customWidth="1"/>
    <col min="5339" max="5339" width="8.5" style="62" bestFit="1" customWidth="1"/>
    <col min="5340" max="5340" width="6.25" style="62" bestFit="1" customWidth="1"/>
    <col min="5341" max="5341" width="1.75" style="62" customWidth="1"/>
    <col min="5342" max="5342" width="9.5" style="62" bestFit="1" customWidth="1"/>
    <col min="5343" max="5343" width="7" style="62" bestFit="1" customWidth="1"/>
    <col min="5344" max="5344" width="1.625" style="62" customWidth="1"/>
    <col min="5345" max="5345" width="7.25" style="62" bestFit="1" customWidth="1"/>
    <col min="5346" max="5346" width="2.625" style="62" customWidth="1"/>
    <col min="5347" max="5347" width="13.25" style="62" customWidth="1"/>
    <col min="5348" max="5348" width="6.25" style="62" bestFit="1" customWidth="1"/>
    <col min="5349" max="5349" width="1.75" style="62" customWidth="1"/>
    <col min="5350" max="5350" width="8.5" style="62"/>
    <col min="5351" max="5351" width="42.25" style="62" bestFit="1" customWidth="1"/>
    <col min="5352" max="5352" width="1.25" style="62" customWidth="1"/>
    <col min="5353" max="5353" width="11.625" style="62" customWidth="1"/>
    <col min="5354" max="5354" width="1.25" style="62" customWidth="1"/>
    <col min="5355" max="5355" width="9.625" style="62" customWidth="1"/>
    <col min="5356" max="5356" width="8.125" style="62" customWidth="1"/>
    <col min="5357" max="5357" width="1.25" style="62" customWidth="1"/>
    <col min="5358" max="5358" width="8.125" style="62" customWidth="1"/>
    <col min="5359" max="5359" width="1.625" style="62" customWidth="1"/>
    <col min="5360" max="5360" width="8" style="62" bestFit="1" customWidth="1"/>
    <col min="5361" max="5361" width="9.75" style="62" bestFit="1" customWidth="1"/>
    <col min="5362" max="5576" width="7" style="62" customWidth="1"/>
    <col min="5577" max="5577" width="20.75" style="62" customWidth="1"/>
    <col min="5578" max="5578" width="1.75" style="62" customWidth="1"/>
    <col min="5579" max="5579" width="14.25" style="62" customWidth="1"/>
    <col min="5580" max="5580" width="4.25" style="62" customWidth="1"/>
    <col min="5581" max="5581" width="8.75" style="62" bestFit="1" customWidth="1"/>
    <col min="5582" max="5582" width="6.25" style="62" bestFit="1" customWidth="1"/>
    <col min="5583" max="5583" width="2.125" style="62" customWidth="1"/>
    <col min="5584" max="5584" width="8.5" style="62" bestFit="1" customWidth="1"/>
    <col min="5585" max="5585" width="6.25" style="62" bestFit="1" customWidth="1"/>
    <col min="5586" max="5586" width="2.25" style="62" customWidth="1"/>
    <col min="5587" max="5587" width="9.5" style="62" bestFit="1" customWidth="1"/>
    <col min="5588" max="5588" width="7" style="62" bestFit="1" customWidth="1"/>
    <col min="5589" max="5589" width="1.75" style="62" customWidth="1"/>
    <col min="5590" max="5590" width="8.75" style="62" bestFit="1" customWidth="1"/>
    <col min="5591" max="5591" width="2" style="62" customWidth="1"/>
    <col min="5592" max="5592" width="8.75" style="62" bestFit="1" customWidth="1"/>
    <col min="5593" max="5593" width="6.25" style="62" bestFit="1" customWidth="1"/>
    <col min="5594" max="5594" width="1.25" style="62" customWidth="1"/>
    <col min="5595" max="5595" width="8.5" style="62" bestFit="1" customWidth="1"/>
    <col min="5596" max="5596" width="6.25" style="62" bestFit="1" customWidth="1"/>
    <col min="5597" max="5597" width="1.75" style="62" customWidth="1"/>
    <col min="5598" max="5598" width="9.5" style="62" bestFit="1" customWidth="1"/>
    <col min="5599" max="5599" width="7" style="62" bestFit="1" customWidth="1"/>
    <col min="5600" max="5600" width="1.625" style="62" customWidth="1"/>
    <col min="5601" max="5601" width="7.25" style="62" bestFit="1" customWidth="1"/>
    <col min="5602" max="5602" width="2.625" style="62" customWidth="1"/>
    <col min="5603" max="5603" width="13.25" style="62" customWidth="1"/>
    <col min="5604" max="5604" width="6.25" style="62" bestFit="1" customWidth="1"/>
    <col min="5605" max="5605" width="1.75" style="62" customWidth="1"/>
    <col min="5606" max="5606" width="8.5" style="62"/>
    <col min="5607" max="5607" width="42.25" style="62" bestFit="1" customWidth="1"/>
    <col min="5608" max="5608" width="1.25" style="62" customWidth="1"/>
    <col min="5609" max="5609" width="11.625" style="62" customWidth="1"/>
    <col min="5610" max="5610" width="1.25" style="62" customWidth="1"/>
    <col min="5611" max="5611" width="9.625" style="62" customWidth="1"/>
    <col min="5612" max="5612" width="8.125" style="62" customWidth="1"/>
    <col min="5613" max="5613" width="1.25" style="62" customWidth="1"/>
    <col min="5614" max="5614" width="8.125" style="62" customWidth="1"/>
    <col min="5615" max="5615" width="1.625" style="62" customWidth="1"/>
    <col min="5616" max="5616" width="8" style="62" bestFit="1" customWidth="1"/>
    <col min="5617" max="5617" width="9.75" style="62" bestFit="1" customWidth="1"/>
    <col min="5618" max="5832" width="7" style="62" customWidth="1"/>
    <col min="5833" max="5833" width="20.75" style="62" customWidth="1"/>
    <col min="5834" max="5834" width="1.75" style="62" customWidth="1"/>
    <col min="5835" max="5835" width="14.25" style="62" customWidth="1"/>
    <col min="5836" max="5836" width="4.25" style="62" customWidth="1"/>
    <col min="5837" max="5837" width="8.75" style="62" bestFit="1" customWidth="1"/>
    <col min="5838" max="5838" width="6.25" style="62" bestFit="1" customWidth="1"/>
    <col min="5839" max="5839" width="2.125" style="62" customWidth="1"/>
    <col min="5840" max="5840" width="8.5" style="62" bestFit="1" customWidth="1"/>
    <col min="5841" max="5841" width="6.25" style="62" bestFit="1" customWidth="1"/>
    <col min="5842" max="5842" width="2.25" style="62" customWidth="1"/>
    <col min="5843" max="5843" width="9.5" style="62" bestFit="1" customWidth="1"/>
    <col min="5844" max="5844" width="7" style="62" bestFit="1" customWidth="1"/>
    <col min="5845" max="5845" width="1.75" style="62" customWidth="1"/>
    <col min="5846" max="5846" width="8.75" style="62" bestFit="1" customWidth="1"/>
    <col min="5847" max="5847" width="2" style="62" customWidth="1"/>
    <col min="5848" max="5848" width="8.75" style="62" bestFit="1" customWidth="1"/>
    <col min="5849" max="5849" width="6.25" style="62" bestFit="1" customWidth="1"/>
    <col min="5850" max="5850" width="1.25" style="62" customWidth="1"/>
    <col min="5851" max="5851" width="8.5" style="62" bestFit="1" customWidth="1"/>
    <col min="5852" max="5852" width="6.25" style="62" bestFit="1" customWidth="1"/>
    <col min="5853" max="5853" width="1.75" style="62" customWidth="1"/>
    <col min="5854" max="5854" width="9.5" style="62" bestFit="1" customWidth="1"/>
    <col min="5855" max="5855" width="7" style="62" bestFit="1" customWidth="1"/>
    <col min="5856" max="5856" width="1.625" style="62" customWidth="1"/>
    <col min="5857" max="5857" width="7.25" style="62" bestFit="1" customWidth="1"/>
    <col min="5858" max="5858" width="2.625" style="62" customWidth="1"/>
    <col min="5859" max="5859" width="13.25" style="62" customWidth="1"/>
    <col min="5860" max="5860" width="6.25" style="62" bestFit="1" customWidth="1"/>
    <col min="5861" max="5861" width="1.75" style="62" customWidth="1"/>
    <col min="5862" max="5862" width="8.5" style="62"/>
    <col min="5863" max="5863" width="42.25" style="62" bestFit="1" customWidth="1"/>
    <col min="5864" max="5864" width="1.25" style="62" customWidth="1"/>
    <col min="5865" max="5865" width="11.625" style="62" customWidth="1"/>
    <col min="5866" max="5866" width="1.25" style="62" customWidth="1"/>
    <col min="5867" max="5867" width="9.625" style="62" customWidth="1"/>
    <col min="5868" max="5868" width="8.125" style="62" customWidth="1"/>
    <col min="5869" max="5869" width="1.25" style="62" customWidth="1"/>
    <col min="5870" max="5870" width="8.125" style="62" customWidth="1"/>
    <col min="5871" max="5871" width="1.625" style="62" customWidth="1"/>
    <col min="5872" max="5872" width="8" style="62" bestFit="1" customWidth="1"/>
    <col min="5873" max="5873" width="9.75" style="62" bestFit="1" customWidth="1"/>
    <col min="5874" max="6088" width="7" style="62" customWidth="1"/>
    <col min="6089" max="6089" width="20.75" style="62" customWidth="1"/>
    <col min="6090" max="6090" width="1.75" style="62" customWidth="1"/>
    <col min="6091" max="6091" width="14.25" style="62" customWidth="1"/>
    <col min="6092" max="6092" width="4.25" style="62" customWidth="1"/>
    <col min="6093" max="6093" width="8.75" style="62" bestFit="1" customWidth="1"/>
    <col min="6094" max="6094" width="6.25" style="62" bestFit="1" customWidth="1"/>
    <col min="6095" max="6095" width="2.125" style="62" customWidth="1"/>
    <col min="6096" max="6096" width="8.5" style="62" bestFit="1" customWidth="1"/>
    <col min="6097" max="6097" width="6.25" style="62" bestFit="1" customWidth="1"/>
    <col min="6098" max="6098" width="2.25" style="62" customWidth="1"/>
    <col min="6099" max="6099" width="9.5" style="62" bestFit="1" customWidth="1"/>
    <col min="6100" max="6100" width="7" style="62" bestFit="1" customWidth="1"/>
    <col min="6101" max="6101" width="1.75" style="62" customWidth="1"/>
    <col min="6102" max="6102" width="8.75" style="62" bestFit="1" customWidth="1"/>
    <col min="6103" max="6103" width="2" style="62" customWidth="1"/>
    <col min="6104" max="6104" width="8.75" style="62" bestFit="1" customWidth="1"/>
    <col min="6105" max="6105" width="6.25" style="62" bestFit="1" customWidth="1"/>
    <col min="6106" max="6106" width="1.25" style="62" customWidth="1"/>
    <col min="6107" max="6107" width="8.5" style="62" bestFit="1" customWidth="1"/>
    <col min="6108" max="6108" width="6.25" style="62" bestFit="1" customWidth="1"/>
    <col min="6109" max="6109" width="1.75" style="62" customWidth="1"/>
    <col min="6110" max="6110" width="9.5" style="62" bestFit="1" customWidth="1"/>
    <col min="6111" max="6111" width="7" style="62" bestFit="1" customWidth="1"/>
    <col min="6112" max="6112" width="1.625" style="62" customWidth="1"/>
    <col min="6113" max="6113" width="7.25" style="62" bestFit="1" customWidth="1"/>
    <col min="6114" max="6114" width="2.625" style="62" customWidth="1"/>
    <col min="6115" max="6115" width="13.25" style="62" customWidth="1"/>
    <col min="6116" max="6116" width="6.25" style="62" bestFit="1" customWidth="1"/>
    <col min="6117" max="6117" width="1.75" style="62" customWidth="1"/>
    <col min="6118" max="6118" width="8.5" style="62"/>
    <col min="6119" max="6119" width="42.25" style="62" bestFit="1" customWidth="1"/>
    <col min="6120" max="6120" width="1.25" style="62" customWidth="1"/>
    <col min="6121" max="6121" width="11.625" style="62" customWidth="1"/>
    <col min="6122" max="6122" width="1.25" style="62" customWidth="1"/>
    <col min="6123" max="6123" width="9.625" style="62" customWidth="1"/>
    <col min="6124" max="6124" width="8.125" style="62" customWidth="1"/>
    <col min="6125" max="6125" width="1.25" style="62" customWidth="1"/>
    <col min="6126" max="6126" width="8.125" style="62" customWidth="1"/>
    <col min="6127" max="6127" width="1.625" style="62" customWidth="1"/>
    <col min="6128" max="6128" width="8" style="62" bestFit="1" customWidth="1"/>
    <col min="6129" max="6129" width="9.75" style="62" bestFit="1" customWidth="1"/>
    <col min="6130" max="6344" width="7" style="62" customWidth="1"/>
    <col min="6345" max="6345" width="20.75" style="62" customWidth="1"/>
    <col min="6346" max="6346" width="1.75" style="62" customWidth="1"/>
    <col min="6347" max="6347" width="14.25" style="62" customWidth="1"/>
    <col min="6348" max="6348" width="4.25" style="62" customWidth="1"/>
    <col min="6349" max="6349" width="8.75" style="62" bestFit="1" customWidth="1"/>
    <col min="6350" max="6350" width="6.25" style="62" bestFit="1" customWidth="1"/>
    <col min="6351" max="6351" width="2.125" style="62" customWidth="1"/>
    <col min="6352" max="6352" width="8.5" style="62" bestFit="1" customWidth="1"/>
    <col min="6353" max="6353" width="6.25" style="62" bestFit="1" customWidth="1"/>
    <col min="6354" max="6354" width="2.25" style="62" customWidth="1"/>
    <col min="6355" max="6355" width="9.5" style="62" bestFit="1" customWidth="1"/>
    <col min="6356" max="6356" width="7" style="62" bestFit="1" customWidth="1"/>
    <col min="6357" max="6357" width="1.75" style="62" customWidth="1"/>
    <col min="6358" max="6358" width="8.75" style="62" bestFit="1" customWidth="1"/>
    <col min="6359" max="6359" width="2" style="62" customWidth="1"/>
    <col min="6360" max="6360" width="8.75" style="62" bestFit="1" customWidth="1"/>
    <col min="6361" max="6361" width="6.25" style="62" bestFit="1" customWidth="1"/>
    <col min="6362" max="6362" width="1.25" style="62" customWidth="1"/>
    <col min="6363" max="6363" width="8.5" style="62" bestFit="1" customWidth="1"/>
    <col min="6364" max="6364" width="6.25" style="62" bestFit="1" customWidth="1"/>
    <col min="6365" max="6365" width="1.75" style="62" customWidth="1"/>
    <col min="6366" max="6366" width="9.5" style="62" bestFit="1" customWidth="1"/>
    <col min="6367" max="6367" width="7" style="62" bestFit="1" customWidth="1"/>
    <col min="6368" max="6368" width="1.625" style="62" customWidth="1"/>
    <col min="6369" max="6369" width="7.25" style="62" bestFit="1" customWidth="1"/>
    <col min="6370" max="6370" width="2.625" style="62" customWidth="1"/>
    <col min="6371" max="6371" width="13.25" style="62" customWidth="1"/>
    <col min="6372" max="6372" width="6.25" style="62" bestFit="1" customWidth="1"/>
    <col min="6373" max="6373" width="1.75" style="62" customWidth="1"/>
    <col min="6374" max="6374" width="8.5" style="62"/>
    <col min="6375" max="6375" width="42.25" style="62" bestFit="1" customWidth="1"/>
    <col min="6376" max="6376" width="1.25" style="62" customWidth="1"/>
    <col min="6377" max="6377" width="11.625" style="62" customWidth="1"/>
    <col min="6378" max="6378" width="1.25" style="62" customWidth="1"/>
    <col min="6379" max="6379" width="9.625" style="62" customWidth="1"/>
    <col min="6380" max="6380" width="8.125" style="62" customWidth="1"/>
    <col min="6381" max="6381" width="1.25" style="62" customWidth="1"/>
    <col min="6382" max="6382" width="8.125" style="62" customWidth="1"/>
    <col min="6383" max="6383" width="1.625" style="62" customWidth="1"/>
    <col min="6384" max="6384" width="8" style="62" bestFit="1" customWidth="1"/>
    <col min="6385" max="6385" width="9.75" style="62" bestFit="1" customWidth="1"/>
    <col min="6386" max="6600" width="7" style="62" customWidth="1"/>
    <col min="6601" max="6601" width="20.75" style="62" customWidth="1"/>
    <col min="6602" max="6602" width="1.75" style="62" customWidth="1"/>
    <col min="6603" max="6603" width="14.25" style="62" customWidth="1"/>
    <col min="6604" max="6604" width="4.25" style="62" customWidth="1"/>
    <col min="6605" max="6605" width="8.75" style="62" bestFit="1" customWidth="1"/>
    <col min="6606" max="6606" width="6.25" style="62" bestFit="1" customWidth="1"/>
    <col min="6607" max="6607" width="2.125" style="62" customWidth="1"/>
    <col min="6608" max="6608" width="8.5" style="62" bestFit="1" customWidth="1"/>
    <col min="6609" max="6609" width="6.25" style="62" bestFit="1" customWidth="1"/>
    <col min="6610" max="6610" width="2.25" style="62" customWidth="1"/>
    <col min="6611" max="6611" width="9.5" style="62" bestFit="1" customWidth="1"/>
    <col min="6612" max="6612" width="7" style="62" bestFit="1" customWidth="1"/>
    <col min="6613" max="6613" width="1.75" style="62" customWidth="1"/>
    <col min="6614" max="6614" width="8.75" style="62" bestFit="1" customWidth="1"/>
    <col min="6615" max="6615" width="2" style="62" customWidth="1"/>
    <col min="6616" max="6616" width="8.75" style="62" bestFit="1" customWidth="1"/>
    <col min="6617" max="6617" width="6.25" style="62" bestFit="1" customWidth="1"/>
    <col min="6618" max="6618" width="1.25" style="62" customWidth="1"/>
    <col min="6619" max="6619" width="8.5" style="62" bestFit="1" customWidth="1"/>
    <col min="6620" max="6620" width="6.25" style="62" bestFit="1" customWidth="1"/>
    <col min="6621" max="6621" width="1.75" style="62" customWidth="1"/>
    <col min="6622" max="6622" width="9.5" style="62" bestFit="1" customWidth="1"/>
    <col min="6623" max="6623" width="7" style="62" bestFit="1" customWidth="1"/>
    <col min="6624" max="6624" width="1.625" style="62" customWidth="1"/>
    <col min="6625" max="6625" width="7.25" style="62" bestFit="1" customWidth="1"/>
    <col min="6626" max="6626" width="2.625" style="62" customWidth="1"/>
    <col min="6627" max="6627" width="13.25" style="62" customWidth="1"/>
    <col min="6628" max="6628" width="6.25" style="62" bestFit="1" customWidth="1"/>
    <col min="6629" max="6629" width="1.75" style="62" customWidth="1"/>
    <col min="6630" max="6630" width="8.5" style="62"/>
    <col min="6631" max="6631" width="42.25" style="62" bestFit="1" customWidth="1"/>
    <col min="6632" max="6632" width="1.25" style="62" customWidth="1"/>
    <col min="6633" max="6633" width="11.625" style="62" customWidth="1"/>
    <col min="6634" max="6634" width="1.25" style="62" customWidth="1"/>
    <col min="6635" max="6635" width="9.625" style="62" customWidth="1"/>
    <col min="6636" max="6636" width="8.125" style="62" customWidth="1"/>
    <col min="6637" max="6637" width="1.25" style="62" customWidth="1"/>
    <col min="6638" max="6638" width="8.125" style="62" customWidth="1"/>
    <col min="6639" max="6639" width="1.625" style="62" customWidth="1"/>
    <col min="6640" max="6640" width="8" style="62" bestFit="1" customWidth="1"/>
    <col min="6641" max="6641" width="9.75" style="62" bestFit="1" customWidth="1"/>
    <col min="6642" max="6856" width="7" style="62" customWidth="1"/>
    <col min="6857" max="6857" width="20.75" style="62" customWidth="1"/>
    <col min="6858" max="6858" width="1.75" style="62" customWidth="1"/>
    <col min="6859" max="6859" width="14.25" style="62" customWidth="1"/>
    <col min="6860" max="6860" width="4.25" style="62" customWidth="1"/>
    <col min="6861" max="6861" width="8.75" style="62" bestFit="1" customWidth="1"/>
    <col min="6862" max="6862" width="6.25" style="62" bestFit="1" customWidth="1"/>
    <col min="6863" max="6863" width="2.125" style="62" customWidth="1"/>
    <col min="6864" max="6864" width="8.5" style="62" bestFit="1" customWidth="1"/>
    <col min="6865" max="6865" width="6.25" style="62" bestFit="1" customWidth="1"/>
    <col min="6866" max="6866" width="2.25" style="62" customWidth="1"/>
    <col min="6867" max="6867" width="9.5" style="62" bestFit="1" customWidth="1"/>
    <col min="6868" max="6868" width="7" style="62" bestFit="1" customWidth="1"/>
    <col min="6869" max="6869" width="1.75" style="62" customWidth="1"/>
    <col min="6870" max="6870" width="8.75" style="62" bestFit="1" customWidth="1"/>
    <col min="6871" max="6871" width="2" style="62" customWidth="1"/>
    <col min="6872" max="6872" width="8.75" style="62" bestFit="1" customWidth="1"/>
    <col min="6873" max="6873" width="6.25" style="62" bestFit="1" customWidth="1"/>
    <col min="6874" max="6874" width="1.25" style="62" customWidth="1"/>
    <col min="6875" max="6875" width="8.5" style="62" bestFit="1" customWidth="1"/>
    <col min="6876" max="6876" width="6.25" style="62" bestFit="1" customWidth="1"/>
    <col min="6877" max="6877" width="1.75" style="62" customWidth="1"/>
    <col min="6878" max="6878" width="9.5" style="62" bestFit="1" customWidth="1"/>
    <col min="6879" max="6879" width="7" style="62" bestFit="1" customWidth="1"/>
    <col min="6880" max="6880" width="1.625" style="62" customWidth="1"/>
    <col min="6881" max="6881" width="7.25" style="62" bestFit="1" customWidth="1"/>
    <col min="6882" max="6882" width="2.625" style="62" customWidth="1"/>
    <col min="6883" max="6883" width="13.25" style="62" customWidth="1"/>
    <col min="6884" max="6884" width="6.25" style="62" bestFit="1" customWidth="1"/>
    <col min="6885" max="6885" width="1.75" style="62" customWidth="1"/>
    <col min="6886" max="6886" width="8.5" style="62"/>
    <col min="6887" max="6887" width="42.25" style="62" bestFit="1" customWidth="1"/>
    <col min="6888" max="6888" width="1.25" style="62" customWidth="1"/>
    <col min="6889" max="6889" width="11.625" style="62" customWidth="1"/>
    <col min="6890" max="6890" width="1.25" style="62" customWidth="1"/>
    <col min="6891" max="6891" width="9.625" style="62" customWidth="1"/>
    <col min="6892" max="6892" width="8.125" style="62" customWidth="1"/>
    <col min="6893" max="6893" width="1.25" style="62" customWidth="1"/>
    <col min="6894" max="6894" width="8.125" style="62" customWidth="1"/>
    <col min="6895" max="6895" width="1.625" style="62" customWidth="1"/>
    <col min="6896" max="6896" width="8" style="62" bestFit="1" customWidth="1"/>
    <col min="6897" max="6897" width="9.75" style="62" bestFit="1" customWidth="1"/>
    <col min="6898" max="7112" width="7" style="62" customWidth="1"/>
    <col min="7113" max="7113" width="20.75" style="62" customWidth="1"/>
    <col min="7114" max="7114" width="1.75" style="62" customWidth="1"/>
    <col min="7115" max="7115" width="14.25" style="62" customWidth="1"/>
    <col min="7116" max="7116" width="4.25" style="62" customWidth="1"/>
    <col min="7117" max="7117" width="8.75" style="62" bestFit="1" customWidth="1"/>
    <col min="7118" max="7118" width="6.25" style="62" bestFit="1" customWidth="1"/>
    <col min="7119" max="7119" width="2.125" style="62" customWidth="1"/>
    <col min="7120" max="7120" width="8.5" style="62" bestFit="1" customWidth="1"/>
    <col min="7121" max="7121" width="6.25" style="62" bestFit="1" customWidth="1"/>
    <col min="7122" max="7122" width="2.25" style="62" customWidth="1"/>
    <col min="7123" max="7123" width="9.5" style="62" bestFit="1" customWidth="1"/>
    <col min="7124" max="7124" width="7" style="62" bestFit="1" customWidth="1"/>
    <col min="7125" max="7125" width="1.75" style="62" customWidth="1"/>
    <col min="7126" max="7126" width="8.75" style="62" bestFit="1" customWidth="1"/>
    <col min="7127" max="7127" width="2" style="62" customWidth="1"/>
    <col min="7128" max="7128" width="8.75" style="62" bestFit="1" customWidth="1"/>
    <col min="7129" max="7129" width="6.25" style="62" bestFit="1" customWidth="1"/>
    <col min="7130" max="7130" width="1.25" style="62" customWidth="1"/>
    <col min="7131" max="7131" width="8.5" style="62" bestFit="1" customWidth="1"/>
    <col min="7132" max="7132" width="6.25" style="62" bestFit="1" customWidth="1"/>
    <col min="7133" max="7133" width="1.75" style="62" customWidth="1"/>
    <col min="7134" max="7134" width="9.5" style="62" bestFit="1" customWidth="1"/>
    <col min="7135" max="7135" width="7" style="62" bestFit="1" customWidth="1"/>
    <col min="7136" max="7136" width="1.625" style="62" customWidth="1"/>
    <col min="7137" max="7137" width="7.25" style="62" bestFit="1" customWidth="1"/>
    <col min="7138" max="7138" width="2.625" style="62" customWidth="1"/>
    <col min="7139" max="7139" width="13.25" style="62" customWidth="1"/>
    <col min="7140" max="7140" width="6.25" style="62" bestFit="1" customWidth="1"/>
    <col min="7141" max="7141" width="1.75" style="62" customWidth="1"/>
    <col min="7142" max="7142" width="8.5" style="62"/>
    <col min="7143" max="7143" width="42.25" style="62" bestFit="1" customWidth="1"/>
    <col min="7144" max="7144" width="1.25" style="62" customWidth="1"/>
    <col min="7145" max="7145" width="11.625" style="62" customWidth="1"/>
    <col min="7146" max="7146" width="1.25" style="62" customWidth="1"/>
    <col min="7147" max="7147" width="9.625" style="62" customWidth="1"/>
    <col min="7148" max="7148" width="8.125" style="62" customWidth="1"/>
    <col min="7149" max="7149" width="1.25" style="62" customWidth="1"/>
    <col min="7150" max="7150" width="8.125" style="62" customWidth="1"/>
    <col min="7151" max="7151" width="1.625" style="62" customWidth="1"/>
    <col min="7152" max="7152" width="8" style="62" bestFit="1" customWidth="1"/>
    <col min="7153" max="7153" width="9.75" style="62" bestFit="1" customWidth="1"/>
    <col min="7154" max="7368" width="7" style="62" customWidth="1"/>
    <col min="7369" max="7369" width="20.75" style="62" customWidth="1"/>
    <col min="7370" max="7370" width="1.75" style="62" customWidth="1"/>
    <col min="7371" max="7371" width="14.25" style="62" customWidth="1"/>
    <col min="7372" max="7372" width="4.25" style="62" customWidth="1"/>
    <col min="7373" max="7373" width="8.75" style="62" bestFit="1" customWidth="1"/>
    <col min="7374" max="7374" width="6.25" style="62" bestFit="1" customWidth="1"/>
    <col min="7375" max="7375" width="2.125" style="62" customWidth="1"/>
    <col min="7376" max="7376" width="8.5" style="62" bestFit="1" customWidth="1"/>
    <col min="7377" max="7377" width="6.25" style="62" bestFit="1" customWidth="1"/>
    <col min="7378" max="7378" width="2.25" style="62" customWidth="1"/>
    <col min="7379" max="7379" width="9.5" style="62" bestFit="1" customWidth="1"/>
    <col min="7380" max="7380" width="7" style="62" bestFit="1" customWidth="1"/>
    <col min="7381" max="7381" width="1.75" style="62" customWidth="1"/>
    <col min="7382" max="7382" width="8.75" style="62" bestFit="1" customWidth="1"/>
    <col min="7383" max="7383" width="2" style="62" customWidth="1"/>
    <col min="7384" max="7384" width="8.75" style="62" bestFit="1" customWidth="1"/>
    <col min="7385" max="7385" width="6.25" style="62" bestFit="1" customWidth="1"/>
    <col min="7386" max="7386" width="1.25" style="62" customWidth="1"/>
    <col min="7387" max="7387" width="8.5" style="62" bestFit="1" customWidth="1"/>
    <col min="7388" max="7388" width="6.25" style="62" bestFit="1" customWidth="1"/>
    <col min="7389" max="7389" width="1.75" style="62" customWidth="1"/>
    <col min="7390" max="7390" width="9.5" style="62" bestFit="1" customWidth="1"/>
    <col min="7391" max="7391" width="7" style="62" bestFit="1" customWidth="1"/>
    <col min="7392" max="7392" width="1.625" style="62" customWidth="1"/>
    <col min="7393" max="7393" width="7.25" style="62" bestFit="1" customWidth="1"/>
    <col min="7394" max="7394" width="2.625" style="62" customWidth="1"/>
    <col min="7395" max="7395" width="13.25" style="62" customWidth="1"/>
    <col min="7396" max="7396" width="6.25" style="62" bestFit="1" customWidth="1"/>
    <col min="7397" max="7397" width="1.75" style="62" customWidth="1"/>
    <col min="7398" max="7398" width="8.5" style="62"/>
    <col min="7399" max="7399" width="42.25" style="62" bestFit="1" customWidth="1"/>
    <col min="7400" max="7400" width="1.25" style="62" customWidth="1"/>
    <col min="7401" max="7401" width="11.625" style="62" customWidth="1"/>
    <col min="7402" max="7402" width="1.25" style="62" customWidth="1"/>
    <col min="7403" max="7403" width="9.625" style="62" customWidth="1"/>
    <col min="7404" max="7404" width="8.125" style="62" customWidth="1"/>
    <col min="7405" max="7405" width="1.25" style="62" customWidth="1"/>
    <col min="7406" max="7406" width="8.125" style="62" customWidth="1"/>
    <col min="7407" max="7407" width="1.625" style="62" customWidth="1"/>
    <col min="7408" max="7408" width="8" style="62" bestFit="1" customWidth="1"/>
    <col min="7409" max="7409" width="9.75" style="62" bestFit="1" customWidth="1"/>
    <col min="7410" max="7624" width="7" style="62" customWidth="1"/>
    <col min="7625" max="7625" width="20.75" style="62" customWidth="1"/>
    <col min="7626" max="7626" width="1.75" style="62" customWidth="1"/>
    <col min="7627" max="7627" width="14.25" style="62" customWidth="1"/>
    <col min="7628" max="7628" width="4.25" style="62" customWidth="1"/>
    <col min="7629" max="7629" width="8.75" style="62" bestFit="1" customWidth="1"/>
    <col min="7630" max="7630" width="6.25" style="62" bestFit="1" customWidth="1"/>
    <col min="7631" max="7631" width="2.125" style="62" customWidth="1"/>
    <col min="7632" max="7632" width="8.5" style="62" bestFit="1" customWidth="1"/>
    <col min="7633" max="7633" width="6.25" style="62" bestFit="1" customWidth="1"/>
    <col min="7634" max="7634" width="2.25" style="62" customWidth="1"/>
    <col min="7635" max="7635" width="9.5" style="62" bestFit="1" customWidth="1"/>
    <col min="7636" max="7636" width="7" style="62" bestFit="1" customWidth="1"/>
    <col min="7637" max="7637" width="1.75" style="62" customWidth="1"/>
    <col min="7638" max="7638" width="8.75" style="62" bestFit="1" customWidth="1"/>
    <col min="7639" max="7639" width="2" style="62" customWidth="1"/>
    <col min="7640" max="7640" width="8.75" style="62" bestFit="1" customWidth="1"/>
    <col min="7641" max="7641" width="6.25" style="62" bestFit="1" customWidth="1"/>
    <col min="7642" max="7642" width="1.25" style="62" customWidth="1"/>
    <col min="7643" max="7643" width="8.5" style="62" bestFit="1" customWidth="1"/>
    <col min="7644" max="7644" width="6.25" style="62" bestFit="1" customWidth="1"/>
    <col min="7645" max="7645" width="1.75" style="62" customWidth="1"/>
    <col min="7646" max="7646" width="9.5" style="62" bestFit="1" customWidth="1"/>
    <col min="7647" max="7647" width="7" style="62" bestFit="1" customWidth="1"/>
    <col min="7648" max="7648" width="1.625" style="62" customWidth="1"/>
    <col min="7649" max="7649" width="7.25" style="62" bestFit="1" customWidth="1"/>
    <col min="7650" max="7650" width="2.625" style="62" customWidth="1"/>
    <col min="7651" max="7651" width="13.25" style="62" customWidth="1"/>
    <col min="7652" max="7652" width="6.25" style="62" bestFit="1" customWidth="1"/>
    <col min="7653" max="7653" width="1.75" style="62" customWidth="1"/>
    <col min="7654" max="7654" width="8.5" style="62"/>
    <col min="7655" max="7655" width="42.25" style="62" bestFit="1" customWidth="1"/>
    <col min="7656" max="7656" width="1.25" style="62" customWidth="1"/>
    <col min="7657" max="7657" width="11.625" style="62" customWidth="1"/>
    <col min="7658" max="7658" width="1.25" style="62" customWidth="1"/>
    <col min="7659" max="7659" width="9.625" style="62" customWidth="1"/>
    <col min="7660" max="7660" width="8.125" style="62" customWidth="1"/>
    <col min="7661" max="7661" width="1.25" style="62" customWidth="1"/>
    <col min="7662" max="7662" width="8.125" style="62" customWidth="1"/>
    <col min="7663" max="7663" width="1.625" style="62" customWidth="1"/>
    <col min="7664" max="7664" width="8" style="62" bestFit="1" customWidth="1"/>
    <col min="7665" max="7665" width="9.75" style="62" bestFit="1" customWidth="1"/>
    <col min="7666" max="7880" width="7" style="62" customWidth="1"/>
    <col min="7881" max="7881" width="20.75" style="62" customWidth="1"/>
    <col min="7882" max="7882" width="1.75" style="62" customWidth="1"/>
    <col min="7883" max="7883" width="14.25" style="62" customWidth="1"/>
    <col min="7884" max="7884" width="4.25" style="62" customWidth="1"/>
    <col min="7885" max="7885" width="8.75" style="62" bestFit="1" customWidth="1"/>
    <col min="7886" max="7886" width="6.25" style="62" bestFit="1" customWidth="1"/>
    <col min="7887" max="7887" width="2.125" style="62" customWidth="1"/>
    <col min="7888" max="7888" width="8.5" style="62" bestFit="1" customWidth="1"/>
    <col min="7889" max="7889" width="6.25" style="62" bestFit="1" customWidth="1"/>
    <col min="7890" max="7890" width="2.25" style="62" customWidth="1"/>
    <col min="7891" max="7891" width="9.5" style="62" bestFit="1" customWidth="1"/>
    <col min="7892" max="7892" width="7" style="62" bestFit="1" customWidth="1"/>
    <col min="7893" max="7893" width="1.75" style="62" customWidth="1"/>
    <col min="7894" max="7894" width="8.75" style="62" bestFit="1" customWidth="1"/>
    <col min="7895" max="7895" width="2" style="62" customWidth="1"/>
    <col min="7896" max="7896" width="8.75" style="62" bestFit="1" customWidth="1"/>
    <col min="7897" max="7897" width="6.25" style="62" bestFit="1" customWidth="1"/>
    <col min="7898" max="7898" width="1.25" style="62" customWidth="1"/>
    <col min="7899" max="7899" width="8.5" style="62" bestFit="1" customWidth="1"/>
    <col min="7900" max="7900" width="6.25" style="62" bestFit="1" customWidth="1"/>
    <col min="7901" max="7901" width="1.75" style="62" customWidth="1"/>
    <col min="7902" max="7902" width="9.5" style="62" bestFit="1" customWidth="1"/>
    <col min="7903" max="7903" width="7" style="62" bestFit="1" customWidth="1"/>
    <col min="7904" max="7904" width="1.625" style="62" customWidth="1"/>
    <col min="7905" max="7905" width="7.25" style="62" bestFit="1" customWidth="1"/>
    <col min="7906" max="7906" width="2.625" style="62" customWidth="1"/>
    <col min="7907" max="7907" width="13.25" style="62" customWidth="1"/>
    <col min="7908" max="7908" width="6.25" style="62" bestFit="1" customWidth="1"/>
    <col min="7909" max="7909" width="1.75" style="62" customWidth="1"/>
    <col min="7910" max="7910" width="8.5" style="62"/>
    <col min="7911" max="7911" width="42.25" style="62" bestFit="1" customWidth="1"/>
    <col min="7912" max="7912" width="1.25" style="62" customWidth="1"/>
    <col min="7913" max="7913" width="11.625" style="62" customWidth="1"/>
    <col min="7914" max="7914" width="1.25" style="62" customWidth="1"/>
    <col min="7915" max="7915" width="9.625" style="62" customWidth="1"/>
    <col min="7916" max="7916" width="8.125" style="62" customWidth="1"/>
    <col min="7917" max="7917" width="1.25" style="62" customWidth="1"/>
    <col min="7918" max="7918" width="8.125" style="62" customWidth="1"/>
    <col min="7919" max="7919" width="1.625" style="62" customWidth="1"/>
    <col min="7920" max="7920" width="8" style="62" bestFit="1" customWidth="1"/>
    <col min="7921" max="7921" width="9.75" style="62" bestFit="1" customWidth="1"/>
    <col min="7922" max="8136" width="7" style="62" customWidth="1"/>
    <col min="8137" max="8137" width="20.75" style="62" customWidth="1"/>
    <col min="8138" max="8138" width="1.75" style="62" customWidth="1"/>
    <col min="8139" max="8139" width="14.25" style="62" customWidth="1"/>
    <col min="8140" max="8140" width="4.25" style="62" customWidth="1"/>
    <col min="8141" max="8141" width="8.75" style="62" bestFit="1" customWidth="1"/>
    <col min="8142" max="8142" width="6.25" style="62" bestFit="1" customWidth="1"/>
    <col min="8143" max="8143" width="2.125" style="62" customWidth="1"/>
    <col min="8144" max="8144" width="8.5" style="62" bestFit="1" customWidth="1"/>
    <col min="8145" max="8145" width="6.25" style="62" bestFit="1" customWidth="1"/>
    <col min="8146" max="8146" width="2.25" style="62" customWidth="1"/>
    <col min="8147" max="8147" width="9.5" style="62" bestFit="1" customWidth="1"/>
    <col min="8148" max="8148" width="7" style="62" bestFit="1" customWidth="1"/>
    <col min="8149" max="8149" width="1.75" style="62" customWidth="1"/>
    <col min="8150" max="8150" width="8.75" style="62" bestFit="1" customWidth="1"/>
    <col min="8151" max="8151" width="2" style="62" customWidth="1"/>
    <col min="8152" max="8152" width="8.75" style="62" bestFit="1" customWidth="1"/>
    <col min="8153" max="8153" width="6.25" style="62" bestFit="1" customWidth="1"/>
    <col min="8154" max="8154" width="1.25" style="62" customWidth="1"/>
    <col min="8155" max="8155" width="8.5" style="62" bestFit="1" customWidth="1"/>
    <col min="8156" max="8156" width="6.25" style="62" bestFit="1" customWidth="1"/>
    <col min="8157" max="8157" width="1.75" style="62" customWidth="1"/>
    <col min="8158" max="8158" width="9.5" style="62" bestFit="1" customWidth="1"/>
    <col min="8159" max="8159" width="7" style="62" bestFit="1" customWidth="1"/>
    <col min="8160" max="8160" width="1.625" style="62" customWidth="1"/>
    <col min="8161" max="8161" width="7.25" style="62" bestFit="1" customWidth="1"/>
    <col min="8162" max="8162" width="2.625" style="62" customWidth="1"/>
    <col min="8163" max="8163" width="13.25" style="62" customWidth="1"/>
    <col min="8164" max="8164" width="6.25" style="62" bestFit="1" customWidth="1"/>
    <col min="8165" max="8165" width="1.75" style="62" customWidth="1"/>
    <col min="8166" max="8166" width="8.5" style="62"/>
    <col min="8167" max="8167" width="42.25" style="62" bestFit="1" customWidth="1"/>
    <col min="8168" max="8168" width="1.25" style="62" customWidth="1"/>
    <col min="8169" max="8169" width="11.625" style="62" customWidth="1"/>
    <col min="8170" max="8170" width="1.25" style="62" customWidth="1"/>
    <col min="8171" max="8171" width="9.625" style="62" customWidth="1"/>
    <col min="8172" max="8172" width="8.125" style="62" customWidth="1"/>
    <col min="8173" max="8173" width="1.25" style="62" customWidth="1"/>
    <col min="8174" max="8174" width="8.125" style="62" customWidth="1"/>
    <col min="8175" max="8175" width="1.625" style="62" customWidth="1"/>
    <col min="8176" max="8176" width="8" style="62" bestFit="1" customWidth="1"/>
    <col min="8177" max="8177" width="9.75" style="62" bestFit="1" customWidth="1"/>
    <col min="8178" max="8392" width="7" style="62" customWidth="1"/>
    <col min="8393" max="8393" width="20.75" style="62" customWidth="1"/>
    <col min="8394" max="8394" width="1.75" style="62" customWidth="1"/>
    <col min="8395" max="8395" width="14.25" style="62" customWidth="1"/>
    <col min="8396" max="8396" width="4.25" style="62" customWidth="1"/>
    <col min="8397" max="8397" width="8.75" style="62" bestFit="1" customWidth="1"/>
    <col min="8398" max="8398" width="6.25" style="62" bestFit="1" customWidth="1"/>
    <col min="8399" max="8399" width="2.125" style="62" customWidth="1"/>
    <col min="8400" max="8400" width="8.5" style="62" bestFit="1" customWidth="1"/>
    <col min="8401" max="8401" width="6.25" style="62" bestFit="1" customWidth="1"/>
    <col min="8402" max="8402" width="2.25" style="62" customWidth="1"/>
    <col min="8403" max="8403" width="9.5" style="62" bestFit="1" customWidth="1"/>
    <col min="8404" max="8404" width="7" style="62" bestFit="1" customWidth="1"/>
    <col min="8405" max="8405" width="1.75" style="62" customWidth="1"/>
    <col min="8406" max="8406" width="8.75" style="62" bestFit="1" customWidth="1"/>
    <col min="8407" max="8407" width="2" style="62" customWidth="1"/>
    <col min="8408" max="8408" width="8.75" style="62" bestFit="1" customWidth="1"/>
    <col min="8409" max="8409" width="6.25" style="62" bestFit="1" customWidth="1"/>
    <col min="8410" max="8410" width="1.25" style="62" customWidth="1"/>
    <col min="8411" max="8411" width="8.5" style="62" bestFit="1" customWidth="1"/>
    <col min="8412" max="8412" width="6.25" style="62" bestFit="1" customWidth="1"/>
    <col min="8413" max="8413" width="1.75" style="62" customWidth="1"/>
    <col min="8414" max="8414" width="9.5" style="62" bestFit="1" customWidth="1"/>
    <col min="8415" max="8415" width="7" style="62" bestFit="1" customWidth="1"/>
    <col min="8416" max="8416" width="1.625" style="62" customWidth="1"/>
    <col min="8417" max="8417" width="7.25" style="62" bestFit="1" customWidth="1"/>
    <col min="8418" max="8418" width="2.625" style="62" customWidth="1"/>
    <col min="8419" max="8419" width="13.25" style="62" customWidth="1"/>
    <col min="8420" max="8420" width="6.25" style="62" bestFit="1" customWidth="1"/>
    <col min="8421" max="8421" width="1.75" style="62" customWidth="1"/>
    <col min="8422" max="8422" width="8.5" style="62"/>
    <col min="8423" max="8423" width="42.25" style="62" bestFit="1" customWidth="1"/>
    <col min="8424" max="8424" width="1.25" style="62" customWidth="1"/>
    <col min="8425" max="8425" width="11.625" style="62" customWidth="1"/>
    <col min="8426" max="8426" width="1.25" style="62" customWidth="1"/>
    <col min="8427" max="8427" width="9.625" style="62" customWidth="1"/>
    <col min="8428" max="8428" width="8.125" style="62" customWidth="1"/>
    <col min="8429" max="8429" width="1.25" style="62" customWidth="1"/>
    <col min="8430" max="8430" width="8.125" style="62" customWidth="1"/>
    <col min="8431" max="8431" width="1.625" style="62" customWidth="1"/>
    <col min="8432" max="8432" width="8" style="62" bestFit="1" customWidth="1"/>
    <col min="8433" max="8433" width="9.75" style="62" bestFit="1" customWidth="1"/>
    <col min="8434" max="8648" width="7" style="62" customWidth="1"/>
    <col min="8649" max="8649" width="20.75" style="62" customWidth="1"/>
    <col min="8650" max="8650" width="1.75" style="62" customWidth="1"/>
    <col min="8651" max="8651" width="14.25" style="62" customWidth="1"/>
    <col min="8652" max="8652" width="4.25" style="62" customWidth="1"/>
    <col min="8653" max="8653" width="8.75" style="62" bestFit="1" customWidth="1"/>
    <col min="8654" max="8654" width="6.25" style="62" bestFit="1" customWidth="1"/>
    <col min="8655" max="8655" width="2.125" style="62" customWidth="1"/>
    <col min="8656" max="8656" width="8.5" style="62" bestFit="1" customWidth="1"/>
    <col min="8657" max="8657" width="6.25" style="62" bestFit="1" customWidth="1"/>
    <col min="8658" max="8658" width="2.25" style="62" customWidth="1"/>
    <col min="8659" max="8659" width="9.5" style="62" bestFit="1" customWidth="1"/>
    <col min="8660" max="8660" width="7" style="62" bestFit="1" customWidth="1"/>
    <col min="8661" max="8661" width="1.75" style="62" customWidth="1"/>
    <col min="8662" max="8662" width="8.75" style="62" bestFit="1" customWidth="1"/>
    <col min="8663" max="8663" width="2" style="62" customWidth="1"/>
    <col min="8664" max="8664" width="8.75" style="62" bestFit="1" customWidth="1"/>
    <col min="8665" max="8665" width="6.25" style="62" bestFit="1" customWidth="1"/>
    <col min="8666" max="8666" width="1.25" style="62" customWidth="1"/>
    <col min="8667" max="8667" width="8.5" style="62" bestFit="1" customWidth="1"/>
    <col min="8668" max="8668" width="6.25" style="62" bestFit="1" customWidth="1"/>
    <col min="8669" max="8669" width="1.75" style="62" customWidth="1"/>
    <col min="8670" max="8670" width="9.5" style="62" bestFit="1" customWidth="1"/>
    <col min="8671" max="8671" width="7" style="62" bestFit="1" customWidth="1"/>
    <col min="8672" max="8672" width="1.625" style="62" customWidth="1"/>
    <col min="8673" max="8673" width="7.25" style="62" bestFit="1" customWidth="1"/>
    <col min="8674" max="8674" width="2.625" style="62" customWidth="1"/>
    <col min="8675" max="8675" width="13.25" style="62" customWidth="1"/>
    <col min="8676" max="8676" width="6.25" style="62" bestFit="1" customWidth="1"/>
    <col min="8677" max="8677" width="1.75" style="62" customWidth="1"/>
    <col min="8678" max="8678" width="8.5" style="62"/>
    <col min="8679" max="8679" width="42.25" style="62" bestFit="1" customWidth="1"/>
    <col min="8680" max="8680" width="1.25" style="62" customWidth="1"/>
    <col min="8681" max="8681" width="11.625" style="62" customWidth="1"/>
    <col min="8682" max="8682" width="1.25" style="62" customWidth="1"/>
    <col min="8683" max="8683" width="9.625" style="62" customWidth="1"/>
    <col min="8684" max="8684" width="8.125" style="62" customWidth="1"/>
    <col min="8685" max="8685" width="1.25" style="62" customWidth="1"/>
    <col min="8686" max="8686" width="8.125" style="62" customWidth="1"/>
    <col min="8687" max="8687" width="1.625" style="62" customWidth="1"/>
    <col min="8688" max="8688" width="8" style="62" bestFit="1" customWidth="1"/>
    <col min="8689" max="8689" width="9.75" style="62" bestFit="1" customWidth="1"/>
    <col min="8690" max="8904" width="7" style="62" customWidth="1"/>
    <col min="8905" max="8905" width="20.75" style="62" customWidth="1"/>
    <col min="8906" max="8906" width="1.75" style="62" customWidth="1"/>
    <col min="8907" max="8907" width="14.25" style="62" customWidth="1"/>
    <col min="8908" max="8908" width="4.25" style="62" customWidth="1"/>
    <col min="8909" max="8909" width="8.75" style="62" bestFit="1" customWidth="1"/>
    <col min="8910" max="8910" width="6.25" style="62" bestFit="1" customWidth="1"/>
    <col min="8911" max="8911" width="2.125" style="62" customWidth="1"/>
    <col min="8912" max="8912" width="8.5" style="62" bestFit="1" customWidth="1"/>
    <col min="8913" max="8913" width="6.25" style="62" bestFit="1" customWidth="1"/>
    <col min="8914" max="8914" width="2.25" style="62" customWidth="1"/>
    <col min="8915" max="8915" width="9.5" style="62" bestFit="1" customWidth="1"/>
    <col min="8916" max="8916" width="7" style="62" bestFit="1" customWidth="1"/>
    <col min="8917" max="8917" width="1.75" style="62" customWidth="1"/>
    <col min="8918" max="8918" width="8.75" style="62" bestFit="1" customWidth="1"/>
    <col min="8919" max="8919" width="2" style="62" customWidth="1"/>
    <col min="8920" max="8920" width="8.75" style="62" bestFit="1" customWidth="1"/>
    <col min="8921" max="8921" width="6.25" style="62" bestFit="1" customWidth="1"/>
    <col min="8922" max="8922" width="1.25" style="62" customWidth="1"/>
    <col min="8923" max="8923" width="8.5" style="62" bestFit="1" customWidth="1"/>
    <col min="8924" max="8924" width="6.25" style="62" bestFit="1" customWidth="1"/>
    <col min="8925" max="8925" width="1.75" style="62" customWidth="1"/>
    <col min="8926" max="8926" width="9.5" style="62" bestFit="1" customWidth="1"/>
    <col min="8927" max="8927" width="7" style="62" bestFit="1" customWidth="1"/>
    <col min="8928" max="8928" width="1.625" style="62" customWidth="1"/>
    <col min="8929" max="8929" width="7.25" style="62" bestFit="1" customWidth="1"/>
    <col min="8930" max="8930" width="2.625" style="62" customWidth="1"/>
    <col min="8931" max="8931" width="13.25" style="62" customWidth="1"/>
    <col min="8932" max="8932" width="6.25" style="62" bestFit="1" customWidth="1"/>
    <col min="8933" max="8933" width="1.75" style="62" customWidth="1"/>
    <col min="8934" max="8934" width="8.5" style="62"/>
    <col min="8935" max="8935" width="42.25" style="62" bestFit="1" customWidth="1"/>
    <col min="8936" max="8936" width="1.25" style="62" customWidth="1"/>
    <col min="8937" max="8937" width="11.625" style="62" customWidth="1"/>
    <col min="8938" max="8938" width="1.25" style="62" customWidth="1"/>
    <col min="8939" max="8939" width="9.625" style="62" customWidth="1"/>
    <col min="8940" max="8940" width="8.125" style="62" customWidth="1"/>
    <col min="8941" max="8941" width="1.25" style="62" customWidth="1"/>
    <col min="8942" max="8942" width="8.125" style="62" customWidth="1"/>
    <col min="8943" max="8943" width="1.625" style="62" customWidth="1"/>
    <col min="8944" max="8944" width="8" style="62" bestFit="1" customWidth="1"/>
    <col min="8945" max="8945" width="9.75" style="62" bestFit="1" customWidth="1"/>
    <col min="8946" max="9160" width="7" style="62" customWidth="1"/>
    <col min="9161" max="9161" width="20.75" style="62" customWidth="1"/>
    <col min="9162" max="9162" width="1.75" style="62" customWidth="1"/>
    <col min="9163" max="9163" width="14.25" style="62" customWidth="1"/>
    <col min="9164" max="9164" width="4.25" style="62" customWidth="1"/>
    <col min="9165" max="9165" width="8.75" style="62" bestFit="1" customWidth="1"/>
    <col min="9166" max="9166" width="6.25" style="62" bestFit="1" customWidth="1"/>
    <col min="9167" max="9167" width="2.125" style="62" customWidth="1"/>
    <col min="9168" max="9168" width="8.5" style="62" bestFit="1" customWidth="1"/>
    <col min="9169" max="9169" width="6.25" style="62" bestFit="1" customWidth="1"/>
    <col min="9170" max="9170" width="2.25" style="62" customWidth="1"/>
    <col min="9171" max="9171" width="9.5" style="62" bestFit="1" customWidth="1"/>
    <col min="9172" max="9172" width="7" style="62" bestFit="1" customWidth="1"/>
    <col min="9173" max="9173" width="1.75" style="62" customWidth="1"/>
    <col min="9174" max="9174" width="8.75" style="62" bestFit="1" customWidth="1"/>
    <col min="9175" max="9175" width="2" style="62" customWidth="1"/>
    <col min="9176" max="9176" width="8.75" style="62" bestFit="1" customWidth="1"/>
    <col min="9177" max="9177" width="6.25" style="62" bestFit="1" customWidth="1"/>
    <col min="9178" max="9178" width="1.25" style="62" customWidth="1"/>
    <col min="9179" max="9179" width="8.5" style="62" bestFit="1" customWidth="1"/>
    <col min="9180" max="9180" width="6.25" style="62" bestFit="1" customWidth="1"/>
    <col min="9181" max="9181" width="1.75" style="62" customWidth="1"/>
    <col min="9182" max="9182" width="9.5" style="62" bestFit="1" customWidth="1"/>
    <col min="9183" max="9183" width="7" style="62" bestFit="1" customWidth="1"/>
    <col min="9184" max="9184" width="1.625" style="62" customWidth="1"/>
    <col min="9185" max="9185" width="7.25" style="62" bestFit="1" customWidth="1"/>
    <col min="9186" max="9186" width="2.625" style="62" customWidth="1"/>
    <col min="9187" max="9187" width="13.25" style="62" customWidth="1"/>
    <col min="9188" max="9188" width="6.25" style="62" bestFit="1" customWidth="1"/>
    <col min="9189" max="9189" width="1.75" style="62" customWidth="1"/>
    <col min="9190" max="9190" width="8.5" style="62"/>
    <col min="9191" max="9191" width="42.25" style="62" bestFit="1" customWidth="1"/>
    <col min="9192" max="9192" width="1.25" style="62" customWidth="1"/>
    <col min="9193" max="9193" width="11.625" style="62" customWidth="1"/>
    <col min="9194" max="9194" width="1.25" style="62" customWidth="1"/>
    <col min="9195" max="9195" width="9.625" style="62" customWidth="1"/>
    <col min="9196" max="9196" width="8.125" style="62" customWidth="1"/>
    <col min="9197" max="9197" width="1.25" style="62" customWidth="1"/>
    <col min="9198" max="9198" width="8.125" style="62" customWidth="1"/>
    <col min="9199" max="9199" width="1.625" style="62" customWidth="1"/>
    <col min="9200" max="9200" width="8" style="62" bestFit="1" customWidth="1"/>
    <col min="9201" max="9201" width="9.75" style="62" bestFit="1" customWidth="1"/>
    <col min="9202" max="9416" width="7" style="62" customWidth="1"/>
    <col min="9417" max="9417" width="20.75" style="62" customWidth="1"/>
    <col min="9418" max="9418" width="1.75" style="62" customWidth="1"/>
    <col min="9419" max="9419" width="14.25" style="62" customWidth="1"/>
    <col min="9420" max="9420" width="4.25" style="62" customWidth="1"/>
    <col min="9421" max="9421" width="8.75" style="62" bestFit="1" customWidth="1"/>
    <col min="9422" max="9422" width="6.25" style="62" bestFit="1" customWidth="1"/>
    <col min="9423" max="9423" width="2.125" style="62" customWidth="1"/>
    <col min="9424" max="9424" width="8.5" style="62" bestFit="1" customWidth="1"/>
    <col min="9425" max="9425" width="6.25" style="62" bestFit="1" customWidth="1"/>
    <col min="9426" max="9426" width="2.25" style="62" customWidth="1"/>
    <col min="9427" max="9427" width="9.5" style="62" bestFit="1" customWidth="1"/>
    <col min="9428" max="9428" width="7" style="62" bestFit="1" customWidth="1"/>
    <col min="9429" max="9429" width="1.75" style="62" customWidth="1"/>
    <col min="9430" max="9430" width="8.75" style="62" bestFit="1" customWidth="1"/>
    <col min="9431" max="9431" width="2" style="62" customWidth="1"/>
    <col min="9432" max="9432" width="8.75" style="62" bestFit="1" customWidth="1"/>
    <col min="9433" max="9433" width="6.25" style="62" bestFit="1" customWidth="1"/>
    <col min="9434" max="9434" width="1.25" style="62" customWidth="1"/>
    <col min="9435" max="9435" width="8.5" style="62" bestFit="1" customWidth="1"/>
    <col min="9436" max="9436" width="6.25" style="62" bestFit="1" customWidth="1"/>
    <col min="9437" max="9437" width="1.75" style="62" customWidth="1"/>
    <col min="9438" max="9438" width="9.5" style="62" bestFit="1" customWidth="1"/>
    <col min="9439" max="9439" width="7" style="62" bestFit="1" customWidth="1"/>
    <col min="9440" max="9440" width="1.625" style="62" customWidth="1"/>
    <col min="9441" max="9441" width="7.25" style="62" bestFit="1" customWidth="1"/>
    <col min="9442" max="9442" width="2.625" style="62" customWidth="1"/>
    <col min="9443" max="9443" width="13.25" style="62" customWidth="1"/>
    <col min="9444" max="9444" width="6.25" style="62" bestFit="1" customWidth="1"/>
    <col min="9445" max="9445" width="1.75" style="62" customWidth="1"/>
    <col min="9446" max="9446" width="8.5" style="62"/>
    <col min="9447" max="9447" width="42.25" style="62" bestFit="1" customWidth="1"/>
    <col min="9448" max="9448" width="1.25" style="62" customWidth="1"/>
    <col min="9449" max="9449" width="11.625" style="62" customWidth="1"/>
    <col min="9450" max="9450" width="1.25" style="62" customWidth="1"/>
    <col min="9451" max="9451" width="9.625" style="62" customWidth="1"/>
    <col min="9452" max="9452" width="8.125" style="62" customWidth="1"/>
    <col min="9453" max="9453" width="1.25" style="62" customWidth="1"/>
    <col min="9454" max="9454" width="8.125" style="62" customWidth="1"/>
    <col min="9455" max="9455" width="1.625" style="62" customWidth="1"/>
    <col min="9456" max="9456" width="8" style="62" bestFit="1" customWidth="1"/>
    <col min="9457" max="9457" width="9.75" style="62" bestFit="1" customWidth="1"/>
    <col min="9458" max="9672" width="7" style="62" customWidth="1"/>
    <col min="9673" max="9673" width="20.75" style="62" customWidth="1"/>
    <col min="9674" max="9674" width="1.75" style="62" customWidth="1"/>
    <col min="9675" max="9675" width="14.25" style="62" customWidth="1"/>
    <col min="9676" max="9676" width="4.25" style="62" customWidth="1"/>
    <col min="9677" max="9677" width="8.75" style="62" bestFit="1" customWidth="1"/>
    <col min="9678" max="9678" width="6.25" style="62" bestFit="1" customWidth="1"/>
    <col min="9679" max="9679" width="2.125" style="62" customWidth="1"/>
    <col min="9680" max="9680" width="8.5" style="62" bestFit="1" customWidth="1"/>
    <col min="9681" max="9681" width="6.25" style="62" bestFit="1" customWidth="1"/>
    <col min="9682" max="9682" width="2.25" style="62" customWidth="1"/>
    <col min="9683" max="9683" width="9.5" style="62" bestFit="1" customWidth="1"/>
    <col min="9684" max="9684" width="7" style="62" bestFit="1" customWidth="1"/>
    <col min="9685" max="9685" width="1.75" style="62" customWidth="1"/>
    <col min="9686" max="9686" width="8.75" style="62" bestFit="1" customWidth="1"/>
    <col min="9687" max="9687" width="2" style="62" customWidth="1"/>
    <col min="9688" max="9688" width="8.75" style="62" bestFit="1" customWidth="1"/>
    <col min="9689" max="9689" width="6.25" style="62" bestFit="1" customWidth="1"/>
    <col min="9690" max="9690" width="1.25" style="62" customWidth="1"/>
    <col min="9691" max="9691" width="8.5" style="62" bestFit="1" customWidth="1"/>
    <col min="9692" max="9692" width="6.25" style="62" bestFit="1" customWidth="1"/>
    <col min="9693" max="9693" width="1.75" style="62" customWidth="1"/>
    <col min="9694" max="9694" width="9.5" style="62" bestFit="1" customWidth="1"/>
    <col min="9695" max="9695" width="7" style="62" bestFit="1" customWidth="1"/>
    <col min="9696" max="9696" width="1.625" style="62" customWidth="1"/>
    <col min="9697" max="9697" width="7.25" style="62" bestFit="1" customWidth="1"/>
    <col min="9698" max="9698" width="2.625" style="62" customWidth="1"/>
    <col min="9699" max="9699" width="13.25" style="62" customWidth="1"/>
    <col min="9700" max="9700" width="6.25" style="62" bestFit="1" customWidth="1"/>
    <col min="9701" max="9701" width="1.75" style="62" customWidth="1"/>
    <col min="9702" max="9702" width="8.5" style="62"/>
    <col min="9703" max="9703" width="42.25" style="62" bestFit="1" customWidth="1"/>
    <col min="9704" max="9704" width="1.25" style="62" customWidth="1"/>
    <col min="9705" max="9705" width="11.625" style="62" customWidth="1"/>
    <col min="9706" max="9706" width="1.25" style="62" customWidth="1"/>
    <col min="9707" max="9707" width="9.625" style="62" customWidth="1"/>
    <col min="9708" max="9708" width="8.125" style="62" customWidth="1"/>
    <col min="9709" max="9709" width="1.25" style="62" customWidth="1"/>
    <col min="9710" max="9710" width="8.125" style="62" customWidth="1"/>
    <col min="9711" max="9711" width="1.625" style="62" customWidth="1"/>
    <col min="9712" max="9712" width="8" style="62" bestFit="1" customWidth="1"/>
    <col min="9713" max="9713" width="9.75" style="62" bestFit="1" customWidth="1"/>
    <col min="9714" max="9928" width="7" style="62" customWidth="1"/>
    <col min="9929" max="9929" width="20.75" style="62" customWidth="1"/>
    <col min="9930" max="9930" width="1.75" style="62" customWidth="1"/>
    <col min="9931" max="9931" width="14.25" style="62" customWidth="1"/>
    <col min="9932" max="9932" width="4.25" style="62" customWidth="1"/>
    <col min="9933" max="9933" width="8.75" style="62" bestFit="1" customWidth="1"/>
    <col min="9934" max="9934" width="6.25" style="62" bestFit="1" customWidth="1"/>
    <col min="9935" max="9935" width="2.125" style="62" customWidth="1"/>
    <col min="9936" max="9936" width="8.5" style="62" bestFit="1" customWidth="1"/>
    <col min="9937" max="9937" width="6.25" style="62" bestFit="1" customWidth="1"/>
    <col min="9938" max="9938" width="2.25" style="62" customWidth="1"/>
    <col min="9939" max="9939" width="9.5" style="62" bestFit="1" customWidth="1"/>
    <col min="9940" max="9940" width="7" style="62" bestFit="1" customWidth="1"/>
    <col min="9941" max="9941" width="1.75" style="62" customWidth="1"/>
    <col min="9942" max="9942" width="8.75" style="62" bestFit="1" customWidth="1"/>
    <col min="9943" max="9943" width="2" style="62" customWidth="1"/>
    <col min="9944" max="9944" width="8.75" style="62" bestFit="1" customWidth="1"/>
    <col min="9945" max="9945" width="6.25" style="62" bestFit="1" customWidth="1"/>
    <col min="9946" max="9946" width="1.25" style="62" customWidth="1"/>
    <col min="9947" max="9947" width="8.5" style="62" bestFit="1" customWidth="1"/>
    <col min="9948" max="9948" width="6.25" style="62" bestFit="1" customWidth="1"/>
    <col min="9949" max="9949" width="1.75" style="62" customWidth="1"/>
    <col min="9950" max="9950" width="9.5" style="62" bestFit="1" customWidth="1"/>
    <col min="9951" max="9951" width="7" style="62" bestFit="1" customWidth="1"/>
    <col min="9952" max="9952" width="1.625" style="62" customWidth="1"/>
    <col min="9953" max="9953" width="7.25" style="62" bestFit="1" customWidth="1"/>
    <col min="9954" max="9954" width="2.625" style="62" customWidth="1"/>
    <col min="9955" max="9955" width="13.25" style="62" customWidth="1"/>
    <col min="9956" max="9956" width="6.25" style="62" bestFit="1" customWidth="1"/>
    <col min="9957" max="9957" width="1.75" style="62" customWidth="1"/>
    <col min="9958" max="9958" width="8.5" style="62"/>
    <col min="9959" max="9959" width="42.25" style="62" bestFit="1" customWidth="1"/>
    <col min="9960" max="9960" width="1.25" style="62" customWidth="1"/>
    <col min="9961" max="9961" width="11.625" style="62" customWidth="1"/>
    <col min="9962" max="9962" width="1.25" style="62" customWidth="1"/>
    <col min="9963" max="9963" width="9.625" style="62" customWidth="1"/>
    <col min="9964" max="9964" width="8.125" style="62" customWidth="1"/>
    <col min="9965" max="9965" width="1.25" style="62" customWidth="1"/>
    <col min="9966" max="9966" width="8.125" style="62" customWidth="1"/>
    <col min="9967" max="9967" width="1.625" style="62" customWidth="1"/>
    <col min="9968" max="9968" width="8" style="62" bestFit="1" customWidth="1"/>
    <col min="9969" max="9969" width="9.75" style="62" bestFit="1" customWidth="1"/>
    <col min="9970" max="10184" width="7" style="62" customWidth="1"/>
    <col min="10185" max="10185" width="20.75" style="62" customWidth="1"/>
    <col min="10186" max="10186" width="1.75" style="62" customWidth="1"/>
    <col min="10187" max="10187" width="14.25" style="62" customWidth="1"/>
    <col min="10188" max="10188" width="4.25" style="62" customWidth="1"/>
    <col min="10189" max="10189" width="8.75" style="62" bestFit="1" customWidth="1"/>
    <col min="10190" max="10190" width="6.25" style="62" bestFit="1" customWidth="1"/>
    <col min="10191" max="10191" width="2.125" style="62" customWidth="1"/>
    <col min="10192" max="10192" width="8.5" style="62" bestFit="1" customWidth="1"/>
    <col min="10193" max="10193" width="6.25" style="62" bestFit="1" customWidth="1"/>
    <col min="10194" max="10194" width="2.25" style="62" customWidth="1"/>
    <col min="10195" max="10195" width="9.5" style="62" bestFit="1" customWidth="1"/>
    <col min="10196" max="10196" width="7" style="62" bestFit="1" customWidth="1"/>
    <col min="10197" max="10197" width="1.75" style="62" customWidth="1"/>
    <col min="10198" max="10198" width="8.75" style="62" bestFit="1" customWidth="1"/>
    <col min="10199" max="10199" width="2" style="62" customWidth="1"/>
    <col min="10200" max="10200" width="8.75" style="62" bestFit="1" customWidth="1"/>
    <col min="10201" max="10201" width="6.25" style="62" bestFit="1" customWidth="1"/>
    <col min="10202" max="10202" width="1.25" style="62" customWidth="1"/>
    <col min="10203" max="10203" width="8.5" style="62" bestFit="1" customWidth="1"/>
    <col min="10204" max="10204" width="6.25" style="62" bestFit="1" customWidth="1"/>
    <col min="10205" max="10205" width="1.75" style="62" customWidth="1"/>
    <col min="10206" max="10206" width="9.5" style="62" bestFit="1" customWidth="1"/>
    <col min="10207" max="10207" width="7" style="62" bestFit="1" customWidth="1"/>
    <col min="10208" max="10208" width="1.625" style="62" customWidth="1"/>
    <col min="10209" max="10209" width="7.25" style="62" bestFit="1" customWidth="1"/>
    <col min="10210" max="10210" width="2.625" style="62" customWidth="1"/>
    <col min="10211" max="10211" width="13.25" style="62" customWidth="1"/>
    <col min="10212" max="10212" width="6.25" style="62" bestFit="1" customWidth="1"/>
    <col min="10213" max="10213" width="1.75" style="62" customWidth="1"/>
    <col min="10214" max="10214" width="8.5" style="62"/>
    <col min="10215" max="10215" width="42.25" style="62" bestFit="1" customWidth="1"/>
    <col min="10216" max="10216" width="1.25" style="62" customWidth="1"/>
    <col min="10217" max="10217" width="11.625" style="62" customWidth="1"/>
    <col min="10218" max="10218" width="1.25" style="62" customWidth="1"/>
    <col min="10219" max="10219" width="9.625" style="62" customWidth="1"/>
    <col min="10220" max="10220" width="8.125" style="62" customWidth="1"/>
    <col min="10221" max="10221" width="1.25" style="62" customWidth="1"/>
    <col min="10222" max="10222" width="8.125" style="62" customWidth="1"/>
    <col min="10223" max="10223" width="1.625" style="62" customWidth="1"/>
    <col min="10224" max="10224" width="8" style="62" bestFit="1" customWidth="1"/>
    <col min="10225" max="10225" width="9.75" style="62" bestFit="1" customWidth="1"/>
    <col min="10226" max="10440" width="7" style="62" customWidth="1"/>
    <col min="10441" max="10441" width="20.75" style="62" customWidth="1"/>
    <col min="10442" max="10442" width="1.75" style="62" customWidth="1"/>
    <col min="10443" max="10443" width="14.25" style="62" customWidth="1"/>
    <col min="10444" max="10444" width="4.25" style="62" customWidth="1"/>
    <col min="10445" max="10445" width="8.75" style="62" bestFit="1" customWidth="1"/>
    <col min="10446" max="10446" width="6.25" style="62" bestFit="1" customWidth="1"/>
    <col min="10447" max="10447" width="2.125" style="62" customWidth="1"/>
    <col min="10448" max="10448" width="8.5" style="62" bestFit="1" customWidth="1"/>
    <col min="10449" max="10449" width="6.25" style="62" bestFit="1" customWidth="1"/>
    <col min="10450" max="10450" width="2.25" style="62" customWidth="1"/>
    <col min="10451" max="10451" width="9.5" style="62" bestFit="1" customWidth="1"/>
    <col min="10452" max="10452" width="7" style="62" bestFit="1" customWidth="1"/>
    <col min="10453" max="10453" width="1.75" style="62" customWidth="1"/>
    <col min="10454" max="10454" width="8.75" style="62" bestFit="1" customWidth="1"/>
    <col min="10455" max="10455" width="2" style="62" customWidth="1"/>
    <col min="10456" max="10456" width="8.75" style="62" bestFit="1" customWidth="1"/>
    <col min="10457" max="10457" width="6.25" style="62" bestFit="1" customWidth="1"/>
    <col min="10458" max="10458" width="1.25" style="62" customWidth="1"/>
    <col min="10459" max="10459" width="8.5" style="62" bestFit="1" customWidth="1"/>
    <col min="10460" max="10460" width="6.25" style="62" bestFit="1" customWidth="1"/>
    <col min="10461" max="10461" width="1.75" style="62" customWidth="1"/>
    <col min="10462" max="10462" width="9.5" style="62" bestFit="1" customWidth="1"/>
    <col min="10463" max="10463" width="7" style="62" bestFit="1" customWidth="1"/>
    <col min="10464" max="10464" width="1.625" style="62" customWidth="1"/>
    <col min="10465" max="10465" width="7.25" style="62" bestFit="1" customWidth="1"/>
    <col min="10466" max="10466" width="2.625" style="62" customWidth="1"/>
    <col min="10467" max="10467" width="13.25" style="62" customWidth="1"/>
    <col min="10468" max="10468" width="6.25" style="62" bestFit="1" customWidth="1"/>
    <col min="10469" max="10469" width="1.75" style="62" customWidth="1"/>
    <col min="10470" max="10470" width="8.5" style="62"/>
    <col min="10471" max="10471" width="42.25" style="62" bestFit="1" customWidth="1"/>
    <col min="10472" max="10472" width="1.25" style="62" customWidth="1"/>
    <col min="10473" max="10473" width="11.625" style="62" customWidth="1"/>
    <col min="10474" max="10474" width="1.25" style="62" customWidth="1"/>
    <col min="10475" max="10475" width="9.625" style="62" customWidth="1"/>
    <col min="10476" max="10476" width="8.125" style="62" customWidth="1"/>
    <col min="10477" max="10477" width="1.25" style="62" customWidth="1"/>
    <col min="10478" max="10478" width="8.125" style="62" customWidth="1"/>
    <col min="10479" max="10479" width="1.625" style="62" customWidth="1"/>
    <col min="10480" max="10480" width="8" style="62" bestFit="1" customWidth="1"/>
    <col min="10481" max="10481" width="9.75" style="62" bestFit="1" customWidth="1"/>
    <col min="10482" max="10696" width="7" style="62" customWidth="1"/>
    <col min="10697" max="10697" width="20.75" style="62" customWidth="1"/>
    <col min="10698" max="10698" width="1.75" style="62" customWidth="1"/>
    <col min="10699" max="10699" width="14.25" style="62" customWidth="1"/>
    <col min="10700" max="10700" width="4.25" style="62" customWidth="1"/>
    <col min="10701" max="10701" width="8.75" style="62" bestFit="1" customWidth="1"/>
    <col min="10702" max="10702" width="6.25" style="62" bestFit="1" customWidth="1"/>
    <col min="10703" max="10703" width="2.125" style="62" customWidth="1"/>
    <col min="10704" max="10704" width="8.5" style="62" bestFit="1" customWidth="1"/>
    <col min="10705" max="10705" width="6.25" style="62" bestFit="1" customWidth="1"/>
    <col min="10706" max="10706" width="2.25" style="62" customWidth="1"/>
    <col min="10707" max="10707" width="9.5" style="62" bestFit="1" customWidth="1"/>
    <col min="10708" max="10708" width="7" style="62" bestFit="1" customWidth="1"/>
    <col min="10709" max="10709" width="1.75" style="62" customWidth="1"/>
    <col min="10710" max="10710" width="8.75" style="62" bestFit="1" customWidth="1"/>
    <col min="10711" max="10711" width="2" style="62" customWidth="1"/>
    <col min="10712" max="10712" width="8.75" style="62" bestFit="1" customWidth="1"/>
    <col min="10713" max="10713" width="6.25" style="62" bestFit="1" customWidth="1"/>
    <col min="10714" max="10714" width="1.25" style="62" customWidth="1"/>
    <col min="10715" max="10715" width="8.5" style="62" bestFit="1" customWidth="1"/>
    <col min="10716" max="10716" width="6.25" style="62" bestFit="1" customWidth="1"/>
    <col min="10717" max="10717" width="1.75" style="62" customWidth="1"/>
    <col min="10718" max="10718" width="9.5" style="62" bestFit="1" customWidth="1"/>
    <col min="10719" max="10719" width="7" style="62" bestFit="1" customWidth="1"/>
    <col min="10720" max="10720" width="1.625" style="62" customWidth="1"/>
    <col min="10721" max="10721" width="7.25" style="62" bestFit="1" customWidth="1"/>
    <col min="10722" max="10722" width="2.625" style="62" customWidth="1"/>
    <col min="10723" max="10723" width="13.25" style="62" customWidth="1"/>
    <col min="10724" max="10724" width="6.25" style="62" bestFit="1" customWidth="1"/>
    <col min="10725" max="10725" width="1.75" style="62" customWidth="1"/>
    <col min="10726" max="10726" width="8.5" style="62"/>
    <col min="10727" max="10727" width="42.25" style="62" bestFit="1" customWidth="1"/>
    <col min="10728" max="10728" width="1.25" style="62" customWidth="1"/>
    <col min="10729" max="10729" width="11.625" style="62" customWidth="1"/>
    <col min="10730" max="10730" width="1.25" style="62" customWidth="1"/>
    <col min="10731" max="10731" width="9.625" style="62" customWidth="1"/>
    <col min="10732" max="10732" width="8.125" style="62" customWidth="1"/>
    <col min="10733" max="10733" width="1.25" style="62" customWidth="1"/>
    <col min="10734" max="10734" width="8.125" style="62" customWidth="1"/>
    <col min="10735" max="10735" width="1.625" style="62" customWidth="1"/>
    <col min="10736" max="10736" width="8" style="62" bestFit="1" customWidth="1"/>
    <col min="10737" max="10737" width="9.75" style="62" bestFit="1" customWidth="1"/>
    <col min="10738" max="10952" width="7" style="62" customWidth="1"/>
    <col min="10953" max="10953" width="20.75" style="62" customWidth="1"/>
    <col min="10954" max="10954" width="1.75" style="62" customWidth="1"/>
    <col min="10955" max="10955" width="14.25" style="62" customWidth="1"/>
    <col min="10956" max="10956" width="4.25" style="62" customWidth="1"/>
    <col min="10957" max="10957" width="8.75" style="62" bestFit="1" customWidth="1"/>
    <col min="10958" max="10958" width="6.25" style="62" bestFit="1" customWidth="1"/>
    <col min="10959" max="10959" width="2.125" style="62" customWidth="1"/>
    <col min="10960" max="10960" width="8.5" style="62" bestFit="1" customWidth="1"/>
    <col min="10961" max="10961" width="6.25" style="62" bestFit="1" customWidth="1"/>
    <col min="10962" max="10962" width="2.25" style="62" customWidth="1"/>
    <col min="10963" max="10963" width="9.5" style="62" bestFit="1" customWidth="1"/>
    <col min="10964" max="10964" width="7" style="62" bestFit="1" customWidth="1"/>
    <col min="10965" max="10965" width="1.75" style="62" customWidth="1"/>
    <col min="10966" max="10966" width="8.75" style="62" bestFit="1" customWidth="1"/>
    <col min="10967" max="10967" width="2" style="62" customWidth="1"/>
    <col min="10968" max="10968" width="8.75" style="62" bestFit="1" customWidth="1"/>
    <col min="10969" max="10969" width="6.25" style="62" bestFit="1" customWidth="1"/>
    <col min="10970" max="10970" width="1.25" style="62" customWidth="1"/>
    <col min="10971" max="10971" width="8.5" style="62" bestFit="1" customWidth="1"/>
    <col min="10972" max="10972" width="6.25" style="62" bestFit="1" customWidth="1"/>
    <col min="10973" max="10973" width="1.75" style="62" customWidth="1"/>
    <col min="10974" max="10974" width="9.5" style="62" bestFit="1" customWidth="1"/>
    <col min="10975" max="10975" width="7" style="62" bestFit="1" customWidth="1"/>
    <col min="10976" max="10976" width="1.625" style="62" customWidth="1"/>
    <col min="10977" max="10977" width="7.25" style="62" bestFit="1" customWidth="1"/>
    <col min="10978" max="10978" width="2.625" style="62" customWidth="1"/>
    <col min="10979" max="10979" width="13.25" style="62" customWidth="1"/>
    <col min="10980" max="10980" width="6.25" style="62" bestFit="1" customWidth="1"/>
    <col min="10981" max="10981" width="1.75" style="62" customWidth="1"/>
    <col min="10982" max="10982" width="8.5" style="62"/>
    <col min="10983" max="10983" width="42.25" style="62" bestFit="1" customWidth="1"/>
    <col min="10984" max="10984" width="1.25" style="62" customWidth="1"/>
    <col min="10985" max="10985" width="11.625" style="62" customWidth="1"/>
    <col min="10986" max="10986" width="1.25" style="62" customWidth="1"/>
    <col min="10987" max="10987" width="9.625" style="62" customWidth="1"/>
    <col min="10988" max="10988" width="8.125" style="62" customWidth="1"/>
    <col min="10989" max="10989" width="1.25" style="62" customWidth="1"/>
    <col min="10990" max="10990" width="8.125" style="62" customWidth="1"/>
    <col min="10991" max="10991" width="1.625" style="62" customWidth="1"/>
    <col min="10992" max="10992" width="8" style="62" bestFit="1" customWidth="1"/>
    <col min="10993" max="10993" width="9.75" style="62" bestFit="1" customWidth="1"/>
    <col min="10994" max="11208" width="7" style="62" customWidth="1"/>
    <col min="11209" max="11209" width="20.75" style="62" customWidth="1"/>
    <col min="11210" max="11210" width="1.75" style="62" customWidth="1"/>
    <col min="11211" max="11211" width="14.25" style="62" customWidth="1"/>
    <col min="11212" max="11212" width="4.25" style="62" customWidth="1"/>
    <col min="11213" max="11213" width="8.75" style="62" bestFit="1" customWidth="1"/>
    <col min="11214" max="11214" width="6.25" style="62" bestFit="1" customWidth="1"/>
    <col min="11215" max="11215" width="2.125" style="62" customWidth="1"/>
    <col min="11216" max="11216" width="8.5" style="62" bestFit="1" customWidth="1"/>
    <col min="11217" max="11217" width="6.25" style="62" bestFit="1" customWidth="1"/>
    <col min="11218" max="11218" width="2.25" style="62" customWidth="1"/>
    <col min="11219" max="11219" width="9.5" style="62" bestFit="1" customWidth="1"/>
    <col min="11220" max="11220" width="7" style="62" bestFit="1" customWidth="1"/>
    <col min="11221" max="11221" width="1.75" style="62" customWidth="1"/>
    <col min="11222" max="11222" width="8.75" style="62" bestFit="1" customWidth="1"/>
    <col min="11223" max="11223" width="2" style="62" customWidth="1"/>
    <col min="11224" max="11224" width="8.75" style="62" bestFit="1" customWidth="1"/>
    <col min="11225" max="11225" width="6.25" style="62" bestFit="1" customWidth="1"/>
    <col min="11226" max="11226" width="1.25" style="62" customWidth="1"/>
    <col min="11227" max="11227" width="8.5" style="62" bestFit="1" customWidth="1"/>
    <col min="11228" max="11228" width="6.25" style="62" bestFit="1" customWidth="1"/>
    <col min="11229" max="11229" width="1.75" style="62" customWidth="1"/>
    <col min="11230" max="11230" width="9.5" style="62" bestFit="1" customWidth="1"/>
    <col min="11231" max="11231" width="7" style="62" bestFit="1" customWidth="1"/>
    <col min="11232" max="11232" width="1.625" style="62" customWidth="1"/>
    <col min="11233" max="11233" width="7.25" style="62" bestFit="1" customWidth="1"/>
    <col min="11234" max="11234" width="2.625" style="62" customWidth="1"/>
    <col min="11235" max="11235" width="13.25" style="62" customWidth="1"/>
    <col min="11236" max="11236" width="6.25" style="62" bestFit="1" customWidth="1"/>
    <col min="11237" max="11237" width="1.75" style="62" customWidth="1"/>
    <col min="11238" max="11238" width="8.5" style="62"/>
    <col min="11239" max="11239" width="42.25" style="62" bestFit="1" customWidth="1"/>
    <col min="11240" max="11240" width="1.25" style="62" customWidth="1"/>
    <col min="11241" max="11241" width="11.625" style="62" customWidth="1"/>
    <col min="11242" max="11242" width="1.25" style="62" customWidth="1"/>
    <col min="11243" max="11243" width="9.625" style="62" customWidth="1"/>
    <col min="11244" max="11244" width="8.125" style="62" customWidth="1"/>
    <col min="11245" max="11245" width="1.25" style="62" customWidth="1"/>
    <col min="11246" max="11246" width="8.125" style="62" customWidth="1"/>
    <col min="11247" max="11247" width="1.625" style="62" customWidth="1"/>
    <col min="11248" max="11248" width="8" style="62" bestFit="1" customWidth="1"/>
    <col min="11249" max="11249" width="9.75" style="62" bestFit="1" customWidth="1"/>
    <col min="11250" max="11464" width="7" style="62" customWidth="1"/>
    <col min="11465" max="11465" width="20.75" style="62" customWidth="1"/>
    <col min="11466" max="11466" width="1.75" style="62" customWidth="1"/>
    <col min="11467" max="11467" width="14.25" style="62" customWidth="1"/>
    <col min="11468" max="11468" width="4.25" style="62" customWidth="1"/>
    <col min="11469" max="11469" width="8.75" style="62" bestFit="1" customWidth="1"/>
    <col min="11470" max="11470" width="6.25" style="62" bestFit="1" customWidth="1"/>
    <col min="11471" max="11471" width="2.125" style="62" customWidth="1"/>
    <col min="11472" max="11472" width="8.5" style="62" bestFit="1" customWidth="1"/>
    <col min="11473" max="11473" width="6.25" style="62" bestFit="1" customWidth="1"/>
    <col min="11474" max="11474" width="2.25" style="62" customWidth="1"/>
    <col min="11475" max="11475" width="9.5" style="62" bestFit="1" customWidth="1"/>
    <col min="11476" max="11476" width="7" style="62" bestFit="1" customWidth="1"/>
    <col min="11477" max="11477" width="1.75" style="62" customWidth="1"/>
    <col min="11478" max="11478" width="8.75" style="62" bestFit="1" customWidth="1"/>
    <col min="11479" max="11479" width="2" style="62" customWidth="1"/>
    <col min="11480" max="11480" width="8.75" style="62" bestFit="1" customWidth="1"/>
    <col min="11481" max="11481" width="6.25" style="62" bestFit="1" customWidth="1"/>
    <col min="11482" max="11482" width="1.25" style="62" customWidth="1"/>
    <col min="11483" max="11483" width="8.5" style="62" bestFit="1" customWidth="1"/>
    <col min="11484" max="11484" width="6.25" style="62" bestFit="1" customWidth="1"/>
    <col min="11485" max="11485" width="1.75" style="62" customWidth="1"/>
    <col min="11486" max="11486" width="9.5" style="62" bestFit="1" customWidth="1"/>
    <col min="11487" max="11487" width="7" style="62" bestFit="1" customWidth="1"/>
    <col min="11488" max="11488" width="1.625" style="62" customWidth="1"/>
    <col min="11489" max="11489" width="7.25" style="62" bestFit="1" customWidth="1"/>
    <col min="11490" max="11490" width="2.625" style="62" customWidth="1"/>
    <col min="11491" max="11491" width="13.25" style="62" customWidth="1"/>
    <col min="11492" max="11492" width="6.25" style="62" bestFit="1" customWidth="1"/>
    <col min="11493" max="11493" width="1.75" style="62" customWidth="1"/>
    <col min="11494" max="11494" width="8.5" style="62"/>
    <col min="11495" max="11495" width="42.25" style="62" bestFit="1" customWidth="1"/>
    <col min="11496" max="11496" width="1.25" style="62" customWidth="1"/>
    <col min="11497" max="11497" width="11.625" style="62" customWidth="1"/>
    <col min="11498" max="11498" width="1.25" style="62" customWidth="1"/>
    <col min="11499" max="11499" width="9.625" style="62" customWidth="1"/>
    <col min="11500" max="11500" width="8.125" style="62" customWidth="1"/>
    <col min="11501" max="11501" width="1.25" style="62" customWidth="1"/>
    <col min="11502" max="11502" width="8.125" style="62" customWidth="1"/>
    <col min="11503" max="11503" width="1.625" style="62" customWidth="1"/>
    <col min="11504" max="11504" width="8" style="62" bestFit="1" customWidth="1"/>
    <col min="11505" max="11505" width="9.75" style="62" bestFit="1" customWidth="1"/>
    <col min="11506" max="11720" width="7" style="62" customWidth="1"/>
    <col min="11721" max="11721" width="20.75" style="62" customWidth="1"/>
    <col min="11722" max="11722" width="1.75" style="62" customWidth="1"/>
    <col min="11723" max="11723" width="14.25" style="62" customWidth="1"/>
    <col min="11724" max="11724" width="4.25" style="62" customWidth="1"/>
    <col min="11725" max="11725" width="8.75" style="62" bestFit="1" customWidth="1"/>
    <col min="11726" max="11726" width="6.25" style="62" bestFit="1" customWidth="1"/>
    <col min="11727" max="11727" width="2.125" style="62" customWidth="1"/>
    <col min="11728" max="11728" width="8.5" style="62" bestFit="1" customWidth="1"/>
    <col min="11729" max="11729" width="6.25" style="62" bestFit="1" customWidth="1"/>
    <col min="11730" max="11730" width="2.25" style="62" customWidth="1"/>
    <col min="11731" max="11731" width="9.5" style="62" bestFit="1" customWidth="1"/>
    <col min="11732" max="11732" width="7" style="62" bestFit="1" customWidth="1"/>
    <col min="11733" max="11733" width="1.75" style="62" customWidth="1"/>
    <col min="11734" max="11734" width="8.75" style="62" bestFit="1" customWidth="1"/>
    <col min="11735" max="11735" width="2" style="62" customWidth="1"/>
    <col min="11736" max="11736" width="8.75" style="62" bestFit="1" customWidth="1"/>
    <col min="11737" max="11737" width="6.25" style="62" bestFit="1" customWidth="1"/>
    <col min="11738" max="11738" width="1.25" style="62" customWidth="1"/>
    <col min="11739" max="11739" width="8.5" style="62" bestFit="1" customWidth="1"/>
    <col min="11740" max="11740" width="6.25" style="62" bestFit="1" customWidth="1"/>
    <col min="11741" max="11741" width="1.75" style="62" customWidth="1"/>
    <col min="11742" max="11742" width="9.5" style="62" bestFit="1" customWidth="1"/>
    <col min="11743" max="11743" width="7" style="62" bestFit="1" customWidth="1"/>
    <col min="11744" max="11744" width="1.625" style="62" customWidth="1"/>
    <col min="11745" max="11745" width="7.25" style="62" bestFit="1" customWidth="1"/>
    <col min="11746" max="11746" width="2.625" style="62" customWidth="1"/>
    <col min="11747" max="11747" width="13.25" style="62" customWidth="1"/>
    <col min="11748" max="11748" width="6.25" style="62" bestFit="1" customWidth="1"/>
    <col min="11749" max="11749" width="1.75" style="62" customWidth="1"/>
    <col min="11750" max="11750" width="8.5" style="62"/>
    <col min="11751" max="11751" width="42.25" style="62" bestFit="1" customWidth="1"/>
    <col min="11752" max="11752" width="1.25" style="62" customWidth="1"/>
    <col min="11753" max="11753" width="11.625" style="62" customWidth="1"/>
    <col min="11754" max="11754" width="1.25" style="62" customWidth="1"/>
    <col min="11755" max="11755" width="9.625" style="62" customWidth="1"/>
    <col min="11756" max="11756" width="8.125" style="62" customWidth="1"/>
    <col min="11757" max="11757" width="1.25" style="62" customWidth="1"/>
    <col min="11758" max="11758" width="8.125" style="62" customWidth="1"/>
    <col min="11759" max="11759" width="1.625" style="62" customWidth="1"/>
    <col min="11760" max="11760" width="8" style="62" bestFit="1" customWidth="1"/>
    <col min="11761" max="11761" width="9.75" style="62" bestFit="1" customWidth="1"/>
    <col min="11762" max="11976" width="7" style="62" customWidth="1"/>
    <col min="11977" max="11977" width="20.75" style="62" customWidth="1"/>
    <col min="11978" max="11978" width="1.75" style="62" customWidth="1"/>
    <col min="11979" max="11979" width="14.25" style="62" customWidth="1"/>
    <col min="11980" max="11980" width="4.25" style="62" customWidth="1"/>
    <col min="11981" max="11981" width="8.75" style="62" bestFit="1" customWidth="1"/>
    <col min="11982" max="11982" width="6.25" style="62" bestFit="1" customWidth="1"/>
    <col min="11983" max="11983" width="2.125" style="62" customWidth="1"/>
    <col min="11984" max="11984" width="8.5" style="62" bestFit="1" customWidth="1"/>
    <col min="11985" max="11985" width="6.25" style="62" bestFit="1" customWidth="1"/>
    <col min="11986" max="11986" width="2.25" style="62" customWidth="1"/>
    <col min="11987" max="11987" width="9.5" style="62" bestFit="1" customWidth="1"/>
    <col min="11988" max="11988" width="7" style="62" bestFit="1" customWidth="1"/>
    <col min="11989" max="11989" width="1.75" style="62" customWidth="1"/>
    <col min="11990" max="11990" width="8.75" style="62" bestFit="1" customWidth="1"/>
    <col min="11991" max="11991" width="2" style="62" customWidth="1"/>
    <col min="11992" max="11992" width="8.75" style="62" bestFit="1" customWidth="1"/>
    <col min="11993" max="11993" width="6.25" style="62" bestFit="1" customWidth="1"/>
    <col min="11994" max="11994" width="1.25" style="62" customWidth="1"/>
    <col min="11995" max="11995" width="8.5" style="62" bestFit="1" customWidth="1"/>
    <col min="11996" max="11996" width="6.25" style="62" bestFit="1" customWidth="1"/>
    <col min="11997" max="11997" width="1.75" style="62" customWidth="1"/>
    <col min="11998" max="11998" width="9.5" style="62" bestFit="1" customWidth="1"/>
    <col min="11999" max="11999" width="7" style="62" bestFit="1" customWidth="1"/>
    <col min="12000" max="12000" width="1.625" style="62" customWidth="1"/>
    <col min="12001" max="12001" width="7.25" style="62" bestFit="1" customWidth="1"/>
    <col min="12002" max="12002" width="2.625" style="62" customWidth="1"/>
    <col min="12003" max="12003" width="13.25" style="62" customWidth="1"/>
    <col min="12004" max="12004" width="6.25" style="62" bestFit="1" customWidth="1"/>
    <col min="12005" max="12005" width="1.75" style="62" customWidth="1"/>
    <col min="12006" max="12006" width="8.5" style="62"/>
    <col min="12007" max="12007" width="42.25" style="62" bestFit="1" customWidth="1"/>
    <col min="12008" max="12008" width="1.25" style="62" customWidth="1"/>
    <col min="12009" max="12009" width="11.625" style="62" customWidth="1"/>
    <col min="12010" max="12010" width="1.25" style="62" customWidth="1"/>
    <col min="12011" max="12011" width="9.625" style="62" customWidth="1"/>
    <col min="12012" max="12012" width="8.125" style="62" customWidth="1"/>
    <col min="12013" max="12013" width="1.25" style="62" customWidth="1"/>
    <col min="12014" max="12014" width="8.125" style="62" customWidth="1"/>
    <col min="12015" max="12015" width="1.625" style="62" customWidth="1"/>
    <col min="12016" max="12016" width="8" style="62" bestFit="1" customWidth="1"/>
    <col min="12017" max="12017" width="9.75" style="62" bestFit="1" customWidth="1"/>
    <col min="12018" max="12232" width="7" style="62" customWidth="1"/>
    <col min="12233" max="12233" width="20.75" style="62" customWidth="1"/>
    <col min="12234" max="12234" width="1.75" style="62" customWidth="1"/>
    <col min="12235" max="12235" width="14.25" style="62" customWidth="1"/>
    <col min="12236" max="12236" width="4.25" style="62" customWidth="1"/>
    <col min="12237" max="12237" width="8.75" style="62" bestFit="1" customWidth="1"/>
    <col min="12238" max="12238" width="6.25" style="62" bestFit="1" customWidth="1"/>
    <col min="12239" max="12239" width="2.125" style="62" customWidth="1"/>
    <col min="12240" max="12240" width="8.5" style="62" bestFit="1" customWidth="1"/>
    <col min="12241" max="12241" width="6.25" style="62" bestFit="1" customWidth="1"/>
    <col min="12242" max="12242" width="2.25" style="62" customWidth="1"/>
    <col min="12243" max="12243" width="9.5" style="62" bestFit="1" customWidth="1"/>
    <col min="12244" max="12244" width="7" style="62" bestFit="1" customWidth="1"/>
    <col min="12245" max="12245" width="1.75" style="62" customWidth="1"/>
    <col min="12246" max="12246" width="8.75" style="62" bestFit="1" customWidth="1"/>
    <col min="12247" max="12247" width="2" style="62" customWidth="1"/>
    <col min="12248" max="12248" width="8.75" style="62" bestFit="1" customWidth="1"/>
    <col min="12249" max="12249" width="6.25" style="62" bestFit="1" customWidth="1"/>
    <col min="12250" max="12250" width="1.25" style="62" customWidth="1"/>
    <col min="12251" max="12251" width="8.5" style="62" bestFit="1" customWidth="1"/>
    <col min="12252" max="12252" width="6.25" style="62" bestFit="1" customWidth="1"/>
    <col min="12253" max="12253" width="1.75" style="62" customWidth="1"/>
    <col min="12254" max="12254" width="9.5" style="62" bestFit="1" customWidth="1"/>
    <col min="12255" max="12255" width="7" style="62" bestFit="1" customWidth="1"/>
    <col min="12256" max="12256" width="1.625" style="62" customWidth="1"/>
    <col min="12257" max="12257" width="7.25" style="62" bestFit="1" customWidth="1"/>
    <col min="12258" max="12258" width="2.625" style="62" customWidth="1"/>
    <col min="12259" max="12259" width="13.25" style="62" customWidth="1"/>
    <col min="12260" max="12260" width="6.25" style="62" bestFit="1" customWidth="1"/>
    <col min="12261" max="12261" width="1.75" style="62" customWidth="1"/>
    <col min="12262" max="12262" width="8.5" style="62"/>
    <col min="12263" max="12263" width="42.25" style="62" bestFit="1" customWidth="1"/>
    <col min="12264" max="12264" width="1.25" style="62" customWidth="1"/>
    <col min="12265" max="12265" width="11.625" style="62" customWidth="1"/>
    <col min="12266" max="12266" width="1.25" style="62" customWidth="1"/>
    <col min="12267" max="12267" width="9.625" style="62" customWidth="1"/>
    <col min="12268" max="12268" width="8.125" style="62" customWidth="1"/>
    <col min="12269" max="12269" width="1.25" style="62" customWidth="1"/>
    <col min="12270" max="12270" width="8.125" style="62" customWidth="1"/>
    <col min="12271" max="12271" width="1.625" style="62" customWidth="1"/>
    <col min="12272" max="12272" width="8" style="62" bestFit="1" customWidth="1"/>
    <col min="12273" max="12273" width="9.75" style="62" bestFit="1" customWidth="1"/>
    <col min="12274" max="12488" width="7" style="62" customWidth="1"/>
    <col min="12489" max="12489" width="20.75" style="62" customWidth="1"/>
    <col min="12490" max="12490" width="1.75" style="62" customWidth="1"/>
    <col min="12491" max="12491" width="14.25" style="62" customWidth="1"/>
    <col min="12492" max="12492" width="4.25" style="62" customWidth="1"/>
    <col min="12493" max="12493" width="8.75" style="62" bestFit="1" customWidth="1"/>
    <col min="12494" max="12494" width="6.25" style="62" bestFit="1" customWidth="1"/>
    <col min="12495" max="12495" width="2.125" style="62" customWidth="1"/>
    <col min="12496" max="12496" width="8.5" style="62" bestFit="1" customWidth="1"/>
    <col min="12497" max="12497" width="6.25" style="62" bestFit="1" customWidth="1"/>
    <col min="12498" max="12498" width="2.25" style="62" customWidth="1"/>
    <col min="12499" max="12499" width="9.5" style="62" bestFit="1" customWidth="1"/>
    <col min="12500" max="12500" width="7" style="62" bestFit="1" customWidth="1"/>
    <col min="12501" max="12501" width="1.75" style="62" customWidth="1"/>
    <col min="12502" max="12502" width="8.75" style="62" bestFit="1" customWidth="1"/>
    <col min="12503" max="12503" width="2" style="62" customWidth="1"/>
    <col min="12504" max="12504" width="8.75" style="62" bestFit="1" customWidth="1"/>
    <col min="12505" max="12505" width="6.25" style="62" bestFit="1" customWidth="1"/>
    <col min="12506" max="12506" width="1.25" style="62" customWidth="1"/>
    <col min="12507" max="12507" width="8.5" style="62" bestFit="1" customWidth="1"/>
    <col min="12508" max="12508" width="6.25" style="62" bestFit="1" customWidth="1"/>
    <col min="12509" max="12509" width="1.75" style="62" customWidth="1"/>
    <col min="12510" max="12510" width="9.5" style="62" bestFit="1" customWidth="1"/>
    <col min="12511" max="12511" width="7" style="62" bestFit="1" customWidth="1"/>
    <col min="12512" max="12512" width="1.625" style="62" customWidth="1"/>
    <col min="12513" max="12513" width="7.25" style="62" bestFit="1" customWidth="1"/>
    <col min="12514" max="12514" width="2.625" style="62" customWidth="1"/>
    <col min="12515" max="12515" width="13.25" style="62" customWidth="1"/>
    <col min="12516" max="12516" width="6.25" style="62" bestFit="1" customWidth="1"/>
    <col min="12517" max="12517" width="1.75" style="62" customWidth="1"/>
    <col min="12518" max="12518" width="8.5" style="62"/>
    <col min="12519" max="12519" width="42.25" style="62" bestFit="1" customWidth="1"/>
    <col min="12520" max="12520" width="1.25" style="62" customWidth="1"/>
    <col min="12521" max="12521" width="11.625" style="62" customWidth="1"/>
    <col min="12522" max="12522" width="1.25" style="62" customWidth="1"/>
    <col min="12523" max="12523" width="9.625" style="62" customWidth="1"/>
    <col min="12524" max="12524" width="8.125" style="62" customWidth="1"/>
    <col min="12525" max="12525" width="1.25" style="62" customWidth="1"/>
    <col min="12526" max="12526" width="8.125" style="62" customWidth="1"/>
    <col min="12527" max="12527" width="1.625" style="62" customWidth="1"/>
    <col min="12528" max="12528" width="8" style="62" bestFit="1" customWidth="1"/>
    <col min="12529" max="12529" width="9.75" style="62" bestFit="1" customWidth="1"/>
    <col min="12530" max="12744" width="7" style="62" customWidth="1"/>
    <col min="12745" max="12745" width="20.75" style="62" customWidth="1"/>
    <col min="12746" max="12746" width="1.75" style="62" customWidth="1"/>
    <col min="12747" max="12747" width="14.25" style="62" customWidth="1"/>
    <col min="12748" max="12748" width="4.25" style="62" customWidth="1"/>
    <col min="12749" max="12749" width="8.75" style="62" bestFit="1" customWidth="1"/>
    <col min="12750" max="12750" width="6.25" style="62" bestFit="1" customWidth="1"/>
    <col min="12751" max="12751" width="2.125" style="62" customWidth="1"/>
    <col min="12752" max="12752" width="8.5" style="62" bestFit="1" customWidth="1"/>
    <col min="12753" max="12753" width="6.25" style="62" bestFit="1" customWidth="1"/>
    <col min="12754" max="12754" width="2.25" style="62" customWidth="1"/>
    <col min="12755" max="12755" width="9.5" style="62" bestFit="1" customWidth="1"/>
    <col min="12756" max="12756" width="7" style="62" bestFit="1" customWidth="1"/>
    <col min="12757" max="12757" width="1.75" style="62" customWidth="1"/>
    <col min="12758" max="12758" width="8.75" style="62" bestFit="1" customWidth="1"/>
    <col min="12759" max="12759" width="2" style="62" customWidth="1"/>
    <col min="12760" max="12760" width="8.75" style="62" bestFit="1" customWidth="1"/>
    <col min="12761" max="12761" width="6.25" style="62" bestFit="1" customWidth="1"/>
    <col min="12762" max="12762" width="1.25" style="62" customWidth="1"/>
    <col min="12763" max="12763" width="8.5" style="62" bestFit="1" customWidth="1"/>
    <col min="12764" max="12764" width="6.25" style="62" bestFit="1" customWidth="1"/>
    <col min="12765" max="12765" width="1.75" style="62" customWidth="1"/>
    <col min="12766" max="12766" width="9.5" style="62" bestFit="1" customWidth="1"/>
    <col min="12767" max="12767" width="7" style="62" bestFit="1" customWidth="1"/>
    <col min="12768" max="12768" width="1.625" style="62" customWidth="1"/>
    <col min="12769" max="12769" width="7.25" style="62" bestFit="1" customWidth="1"/>
    <col min="12770" max="12770" width="2.625" style="62" customWidth="1"/>
    <col min="12771" max="12771" width="13.25" style="62" customWidth="1"/>
    <col min="12772" max="12772" width="6.25" style="62" bestFit="1" customWidth="1"/>
    <col min="12773" max="12773" width="1.75" style="62" customWidth="1"/>
    <col min="12774" max="12774" width="8.5" style="62"/>
    <col min="12775" max="12775" width="42.25" style="62" bestFit="1" customWidth="1"/>
    <col min="12776" max="12776" width="1.25" style="62" customWidth="1"/>
    <col min="12777" max="12777" width="11.625" style="62" customWidth="1"/>
    <col min="12778" max="12778" width="1.25" style="62" customWidth="1"/>
    <col min="12779" max="12779" width="9.625" style="62" customWidth="1"/>
    <col min="12780" max="12780" width="8.125" style="62" customWidth="1"/>
    <col min="12781" max="12781" width="1.25" style="62" customWidth="1"/>
    <col min="12782" max="12782" width="8.125" style="62" customWidth="1"/>
    <col min="12783" max="12783" width="1.625" style="62" customWidth="1"/>
    <col min="12784" max="12784" width="8" style="62" bestFit="1" customWidth="1"/>
    <col min="12785" max="12785" width="9.75" style="62" bestFit="1" customWidth="1"/>
    <col min="12786" max="13000" width="7" style="62" customWidth="1"/>
    <col min="13001" max="13001" width="20.75" style="62" customWidth="1"/>
    <col min="13002" max="13002" width="1.75" style="62" customWidth="1"/>
    <col min="13003" max="13003" width="14.25" style="62" customWidth="1"/>
    <col min="13004" max="13004" width="4.25" style="62" customWidth="1"/>
    <col min="13005" max="13005" width="8.75" style="62" bestFit="1" customWidth="1"/>
    <col min="13006" max="13006" width="6.25" style="62" bestFit="1" customWidth="1"/>
    <col min="13007" max="13007" width="2.125" style="62" customWidth="1"/>
    <col min="13008" max="13008" width="8.5" style="62" bestFit="1" customWidth="1"/>
    <col min="13009" max="13009" width="6.25" style="62" bestFit="1" customWidth="1"/>
    <col min="13010" max="13010" width="2.25" style="62" customWidth="1"/>
    <col min="13011" max="13011" width="9.5" style="62" bestFit="1" customWidth="1"/>
    <col min="13012" max="13012" width="7" style="62" bestFit="1" customWidth="1"/>
    <col min="13013" max="13013" width="1.75" style="62" customWidth="1"/>
    <col min="13014" max="13014" width="8.75" style="62" bestFit="1" customWidth="1"/>
    <col min="13015" max="13015" width="2" style="62" customWidth="1"/>
    <col min="13016" max="13016" width="8.75" style="62" bestFit="1" customWidth="1"/>
    <col min="13017" max="13017" width="6.25" style="62" bestFit="1" customWidth="1"/>
    <col min="13018" max="13018" width="1.25" style="62" customWidth="1"/>
    <col min="13019" max="13019" width="8.5" style="62" bestFit="1" customWidth="1"/>
    <col min="13020" max="13020" width="6.25" style="62" bestFit="1" customWidth="1"/>
    <col min="13021" max="13021" width="1.75" style="62" customWidth="1"/>
    <col min="13022" max="13022" width="9.5" style="62" bestFit="1" customWidth="1"/>
    <col min="13023" max="13023" width="7" style="62" bestFit="1" customWidth="1"/>
    <col min="13024" max="13024" width="1.625" style="62" customWidth="1"/>
    <col min="13025" max="13025" width="7.25" style="62" bestFit="1" customWidth="1"/>
    <col min="13026" max="13026" width="2.625" style="62" customWidth="1"/>
    <col min="13027" max="13027" width="13.25" style="62" customWidth="1"/>
    <col min="13028" max="13028" width="6.25" style="62" bestFit="1" customWidth="1"/>
    <col min="13029" max="13029" width="1.75" style="62" customWidth="1"/>
    <col min="13030" max="13030" width="8.5" style="62"/>
    <col min="13031" max="13031" width="42.25" style="62" bestFit="1" customWidth="1"/>
    <col min="13032" max="13032" width="1.25" style="62" customWidth="1"/>
    <col min="13033" max="13033" width="11.625" style="62" customWidth="1"/>
    <col min="13034" max="13034" width="1.25" style="62" customWidth="1"/>
    <col min="13035" max="13035" width="9.625" style="62" customWidth="1"/>
    <col min="13036" max="13036" width="8.125" style="62" customWidth="1"/>
    <col min="13037" max="13037" width="1.25" style="62" customWidth="1"/>
    <col min="13038" max="13038" width="8.125" style="62" customWidth="1"/>
    <col min="13039" max="13039" width="1.625" style="62" customWidth="1"/>
    <col min="13040" max="13040" width="8" style="62" bestFit="1" customWidth="1"/>
    <col min="13041" max="13041" width="9.75" style="62" bestFit="1" customWidth="1"/>
    <col min="13042" max="13256" width="7" style="62" customWidth="1"/>
    <col min="13257" max="13257" width="20.75" style="62" customWidth="1"/>
    <col min="13258" max="13258" width="1.75" style="62" customWidth="1"/>
    <col min="13259" max="13259" width="14.25" style="62" customWidth="1"/>
    <col min="13260" max="13260" width="4.25" style="62" customWidth="1"/>
    <col min="13261" max="13261" width="8.75" style="62" bestFit="1" customWidth="1"/>
    <col min="13262" max="13262" width="6.25" style="62" bestFit="1" customWidth="1"/>
    <col min="13263" max="13263" width="2.125" style="62" customWidth="1"/>
    <col min="13264" max="13264" width="8.5" style="62" bestFit="1" customWidth="1"/>
    <col min="13265" max="13265" width="6.25" style="62" bestFit="1" customWidth="1"/>
    <col min="13266" max="13266" width="2.25" style="62" customWidth="1"/>
    <col min="13267" max="13267" width="9.5" style="62" bestFit="1" customWidth="1"/>
    <col min="13268" max="13268" width="7" style="62" bestFit="1" customWidth="1"/>
    <col min="13269" max="13269" width="1.75" style="62" customWidth="1"/>
    <col min="13270" max="13270" width="8.75" style="62" bestFit="1" customWidth="1"/>
    <col min="13271" max="13271" width="2" style="62" customWidth="1"/>
    <col min="13272" max="13272" width="8.75" style="62" bestFit="1" customWidth="1"/>
    <col min="13273" max="13273" width="6.25" style="62" bestFit="1" customWidth="1"/>
    <col min="13274" max="13274" width="1.25" style="62" customWidth="1"/>
    <col min="13275" max="13275" width="8.5" style="62" bestFit="1" customWidth="1"/>
    <col min="13276" max="13276" width="6.25" style="62" bestFit="1" customWidth="1"/>
    <col min="13277" max="13277" width="1.75" style="62" customWidth="1"/>
    <col min="13278" max="13278" width="9.5" style="62" bestFit="1" customWidth="1"/>
    <col min="13279" max="13279" width="7" style="62" bestFit="1" customWidth="1"/>
    <col min="13280" max="13280" width="1.625" style="62" customWidth="1"/>
    <col min="13281" max="13281" width="7.25" style="62" bestFit="1" customWidth="1"/>
    <col min="13282" max="13282" width="2.625" style="62" customWidth="1"/>
    <col min="13283" max="13283" width="13.25" style="62" customWidth="1"/>
    <col min="13284" max="13284" width="6.25" style="62" bestFit="1" customWidth="1"/>
    <col min="13285" max="13285" width="1.75" style="62" customWidth="1"/>
    <col min="13286" max="13286" width="8.5" style="62"/>
    <col min="13287" max="13287" width="42.25" style="62" bestFit="1" customWidth="1"/>
    <col min="13288" max="13288" width="1.25" style="62" customWidth="1"/>
    <col min="13289" max="13289" width="11.625" style="62" customWidth="1"/>
    <col min="13290" max="13290" width="1.25" style="62" customWidth="1"/>
    <col min="13291" max="13291" width="9.625" style="62" customWidth="1"/>
    <col min="13292" max="13292" width="8.125" style="62" customWidth="1"/>
    <col min="13293" max="13293" width="1.25" style="62" customWidth="1"/>
    <col min="13294" max="13294" width="8.125" style="62" customWidth="1"/>
    <col min="13295" max="13295" width="1.625" style="62" customWidth="1"/>
    <col min="13296" max="13296" width="8" style="62" bestFit="1" customWidth="1"/>
    <col min="13297" max="13297" width="9.75" style="62" bestFit="1" customWidth="1"/>
    <col min="13298" max="13512" width="7" style="62" customWidth="1"/>
    <col min="13513" max="13513" width="20.75" style="62" customWidth="1"/>
    <col min="13514" max="13514" width="1.75" style="62" customWidth="1"/>
    <col min="13515" max="13515" width="14.25" style="62" customWidth="1"/>
    <col min="13516" max="13516" width="4.25" style="62" customWidth="1"/>
    <col min="13517" max="13517" width="8.75" style="62" bestFit="1" customWidth="1"/>
    <col min="13518" max="13518" width="6.25" style="62" bestFit="1" customWidth="1"/>
    <col min="13519" max="13519" width="2.125" style="62" customWidth="1"/>
    <col min="13520" max="13520" width="8.5" style="62" bestFit="1" customWidth="1"/>
    <col min="13521" max="13521" width="6.25" style="62" bestFit="1" customWidth="1"/>
    <col min="13522" max="13522" width="2.25" style="62" customWidth="1"/>
    <col min="13523" max="13523" width="9.5" style="62" bestFit="1" customWidth="1"/>
    <col min="13524" max="13524" width="7" style="62" bestFit="1" customWidth="1"/>
    <col min="13525" max="13525" width="1.75" style="62" customWidth="1"/>
    <col min="13526" max="13526" width="8.75" style="62" bestFit="1" customWidth="1"/>
    <col min="13527" max="13527" width="2" style="62" customWidth="1"/>
    <col min="13528" max="13528" width="8.75" style="62" bestFit="1" customWidth="1"/>
    <col min="13529" max="13529" width="6.25" style="62" bestFit="1" customWidth="1"/>
    <col min="13530" max="13530" width="1.25" style="62" customWidth="1"/>
    <col min="13531" max="13531" width="8.5" style="62" bestFit="1" customWidth="1"/>
    <col min="13532" max="13532" width="6.25" style="62" bestFit="1" customWidth="1"/>
    <col min="13533" max="13533" width="1.75" style="62" customWidth="1"/>
    <col min="13534" max="13534" width="9.5" style="62" bestFit="1" customWidth="1"/>
    <col min="13535" max="13535" width="7" style="62" bestFit="1" customWidth="1"/>
    <col min="13536" max="13536" width="1.625" style="62" customWidth="1"/>
    <col min="13537" max="13537" width="7.25" style="62" bestFit="1" customWidth="1"/>
    <col min="13538" max="13538" width="2.625" style="62" customWidth="1"/>
    <col min="13539" max="13539" width="13.25" style="62" customWidth="1"/>
    <col min="13540" max="13540" width="6.25" style="62" bestFit="1" customWidth="1"/>
    <col min="13541" max="13541" width="1.75" style="62" customWidth="1"/>
    <col min="13542" max="13542" width="8.5" style="62"/>
    <col min="13543" max="13543" width="42.25" style="62" bestFit="1" customWidth="1"/>
    <col min="13544" max="13544" width="1.25" style="62" customWidth="1"/>
    <col min="13545" max="13545" width="11.625" style="62" customWidth="1"/>
    <col min="13546" max="13546" width="1.25" style="62" customWidth="1"/>
    <col min="13547" max="13547" width="9.625" style="62" customWidth="1"/>
    <col min="13548" max="13548" width="8.125" style="62" customWidth="1"/>
    <col min="13549" max="13549" width="1.25" style="62" customWidth="1"/>
    <col min="13550" max="13550" width="8.125" style="62" customWidth="1"/>
    <col min="13551" max="13551" width="1.625" style="62" customWidth="1"/>
    <col min="13552" max="13552" width="8" style="62" bestFit="1" customWidth="1"/>
    <col min="13553" max="13553" width="9.75" style="62" bestFit="1" customWidth="1"/>
    <col min="13554" max="13768" width="7" style="62" customWidth="1"/>
    <col min="13769" max="13769" width="20.75" style="62" customWidth="1"/>
    <col min="13770" max="13770" width="1.75" style="62" customWidth="1"/>
    <col min="13771" max="13771" width="14.25" style="62" customWidth="1"/>
    <col min="13772" max="13772" width="4.25" style="62" customWidth="1"/>
    <col min="13773" max="13773" width="8.75" style="62" bestFit="1" customWidth="1"/>
    <col min="13774" max="13774" width="6.25" style="62" bestFit="1" customWidth="1"/>
    <col min="13775" max="13775" width="2.125" style="62" customWidth="1"/>
    <col min="13776" max="13776" width="8.5" style="62" bestFit="1" customWidth="1"/>
    <col min="13777" max="13777" width="6.25" style="62" bestFit="1" customWidth="1"/>
    <col min="13778" max="13778" width="2.25" style="62" customWidth="1"/>
    <col min="13779" max="13779" width="9.5" style="62" bestFit="1" customWidth="1"/>
    <col min="13780" max="13780" width="7" style="62" bestFit="1" customWidth="1"/>
    <col min="13781" max="13781" width="1.75" style="62" customWidth="1"/>
    <col min="13782" max="13782" width="8.75" style="62" bestFit="1" customWidth="1"/>
    <col min="13783" max="13783" width="2" style="62" customWidth="1"/>
    <col min="13784" max="13784" width="8.75" style="62" bestFit="1" customWidth="1"/>
    <col min="13785" max="13785" width="6.25" style="62" bestFit="1" customWidth="1"/>
    <col min="13786" max="13786" width="1.25" style="62" customWidth="1"/>
    <col min="13787" max="13787" width="8.5" style="62" bestFit="1" customWidth="1"/>
    <col min="13788" max="13788" width="6.25" style="62" bestFit="1" customWidth="1"/>
    <col min="13789" max="13789" width="1.75" style="62" customWidth="1"/>
    <col min="13790" max="13790" width="9.5" style="62" bestFit="1" customWidth="1"/>
    <col min="13791" max="13791" width="7" style="62" bestFit="1" customWidth="1"/>
    <col min="13792" max="13792" width="1.625" style="62" customWidth="1"/>
    <col min="13793" max="13793" width="7.25" style="62" bestFit="1" customWidth="1"/>
    <col min="13794" max="13794" width="2.625" style="62" customWidth="1"/>
    <col min="13795" max="13795" width="13.25" style="62" customWidth="1"/>
    <col min="13796" max="13796" width="6.25" style="62" bestFit="1" customWidth="1"/>
    <col min="13797" max="13797" width="1.75" style="62" customWidth="1"/>
    <col min="13798" max="13798" width="8.5" style="62"/>
    <col min="13799" max="13799" width="42.25" style="62" bestFit="1" customWidth="1"/>
    <col min="13800" max="13800" width="1.25" style="62" customWidth="1"/>
    <col min="13801" max="13801" width="11.625" style="62" customWidth="1"/>
    <col min="13802" max="13802" width="1.25" style="62" customWidth="1"/>
    <col min="13803" max="13803" width="9.625" style="62" customWidth="1"/>
    <col min="13804" max="13804" width="8.125" style="62" customWidth="1"/>
    <col min="13805" max="13805" width="1.25" style="62" customWidth="1"/>
    <col min="13806" max="13806" width="8.125" style="62" customWidth="1"/>
    <col min="13807" max="13807" width="1.625" style="62" customWidth="1"/>
    <col min="13808" max="13808" width="8" style="62" bestFit="1" customWidth="1"/>
    <col min="13809" max="13809" width="9.75" style="62" bestFit="1" customWidth="1"/>
    <col min="13810" max="14024" width="7" style="62" customWidth="1"/>
    <col min="14025" max="14025" width="20.75" style="62" customWidth="1"/>
    <col min="14026" max="14026" width="1.75" style="62" customWidth="1"/>
    <col min="14027" max="14027" width="14.25" style="62" customWidth="1"/>
    <col min="14028" max="14028" width="4.25" style="62" customWidth="1"/>
    <col min="14029" max="14029" width="8.75" style="62" bestFit="1" customWidth="1"/>
    <col min="14030" max="14030" width="6.25" style="62" bestFit="1" customWidth="1"/>
    <col min="14031" max="14031" width="2.125" style="62" customWidth="1"/>
    <col min="14032" max="14032" width="8.5" style="62" bestFit="1" customWidth="1"/>
    <col min="14033" max="14033" width="6.25" style="62" bestFit="1" customWidth="1"/>
    <col min="14034" max="14034" width="2.25" style="62" customWidth="1"/>
    <col min="14035" max="14035" width="9.5" style="62" bestFit="1" customWidth="1"/>
    <col min="14036" max="14036" width="7" style="62" bestFit="1" customWidth="1"/>
    <col min="14037" max="14037" width="1.75" style="62" customWidth="1"/>
    <col min="14038" max="14038" width="8.75" style="62" bestFit="1" customWidth="1"/>
    <col min="14039" max="14039" width="2" style="62" customWidth="1"/>
    <col min="14040" max="14040" width="8.75" style="62" bestFit="1" customWidth="1"/>
    <col min="14041" max="14041" width="6.25" style="62" bestFit="1" customWidth="1"/>
    <col min="14042" max="14042" width="1.25" style="62" customWidth="1"/>
    <col min="14043" max="14043" width="8.5" style="62" bestFit="1" customWidth="1"/>
    <col min="14044" max="14044" width="6.25" style="62" bestFit="1" customWidth="1"/>
    <col min="14045" max="14045" width="1.75" style="62" customWidth="1"/>
    <col min="14046" max="14046" width="9.5" style="62" bestFit="1" customWidth="1"/>
    <col min="14047" max="14047" width="7" style="62" bestFit="1" customWidth="1"/>
    <col min="14048" max="14048" width="1.625" style="62" customWidth="1"/>
    <col min="14049" max="14049" width="7.25" style="62" bestFit="1" customWidth="1"/>
    <col min="14050" max="14050" width="2.625" style="62" customWidth="1"/>
    <col min="14051" max="14051" width="13.25" style="62" customWidth="1"/>
    <col min="14052" max="14052" width="6.25" style="62" bestFit="1" customWidth="1"/>
    <col min="14053" max="14053" width="1.75" style="62" customWidth="1"/>
    <col min="14054" max="14054" width="8.5" style="62"/>
    <col min="14055" max="14055" width="42.25" style="62" bestFit="1" customWidth="1"/>
    <col min="14056" max="14056" width="1.25" style="62" customWidth="1"/>
    <col min="14057" max="14057" width="11.625" style="62" customWidth="1"/>
    <col min="14058" max="14058" width="1.25" style="62" customWidth="1"/>
    <col min="14059" max="14059" width="9.625" style="62" customWidth="1"/>
    <col min="14060" max="14060" width="8.125" style="62" customWidth="1"/>
    <col min="14061" max="14061" width="1.25" style="62" customWidth="1"/>
    <col min="14062" max="14062" width="8.125" style="62" customWidth="1"/>
    <col min="14063" max="14063" width="1.625" style="62" customWidth="1"/>
    <col min="14064" max="14064" width="8" style="62" bestFit="1" customWidth="1"/>
    <col min="14065" max="14065" width="9.75" style="62" bestFit="1" customWidth="1"/>
    <col min="14066" max="14280" width="7" style="62" customWidth="1"/>
    <col min="14281" max="14281" width="20.75" style="62" customWidth="1"/>
    <col min="14282" max="14282" width="1.75" style="62" customWidth="1"/>
    <col min="14283" max="14283" width="14.25" style="62" customWidth="1"/>
    <col min="14284" max="14284" width="4.25" style="62" customWidth="1"/>
    <col min="14285" max="14285" width="8.75" style="62" bestFit="1" customWidth="1"/>
    <col min="14286" max="14286" width="6.25" style="62" bestFit="1" customWidth="1"/>
    <col min="14287" max="14287" width="2.125" style="62" customWidth="1"/>
    <col min="14288" max="14288" width="8.5" style="62" bestFit="1" customWidth="1"/>
    <col min="14289" max="14289" width="6.25" style="62" bestFit="1" customWidth="1"/>
    <col min="14290" max="14290" width="2.25" style="62" customWidth="1"/>
    <col min="14291" max="14291" width="9.5" style="62" bestFit="1" customWidth="1"/>
    <col min="14292" max="14292" width="7" style="62" bestFit="1" customWidth="1"/>
    <col min="14293" max="14293" width="1.75" style="62" customWidth="1"/>
    <col min="14294" max="14294" width="8.75" style="62" bestFit="1" customWidth="1"/>
    <col min="14295" max="14295" width="2" style="62" customWidth="1"/>
    <col min="14296" max="14296" width="8.75" style="62" bestFit="1" customWidth="1"/>
    <col min="14297" max="14297" width="6.25" style="62" bestFit="1" customWidth="1"/>
    <col min="14298" max="14298" width="1.25" style="62" customWidth="1"/>
    <col min="14299" max="14299" width="8.5" style="62" bestFit="1" customWidth="1"/>
    <col min="14300" max="14300" width="6.25" style="62" bestFit="1" customWidth="1"/>
    <col min="14301" max="14301" width="1.75" style="62" customWidth="1"/>
    <col min="14302" max="14302" width="9.5" style="62" bestFit="1" customWidth="1"/>
    <col min="14303" max="14303" width="7" style="62" bestFit="1" customWidth="1"/>
    <col min="14304" max="14304" width="1.625" style="62" customWidth="1"/>
    <col min="14305" max="14305" width="7.25" style="62" bestFit="1" customWidth="1"/>
    <col min="14306" max="14306" width="2.625" style="62" customWidth="1"/>
    <col min="14307" max="14307" width="13.25" style="62" customWidth="1"/>
    <col min="14308" max="14308" width="6.25" style="62" bestFit="1" customWidth="1"/>
    <col min="14309" max="14309" width="1.75" style="62" customWidth="1"/>
    <col min="14310" max="14310" width="8.5" style="62"/>
    <col min="14311" max="14311" width="42.25" style="62" bestFit="1" customWidth="1"/>
    <col min="14312" max="14312" width="1.25" style="62" customWidth="1"/>
    <col min="14313" max="14313" width="11.625" style="62" customWidth="1"/>
    <col min="14314" max="14314" width="1.25" style="62" customWidth="1"/>
    <col min="14315" max="14315" width="9.625" style="62" customWidth="1"/>
    <col min="14316" max="14316" width="8.125" style="62" customWidth="1"/>
    <col min="14317" max="14317" width="1.25" style="62" customWidth="1"/>
    <col min="14318" max="14318" width="8.125" style="62" customWidth="1"/>
    <col min="14319" max="14319" width="1.625" style="62" customWidth="1"/>
    <col min="14320" max="14320" width="8" style="62" bestFit="1" customWidth="1"/>
    <col min="14321" max="14321" width="9.75" style="62" bestFit="1" customWidth="1"/>
    <col min="14322" max="14536" width="7" style="62" customWidth="1"/>
    <col min="14537" max="14537" width="20.75" style="62" customWidth="1"/>
    <col min="14538" max="14538" width="1.75" style="62" customWidth="1"/>
    <col min="14539" max="14539" width="14.25" style="62" customWidth="1"/>
    <col min="14540" max="14540" width="4.25" style="62" customWidth="1"/>
    <col min="14541" max="14541" width="8.75" style="62" bestFit="1" customWidth="1"/>
    <col min="14542" max="14542" width="6.25" style="62" bestFit="1" customWidth="1"/>
    <col min="14543" max="14543" width="2.125" style="62" customWidth="1"/>
    <col min="14544" max="14544" width="8.5" style="62" bestFit="1" customWidth="1"/>
    <col min="14545" max="14545" width="6.25" style="62" bestFit="1" customWidth="1"/>
    <col min="14546" max="14546" width="2.25" style="62" customWidth="1"/>
    <col min="14547" max="14547" width="9.5" style="62" bestFit="1" customWidth="1"/>
    <col min="14548" max="14548" width="7" style="62" bestFit="1" customWidth="1"/>
    <col min="14549" max="14549" width="1.75" style="62" customWidth="1"/>
    <col min="14550" max="14550" width="8.75" style="62" bestFit="1" customWidth="1"/>
    <col min="14551" max="14551" width="2" style="62" customWidth="1"/>
    <col min="14552" max="14552" width="8.75" style="62" bestFit="1" customWidth="1"/>
    <col min="14553" max="14553" width="6.25" style="62" bestFit="1" customWidth="1"/>
    <col min="14554" max="14554" width="1.25" style="62" customWidth="1"/>
    <col min="14555" max="14555" width="8.5" style="62" bestFit="1" customWidth="1"/>
    <col min="14556" max="14556" width="6.25" style="62" bestFit="1" customWidth="1"/>
    <col min="14557" max="14557" width="1.75" style="62" customWidth="1"/>
    <col min="14558" max="14558" width="9.5" style="62" bestFit="1" customWidth="1"/>
    <col min="14559" max="14559" width="7" style="62" bestFit="1" customWidth="1"/>
    <col min="14560" max="14560" width="1.625" style="62" customWidth="1"/>
    <col min="14561" max="14561" width="7.25" style="62" bestFit="1" customWidth="1"/>
    <col min="14562" max="14562" width="2.625" style="62" customWidth="1"/>
    <col min="14563" max="14563" width="13.25" style="62" customWidth="1"/>
    <col min="14564" max="14564" width="6.25" style="62" bestFit="1" customWidth="1"/>
    <col min="14565" max="14565" width="1.75" style="62" customWidth="1"/>
    <col min="14566" max="14566" width="8.5" style="62"/>
    <col min="14567" max="14567" width="42.25" style="62" bestFit="1" customWidth="1"/>
    <col min="14568" max="14568" width="1.25" style="62" customWidth="1"/>
    <col min="14569" max="14569" width="11.625" style="62" customWidth="1"/>
    <col min="14570" max="14570" width="1.25" style="62" customWidth="1"/>
    <col min="14571" max="14571" width="9.625" style="62" customWidth="1"/>
    <col min="14572" max="14572" width="8.125" style="62" customWidth="1"/>
    <col min="14573" max="14573" width="1.25" style="62" customWidth="1"/>
    <col min="14574" max="14574" width="8.125" style="62" customWidth="1"/>
    <col min="14575" max="14575" width="1.625" style="62" customWidth="1"/>
    <col min="14576" max="14576" width="8" style="62" bestFit="1" customWidth="1"/>
    <col min="14577" max="14577" width="9.75" style="62" bestFit="1" customWidth="1"/>
    <col min="14578" max="14792" width="7" style="62" customWidth="1"/>
    <col min="14793" max="14793" width="20.75" style="62" customWidth="1"/>
    <col min="14794" max="14794" width="1.75" style="62" customWidth="1"/>
    <col min="14795" max="14795" width="14.25" style="62" customWidth="1"/>
    <col min="14796" max="14796" width="4.25" style="62" customWidth="1"/>
    <col min="14797" max="14797" width="8.75" style="62" bestFit="1" customWidth="1"/>
    <col min="14798" max="14798" width="6.25" style="62" bestFit="1" customWidth="1"/>
    <col min="14799" max="14799" width="2.125" style="62" customWidth="1"/>
    <col min="14800" max="14800" width="8.5" style="62" bestFit="1" customWidth="1"/>
    <col min="14801" max="14801" width="6.25" style="62" bestFit="1" customWidth="1"/>
    <col min="14802" max="14802" width="2.25" style="62" customWidth="1"/>
    <col min="14803" max="14803" width="9.5" style="62" bestFit="1" customWidth="1"/>
    <col min="14804" max="14804" width="7" style="62" bestFit="1" customWidth="1"/>
    <col min="14805" max="14805" width="1.75" style="62" customWidth="1"/>
    <col min="14806" max="14806" width="8.75" style="62" bestFit="1" customWidth="1"/>
    <col min="14807" max="14807" width="2" style="62" customWidth="1"/>
    <col min="14808" max="14808" width="8.75" style="62" bestFit="1" customWidth="1"/>
    <col min="14809" max="14809" width="6.25" style="62" bestFit="1" customWidth="1"/>
    <col min="14810" max="14810" width="1.25" style="62" customWidth="1"/>
    <col min="14811" max="14811" width="8.5" style="62" bestFit="1" customWidth="1"/>
    <col min="14812" max="14812" width="6.25" style="62" bestFit="1" customWidth="1"/>
    <col min="14813" max="14813" width="1.75" style="62" customWidth="1"/>
    <col min="14814" max="14814" width="9.5" style="62" bestFit="1" customWidth="1"/>
    <col min="14815" max="14815" width="7" style="62" bestFit="1" customWidth="1"/>
    <col min="14816" max="14816" width="1.625" style="62" customWidth="1"/>
    <col min="14817" max="14817" width="7.25" style="62" bestFit="1" customWidth="1"/>
    <col min="14818" max="14818" width="2.625" style="62" customWidth="1"/>
    <col min="14819" max="14819" width="13.25" style="62" customWidth="1"/>
    <col min="14820" max="14820" width="6.25" style="62" bestFit="1" customWidth="1"/>
    <col min="14821" max="14821" width="1.75" style="62" customWidth="1"/>
    <col min="14822" max="14822" width="8.5" style="62"/>
    <col min="14823" max="14823" width="42.25" style="62" bestFit="1" customWidth="1"/>
    <col min="14824" max="14824" width="1.25" style="62" customWidth="1"/>
    <col min="14825" max="14825" width="11.625" style="62" customWidth="1"/>
    <col min="14826" max="14826" width="1.25" style="62" customWidth="1"/>
    <col min="14827" max="14827" width="9.625" style="62" customWidth="1"/>
    <col min="14828" max="14828" width="8.125" style="62" customWidth="1"/>
    <col min="14829" max="14829" width="1.25" style="62" customWidth="1"/>
    <col min="14830" max="14830" width="8.125" style="62" customWidth="1"/>
    <col min="14831" max="14831" width="1.625" style="62" customWidth="1"/>
    <col min="14832" max="14832" width="8" style="62" bestFit="1" customWidth="1"/>
    <col min="14833" max="14833" width="9.75" style="62" bestFit="1" customWidth="1"/>
    <col min="14834" max="15048" width="7" style="62" customWidth="1"/>
    <col min="15049" max="15049" width="20.75" style="62" customWidth="1"/>
    <col min="15050" max="15050" width="1.75" style="62" customWidth="1"/>
    <col min="15051" max="15051" width="14.25" style="62" customWidth="1"/>
    <col min="15052" max="15052" width="4.25" style="62" customWidth="1"/>
    <col min="15053" max="15053" width="8.75" style="62" bestFit="1" customWidth="1"/>
    <col min="15054" max="15054" width="6.25" style="62" bestFit="1" customWidth="1"/>
    <col min="15055" max="15055" width="2.125" style="62" customWidth="1"/>
    <col min="15056" max="15056" width="8.5" style="62" bestFit="1" customWidth="1"/>
    <col min="15057" max="15057" width="6.25" style="62" bestFit="1" customWidth="1"/>
    <col min="15058" max="15058" width="2.25" style="62" customWidth="1"/>
    <col min="15059" max="15059" width="9.5" style="62" bestFit="1" customWidth="1"/>
    <col min="15060" max="15060" width="7" style="62" bestFit="1" customWidth="1"/>
    <col min="15061" max="15061" width="1.75" style="62" customWidth="1"/>
    <col min="15062" max="15062" width="8.75" style="62" bestFit="1" customWidth="1"/>
    <col min="15063" max="15063" width="2" style="62" customWidth="1"/>
    <col min="15064" max="15064" width="8.75" style="62" bestFit="1" customWidth="1"/>
    <col min="15065" max="15065" width="6.25" style="62" bestFit="1" customWidth="1"/>
    <col min="15066" max="15066" width="1.25" style="62" customWidth="1"/>
    <col min="15067" max="15067" width="8.5" style="62" bestFit="1" customWidth="1"/>
    <col min="15068" max="15068" width="6.25" style="62" bestFit="1" customWidth="1"/>
    <col min="15069" max="15069" width="1.75" style="62" customWidth="1"/>
    <col min="15070" max="15070" width="9.5" style="62" bestFit="1" customWidth="1"/>
    <col min="15071" max="15071" width="7" style="62" bestFit="1" customWidth="1"/>
    <col min="15072" max="15072" width="1.625" style="62" customWidth="1"/>
    <col min="15073" max="15073" width="7.25" style="62" bestFit="1" customWidth="1"/>
    <col min="15074" max="15074" width="2.625" style="62" customWidth="1"/>
    <col min="15075" max="15075" width="13.25" style="62" customWidth="1"/>
    <col min="15076" max="15076" width="6.25" style="62" bestFit="1" customWidth="1"/>
    <col min="15077" max="15077" width="1.75" style="62" customWidth="1"/>
    <col min="15078" max="15078" width="8.5" style="62"/>
    <col min="15079" max="15079" width="42.25" style="62" bestFit="1" customWidth="1"/>
    <col min="15080" max="15080" width="1.25" style="62" customWidth="1"/>
    <col min="15081" max="15081" width="11.625" style="62" customWidth="1"/>
    <col min="15082" max="15082" width="1.25" style="62" customWidth="1"/>
    <col min="15083" max="15083" width="9.625" style="62" customWidth="1"/>
    <col min="15084" max="15084" width="8.125" style="62" customWidth="1"/>
    <col min="15085" max="15085" width="1.25" style="62" customWidth="1"/>
    <col min="15086" max="15086" width="8.125" style="62" customWidth="1"/>
    <col min="15087" max="15087" width="1.625" style="62" customWidth="1"/>
    <col min="15088" max="15088" width="8" style="62" bestFit="1" customWidth="1"/>
    <col min="15089" max="15089" width="9.75" style="62" bestFit="1" customWidth="1"/>
    <col min="15090" max="15304" width="7" style="62" customWidth="1"/>
    <col min="15305" max="15305" width="20.75" style="62" customWidth="1"/>
    <col min="15306" max="15306" width="1.75" style="62" customWidth="1"/>
    <col min="15307" max="15307" width="14.25" style="62" customWidth="1"/>
    <col min="15308" max="15308" width="4.25" style="62" customWidth="1"/>
    <col min="15309" max="15309" width="8.75" style="62" bestFit="1" customWidth="1"/>
    <col min="15310" max="15310" width="6.25" style="62" bestFit="1" customWidth="1"/>
    <col min="15311" max="15311" width="2.125" style="62" customWidth="1"/>
    <col min="15312" max="15312" width="8.5" style="62" bestFit="1" customWidth="1"/>
    <col min="15313" max="15313" width="6.25" style="62" bestFit="1" customWidth="1"/>
    <col min="15314" max="15314" width="2.25" style="62" customWidth="1"/>
    <col min="15315" max="15315" width="9.5" style="62" bestFit="1" customWidth="1"/>
    <col min="15316" max="15316" width="7" style="62" bestFit="1" customWidth="1"/>
    <col min="15317" max="15317" width="1.75" style="62" customWidth="1"/>
    <col min="15318" max="15318" width="8.75" style="62" bestFit="1" customWidth="1"/>
    <col min="15319" max="15319" width="2" style="62" customWidth="1"/>
    <col min="15320" max="15320" width="8.75" style="62" bestFit="1" customWidth="1"/>
    <col min="15321" max="15321" width="6.25" style="62" bestFit="1" customWidth="1"/>
    <col min="15322" max="15322" width="1.25" style="62" customWidth="1"/>
    <col min="15323" max="15323" width="8.5" style="62" bestFit="1" customWidth="1"/>
    <col min="15324" max="15324" width="6.25" style="62" bestFit="1" customWidth="1"/>
    <col min="15325" max="15325" width="1.75" style="62" customWidth="1"/>
    <col min="15326" max="15326" width="9.5" style="62" bestFit="1" customWidth="1"/>
    <col min="15327" max="15327" width="7" style="62" bestFit="1" customWidth="1"/>
    <col min="15328" max="15328" width="1.625" style="62" customWidth="1"/>
    <col min="15329" max="15329" width="7.25" style="62" bestFit="1" customWidth="1"/>
    <col min="15330" max="15330" width="2.625" style="62" customWidth="1"/>
    <col min="15331" max="15331" width="13.25" style="62" customWidth="1"/>
    <col min="15332" max="15332" width="6.25" style="62" bestFit="1" customWidth="1"/>
    <col min="15333" max="15333" width="1.75" style="62" customWidth="1"/>
    <col min="15334" max="15334" width="8.5" style="62"/>
    <col min="15335" max="15335" width="42.25" style="62" bestFit="1" customWidth="1"/>
    <col min="15336" max="15336" width="1.25" style="62" customWidth="1"/>
    <col min="15337" max="15337" width="11.625" style="62" customWidth="1"/>
    <col min="15338" max="15338" width="1.25" style="62" customWidth="1"/>
    <col min="15339" max="15339" width="9.625" style="62" customWidth="1"/>
    <col min="15340" max="15340" width="8.125" style="62" customWidth="1"/>
    <col min="15341" max="15341" width="1.25" style="62" customWidth="1"/>
    <col min="15342" max="15342" width="8.125" style="62" customWidth="1"/>
    <col min="15343" max="15343" width="1.625" style="62" customWidth="1"/>
    <col min="15344" max="15344" width="8" style="62" bestFit="1" customWidth="1"/>
    <col min="15345" max="15345" width="9.75" style="62" bestFit="1" customWidth="1"/>
    <col min="15346" max="15560" width="7" style="62" customWidth="1"/>
    <col min="15561" max="15561" width="20.75" style="62" customWidth="1"/>
    <col min="15562" max="15562" width="1.75" style="62" customWidth="1"/>
    <col min="15563" max="15563" width="14.25" style="62" customWidth="1"/>
    <col min="15564" max="15564" width="4.25" style="62" customWidth="1"/>
    <col min="15565" max="15565" width="8.75" style="62" bestFit="1" customWidth="1"/>
    <col min="15566" max="15566" width="6.25" style="62" bestFit="1" customWidth="1"/>
    <col min="15567" max="15567" width="2.125" style="62" customWidth="1"/>
    <col min="15568" max="15568" width="8.5" style="62" bestFit="1" customWidth="1"/>
    <col min="15569" max="15569" width="6.25" style="62" bestFit="1" customWidth="1"/>
    <col min="15570" max="15570" width="2.25" style="62" customWidth="1"/>
    <col min="15571" max="15571" width="9.5" style="62" bestFit="1" customWidth="1"/>
    <col min="15572" max="15572" width="7" style="62" bestFit="1" customWidth="1"/>
    <col min="15573" max="15573" width="1.75" style="62" customWidth="1"/>
    <col min="15574" max="15574" width="8.75" style="62" bestFit="1" customWidth="1"/>
    <col min="15575" max="15575" width="2" style="62" customWidth="1"/>
    <col min="15576" max="15576" width="8.75" style="62" bestFit="1" customWidth="1"/>
    <col min="15577" max="15577" width="6.25" style="62" bestFit="1" customWidth="1"/>
    <col min="15578" max="15578" width="1.25" style="62" customWidth="1"/>
    <col min="15579" max="15579" width="8.5" style="62" bestFit="1" customWidth="1"/>
    <col min="15580" max="15580" width="6.25" style="62" bestFit="1" customWidth="1"/>
    <col min="15581" max="15581" width="1.75" style="62" customWidth="1"/>
    <col min="15582" max="15582" width="9.5" style="62" bestFit="1" customWidth="1"/>
    <col min="15583" max="15583" width="7" style="62" bestFit="1" customWidth="1"/>
    <col min="15584" max="15584" width="1.625" style="62" customWidth="1"/>
    <col min="15585" max="15585" width="7.25" style="62" bestFit="1" customWidth="1"/>
    <col min="15586" max="15586" width="2.625" style="62" customWidth="1"/>
    <col min="15587" max="15587" width="13.25" style="62" customWidth="1"/>
    <col min="15588" max="15588" width="6.25" style="62" bestFit="1" customWidth="1"/>
    <col min="15589" max="15589" width="1.75" style="62" customWidth="1"/>
    <col min="15590" max="15590" width="8.5" style="62"/>
    <col min="15591" max="15591" width="42.25" style="62" bestFit="1" customWidth="1"/>
    <col min="15592" max="15592" width="1.25" style="62" customWidth="1"/>
    <col min="15593" max="15593" width="11.625" style="62" customWidth="1"/>
    <col min="15594" max="15594" width="1.25" style="62" customWidth="1"/>
    <col min="15595" max="15595" width="9.625" style="62" customWidth="1"/>
    <col min="15596" max="15596" width="8.125" style="62" customWidth="1"/>
    <col min="15597" max="15597" width="1.25" style="62" customWidth="1"/>
    <col min="15598" max="15598" width="8.125" style="62" customWidth="1"/>
    <col min="15599" max="15599" width="1.625" style="62" customWidth="1"/>
    <col min="15600" max="15600" width="8" style="62" bestFit="1" customWidth="1"/>
    <col min="15601" max="15601" width="9.75" style="62" bestFit="1" customWidth="1"/>
    <col min="15602" max="15816" width="7" style="62" customWidth="1"/>
    <col min="15817" max="15817" width="20.75" style="62" customWidth="1"/>
    <col min="15818" max="15818" width="1.75" style="62" customWidth="1"/>
    <col min="15819" max="15819" width="14.25" style="62" customWidth="1"/>
    <col min="15820" max="15820" width="4.25" style="62" customWidth="1"/>
    <col min="15821" max="15821" width="8.75" style="62" bestFit="1" customWidth="1"/>
    <col min="15822" max="15822" width="6.25" style="62" bestFit="1" customWidth="1"/>
    <col min="15823" max="15823" width="2.125" style="62" customWidth="1"/>
    <col min="15824" max="15824" width="8.5" style="62" bestFit="1" customWidth="1"/>
    <col min="15825" max="15825" width="6.25" style="62" bestFit="1" customWidth="1"/>
    <col min="15826" max="15826" width="2.25" style="62" customWidth="1"/>
    <col min="15827" max="15827" width="9.5" style="62" bestFit="1" customWidth="1"/>
    <col min="15828" max="15828" width="7" style="62" bestFit="1" customWidth="1"/>
    <col min="15829" max="15829" width="1.75" style="62" customWidth="1"/>
    <col min="15830" max="15830" width="8.75" style="62" bestFit="1" customWidth="1"/>
    <col min="15831" max="15831" width="2" style="62" customWidth="1"/>
    <col min="15832" max="15832" width="8.75" style="62" bestFit="1" customWidth="1"/>
    <col min="15833" max="15833" width="6.25" style="62" bestFit="1" customWidth="1"/>
    <col min="15834" max="15834" width="1.25" style="62" customWidth="1"/>
    <col min="15835" max="15835" width="8.5" style="62" bestFit="1" customWidth="1"/>
    <col min="15836" max="15836" width="6.25" style="62" bestFit="1" customWidth="1"/>
    <col min="15837" max="15837" width="1.75" style="62" customWidth="1"/>
    <col min="15838" max="15838" width="9.5" style="62" bestFit="1" customWidth="1"/>
    <col min="15839" max="15839" width="7" style="62" bestFit="1" customWidth="1"/>
    <col min="15840" max="15840" width="1.625" style="62" customWidth="1"/>
    <col min="15841" max="15841" width="7.25" style="62" bestFit="1" customWidth="1"/>
    <col min="15842" max="15842" width="2.625" style="62" customWidth="1"/>
    <col min="15843" max="15843" width="13.25" style="62" customWidth="1"/>
    <col min="15844" max="15844" width="6.25" style="62" bestFit="1" customWidth="1"/>
    <col min="15845" max="15845" width="1.75" style="62" customWidth="1"/>
    <col min="15846" max="15846" width="8.5" style="62"/>
    <col min="15847" max="15847" width="42.25" style="62" bestFit="1" customWidth="1"/>
    <col min="15848" max="15848" width="1.25" style="62" customWidth="1"/>
    <col min="15849" max="15849" width="11.625" style="62" customWidth="1"/>
    <col min="15850" max="15850" width="1.25" style="62" customWidth="1"/>
    <col min="15851" max="15851" width="9.625" style="62" customWidth="1"/>
    <col min="15852" max="15852" width="8.125" style="62" customWidth="1"/>
    <col min="15853" max="15853" width="1.25" style="62" customWidth="1"/>
    <col min="15854" max="15854" width="8.125" style="62" customWidth="1"/>
    <col min="15855" max="15855" width="1.625" style="62" customWidth="1"/>
    <col min="15856" max="15856" width="8" style="62" bestFit="1" customWidth="1"/>
    <col min="15857" max="15857" width="9.75" style="62" bestFit="1" customWidth="1"/>
    <col min="15858" max="16072" width="7" style="62" customWidth="1"/>
    <col min="16073" max="16073" width="20.75" style="62" customWidth="1"/>
    <col min="16074" max="16074" width="1.75" style="62" customWidth="1"/>
    <col min="16075" max="16075" width="14.25" style="62" customWidth="1"/>
    <col min="16076" max="16076" width="4.25" style="62" customWidth="1"/>
    <col min="16077" max="16077" width="8.75" style="62" bestFit="1" customWidth="1"/>
    <col min="16078" max="16078" width="6.25" style="62" bestFit="1" customWidth="1"/>
    <col min="16079" max="16079" width="2.125" style="62" customWidth="1"/>
    <col min="16080" max="16080" width="8.5" style="62" bestFit="1" customWidth="1"/>
    <col min="16081" max="16081" width="6.25" style="62" bestFit="1" customWidth="1"/>
    <col min="16082" max="16082" width="2.25" style="62" customWidth="1"/>
    <col min="16083" max="16083" width="9.5" style="62" bestFit="1" customWidth="1"/>
    <col min="16084" max="16084" width="7" style="62" bestFit="1" customWidth="1"/>
    <col min="16085" max="16085" width="1.75" style="62" customWidth="1"/>
    <col min="16086" max="16086" width="8.75" style="62" bestFit="1" customWidth="1"/>
    <col min="16087" max="16087" width="2" style="62" customWidth="1"/>
    <col min="16088" max="16088" width="8.75" style="62" bestFit="1" customWidth="1"/>
    <col min="16089" max="16089" width="6.25" style="62" bestFit="1" customWidth="1"/>
    <col min="16090" max="16090" width="1.25" style="62" customWidth="1"/>
    <col min="16091" max="16091" width="8.5" style="62" bestFit="1" customWidth="1"/>
    <col min="16092" max="16092" width="6.25" style="62" bestFit="1" customWidth="1"/>
    <col min="16093" max="16093" width="1.75" style="62" customWidth="1"/>
    <col min="16094" max="16094" width="9.5" style="62" bestFit="1" customWidth="1"/>
    <col min="16095" max="16095" width="7" style="62" bestFit="1" customWidth="1"/>
    <col min="16096" max="16096" width="1.625" style="62" customWidth="1"/>
    <col min="16097" max="16097" width="7.25" style="62" bestFit="1" customWidth="1"/>
    <col min="16098" max="16098" width="2.625" style="62" customWidth="1"/>
    <col min="16099" max="16099" width="13.25" style="62" customWidth="1"/>
    <col min="16100" max="16100" width="6.25" style="62" bestFit="1" customWidth="1"/>
    <col min="16101" max="16101" width="1.75" style="62" customWidth="1"/>
    <col min="16102" max="16102" width="8.5" style="62"/>
    <col min="16103" max="16103" width="42.25" style="62" bestFit="1" customWidth="1"/>
    <col min="16104" max="16104" width="1.25" style="62" customWidth="1"/>
    <col min="16105" max="16105" width="11.625" style="62" customWidth="1"/>
    <col min="16106" max="16106" width="1.25" style="62" customWidth="1"/>
    <col min="16107" max="16107" width="9.625" style="62" customWidth="1"/>
    <col min="16108" max="16108" width="8.125" style="62" customWidth="1"/>
    <col min="16109" max="16109" width="1.25" style="62" customWidth="1"/>
    <col min="16110" max="16110" width="8.125" style="62" customWidth="1"/>
    <col min="16111" max="16111" width="1.625" style="62" customWidth="1"/>
    <col min="16112" max="16112" width="8" style="62" bestFit="1" customWidth="1"/>
    <col min="16113" max="16113" width="9.75" style="62" bestFit="1" customWidth="1"/>
    <col min="16114" max="16328" width="7" style="62" customWidth="1"/>
    <col min="16329" max="16329" width="20.75" style="62" customWidth="1"/>
    <col min="16330" max="16330" width="1.75" style="62" customWidth="1"/>
    <col min="16331" max="16331" width="14.25" style="62" customWidth="1"/>
    <col min="16332" max="16332" width="4.25" style="62" customWidth="1"/>
    <col min="16333" max="16333" width="8.75" style="62" bestFit="1" customWidth="1"/>
    <col min="16334" max="16334" width="6.25" style="62" bestFit="1" customWidth="1"/>
    <col min="16335" max="16335" width="2.125" style="62" customWidth="1"/>
    <col min="16336" max="16336" width="8.5" style="62" bestFit="1" customWidth="1"/>
    <col min="16337" max="16337" width="6.25" style="62" bestFit="1" customWidth="1"/>
    <col min="16338" max="16338" width="2.25" style="62" customWidth="1"/>
    <col min="16339" max="16339" width="9.5" style="62" bestFit="1" customWidth="1"/>
    <col min="16340" max="16340" width="7" style="62" bestFit="1" customWidth="1"/>
    <col min="16341" max="16341" width="1.75" style="62" customWidth="1"/>
    <col min="16342" max="16342" width="8.75" style="62" bestFit="1" customWidth="1"/>
    <col min="16343" max="16343" width="2" style="62" customWidth="1"/>
    <col min="16344" max="16344" width="8.75" style="62" bestFit="1" customWidth="1"/>
    <col min="16345" max="16345" width="6.25" style="62" bestFit="1" customWidth="1"/>
    <col min="16346" max="16346" width="1.25" style="62" customWidth="1"/>
    <col min="16347" max="16347" width="8.5" style="62" bestFit="1" customWidth="1"/>
    <col min="16348" max="16348" width="6.25" style="62" bestFit="1" customWidth="1"/>
    <col min="16349" max="16349" width="1.75" style="62" customWidth="1"/>
    <col min="16350" max="16350" width="9.5" style="62" bestFit="1" customWidth="1"/>
    <col min="16351" max="16351" width="7" style="62" bestFit="1" customWidth="1"/>
    <col min="16352" max="16384" width="1.625" style="62" customWidth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63" customFormat="1" ht="15.75" customHeight="1">
      <c r="A2" s="61" t="s">
        <v>338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33" customHeight="1"/>
    <row r="4" spans="1:11" ht="33" customHeight="1">
      <c r="C4" s="64" t="s">
        <v>339</v>
      </c>
      <c r="D4" s="65"/>
      <c r="E4" s="65"/>
      <c r="F4" s="65"/>
      <c r="G4" s="65"/>
    </row>
    <row r="5" spans="1:11" s="63" customFormat="1">
      <c r="C5" s="66" t="s">
        <v>130</v>
      </c>
      <c r="D5" s="66"/>
      <c r="E5" s="61" t="s">
        <v>340</v>
      </c>
      <c r="F5" s="67"/>
      <c r="G5" s="61" t="s">
        <v>341</v>
      </c>
      <c r="H5" s="66"/>
      <c r="I5" s="61" t="s">
        <v>342</v>
      </c>
      <c r="J5" s="61"/>
    </row>
    <row r="6" spans="1:11" s="63" customFormat="1">
      <c r="C6" s="66" t="s">
        <v>343</v>
      </c>
      <c r="D6" s="66"/>
      <c r="E6" s="61" t="s">
        <v>127</v>
      </c>
      <c r="F6" s="67"/>
      <c r="G6" s="61" t="s">
        <v>344</v>
      </c>
      <c r="H6" s="66"/>
      <c r="I6" s="61" t="s">
        <v>127</v>
      </c>
      <c r="J6" s="61"/>
    </row>
    <row r="7" spans="1:11" s="63" customFormat="1">
      <c r="A7" s="68" t="s">
        <v>345</v>
      </c>
      <c r="C7" s="69" t="s">
        <v>131</v>
      </c>
      <c r="E7" s="69" t="s">
        <v>131</v>
      </c>
      <c r="G7" s="69" t="s">
        <v>131</v>
      </c>
      <c r="I7" s="69" t="s">
        <v>131</v>
      </c>
      <c r="J7" s="69" t="s">
        <v>168</v>
      </c>
    </row>
    <row r="8" spans="1:11">
      <c r="A8" s="62" t="s">
        <v>346</v>
      </c>
      <c r="C8" s="70">
        <v>623014.36641879997</v>
      </c>
      <c r="E8" s="70">
        <v>45785.363888061358</v>
      </c>
      <c r="F8" s="70"/>
      <c r="G8" s="70">
        <v>-11660.708508953865</v>
      </c>
      <c r="I8" s="70">
        <f>G8/$G$26*$I$26</f>
        <v>-1398.2125718283894</v>
      </c>
      <c r="J8" s="71">
        <f>I8/(C8+E8)</f>
        <v>-2.090629688482165E-3</v>
      </c>
    </row>
    <row r="9" spans="1:11">
      <c r="A9" s="62" t="s">
        <v>347</v>
      </c>
      <c r="C9" s="70">
        <v>460778.65638280002</v>
      </c>
      <c r="E9" s="70">
        <v>29080.853754948916</v>
      </c>
      <c r="F9" s="70"/>
      <c r="G9" s="70">
        <v>-9319.5341088271834</v>
      </c>
      <c r="I9" s="70">
        <f t="shared" ref="I9:I25" si="0">G9/$G$26*$I$26</f>
        <v>-1117.4869644104238</v>
      </c>
      <c r="J9" s="71">
        <f t="shared" ref="J9:J27" si="1">I9/(C9+E9)</f>
        <v>-2.2812397050251923E-3</v>
      </c>
    </row>
    <row r="10" spans="1:11">
      <c r="A10" s="62" t="s">
        <v>348</v>
      </c>
      <c r="C10" s="70">
        <v>138876.68594639999</v>
      </c>
      <c r="E10" s="70">
        <v>10139.722219154162</v>
      </c>
      <c r="F10" s="70"/>
      <c r="G10" s="70">
        <v>-2989.2630004106381</v>
      </c>
      <c r="I10" s="70">
        <f t="shared" si="0"/>
        <v>-358.43663397178767</v>
      </c>
      <c r="J10" s="71">
        <f t="shared" si="1"/>
        <v>-2.4053501113352029E-3</v>
      </c>
    </row>
    <row r="11" spans="1:11">
      <c r="A11" s="62" t="s">
        <v>349</v>
      </c>
      <c r="C11" s="70">
        <v>13801.649793099999</v>
      </c>
      <c r="E11" s="70">
        <v>0</v>
      </c>
      <c r="F11" s="70"/>
      <c r="G11" s="70">
        <v>-61.911754900728162</v>
      </c>
      <c r="I11" s="70">
        <f t="shared" si="0"/>
        <v>-7.4237164902703014</v>
      </c>
      <c r="J11" s="71">
        <f t="shared" si="1"/>
        <v>-5.3788616589747957E-4</v>
      </c>
      <c r="K11" s="72">
        <f>I11/$I$26</f>
        <v>1.8426117529978616E-3</v>
      </c>
    </row>
    <row r="12" spans="1:11">
      <c r="A12" s="62" t="s">
        <v>350</v>
      </c>
      <c r="C12" s="70">
        <v>215589.84022069999</v>
      </c>
      <c r="E12" s="70">
        <v>18286.618830807558</v>
      </c>
      <c r="F12" s="70"/>
      <c r="G12" s="70">
        <v>-5607.8848361852743</v>
      </c>
      <c r="I12" s="70">
        <f t="shared" si="0"/>
        <v>-672.4304164964924</v>
      </c>
      <c r="J12" s="71">
        <f t="shared" si="1"/>
        <v>-2.8751522031056592E-3</v>
      </c>
    </row>
    <row r="13" spans="1:11">
      <c r="A13" s="62" t="s">
        <v>351</v>
      </c>
      <c r="C13" s="70">
        <v>12157.883037200001</v>
      </c>
      <c r="E13" s="70">
        <v>865.79221157960365</v>
      </c>
      <c r="F13" s="70"/>
      <c r="G13" s="70">
        <v>-238.28608029507782</v>
      </c>
      <c r="I13" s="70">
        <f t="shared" si="0"/>
        <v>-28.572414180875317</v>
      </c>
      <c r="J13" s="71">
        <f t="shared" si="1"/>
        <v>-2.1938825742413011E-3</v>
      </c>
    </row>
    <row r="14" spans="1:11">
      <c r="A14" s="62" t="s">
        <v>352</v>
      </c>
      <c r="C14" s="70">
        <v>1218.1327200000001</v>
      </c>
      <c r="E14" s="70">
        <v>0</v>
      </c>
      <c r="F14" s="70"/>
      <c r="G14" s="70">
        <v>-12.403264377858857</v>
      </c>
      <c r="I14" s="73">
        <f t="shared" si="0"/>
        <v>-1.4872509823495579</v>
      </c>
      <c r="J14" s="71">
        <f t="shared" si="1"/>
        <v>-1.2209268808981322E-3</v>
      </c>
      <c r="K14" s="72">
        <f>I14/$I$26</f>
        <v>3.6914477315056117E-4</v>
      </c>
    </row>
    <row r="15" spans="1:11">
      <c r="A15" s="62" t="s">
        <v>353</v>
      </c>
      <c r="C15" s="70">
        <v>521.27995859999999</v>
      </c>
      <c r="E15" s="70">
        <v>38.059908634745128</v>
      </c>
      <c r="F15" s="70"/>
      <c r="G15" s="70">
        <v>-6.723974939871594</v>
      </c>
      <c r="I15" s="73">
        <f>G15/$G$26*$I$26</f>
        <v>-0.80625858080307655</v>
      </c>
      <c r="J15" s="72">
        <f>I15/(C15+E15)</f>
        <v>-1.4414466553028733E-3</v>
      </c>
      <c r="K15" s="72">
        <f>I15/$I$26</f>
        <v>2.0011830178189263E-4</v>
      </c>
    </row>
    <row r="16" spans="1:11">
      <c r="A16" s="62" t="s">
        <v>354</v>
      </c>
      <c r="C16" s="70">
        <v>281.23465000000004</v>
      </c>
      <c r="E16" s="70">
        <v>23.824066364976286</v>
      </c>
      <c r="F16" s="70"/>
      <c r="G16" s="70">
        <v>-5.7429353338691502</v>
      </c>
      <c r="I16" s="70">
        <f t="shared" si="0"/>
        <v>-0.68862405546347971</v>
      </c>
      <c r="J16" s="71">
        <f t="shared" si="1"/>
        <v>-2.2573492200747372E-3</v>
      </c>
      <c r="K16" s="72"/>
    </row>
    <row r="17" spans="1:10">
      <c r="A17" s="62" t="s">
        <v>355</v>
      </c>
      <c r="C17" s="70">
        <v>121797.0054729</v>
      </c>
      <c r="E17" s="70">
        <v>7686.903147279394</v>
      </c>
      <c r="F17" s="70"/>
      <c r="G17" s="70">
        <v>-2202.1340607381162</v>
      </c>
      <c r="I17" s="70">
        <f t="shared" si="0"/>
        <v>-264.05355439690788</v>
      </c>
      <c r="J17" s="71">
        <f t="shared" si="1"/>
        <v>-2.0392769820647546E-3</v>
      </c>
    </row>
    <row r="18" spans="1:10">
      <c r="A18" s="62" t="s">
        <v>356</v>
      </c>
      <c r="C18" s="70">
        <v>793.09077920000004</v>
      </c>
      <c r="E18" s="70">
        <v>57.905473052289416</v>
      </c>
      <c r="F18" s="70"/>
      <c r="G18" s="70">
        <v>-16.195262777305345</v>
      </c>
      <c r="I18" s="70">
        <f t="shared" si="0"/>
        <v>-1.9419420356751742</v>
      </c>
      <c r="J18" s="71">
        <f t="shared" si="1"/>
        <v>-2.2819630880107087E-3</v>
      </c>
    </row>
    <row r="19" spans="1:10">
      <c r="A19" s="62" t="s">
        <v>357</v>
      </c>
      <c r="C19" s="70">
        <v>0.629</v>
      </c>
      <c r="E19" s="70">
        <v>0</v>
      </c>
      <c r="F19" s="70"/>
      <c r="G19" s="70">
        <v>0</v>
      </c>
      <c r="I19" s="70">
        <f t="shared" si="0"/>
        <v>0</v>
      </c>
      <c r="J19" s="71">
        <f t="shared" si="1"/>
        <v>0</v>
      </c>
    </row>
    <row r="20" spans="1:10">
      <c r="A20" s="62" t="s">
        <v>358</v>
      </c>
      <c r="C20" s="70">
        <v>17.277000000000001</v>
      </c>
      <c r="E20" s="70">
        <v>0</v>
      </c>
      <c r="F20" s="70"/>
      <c r="G20" s="70">
        <v>0</v>
      </c>
      <c r="I20" s="70">
        <f t="shared" si="0"/>
        <v>0</v>
      </c>
      <c r="J20" s="71">
        <f t="shared" si="1"/>
        <v>0</v>
      </c>
    </row>
    <row r="21" spans="1:10">
      <c r="A21" s="62" t="s">
        <v>359</v>
      </c>
      <c r="C21" s="70">
        <v>22942.658742756612</v>
      </c>
      <c r="E21" s="70">
        <v>0</v>
      </c>
      <c r="F21" s="70"/>
      <c r="G21" s="70">
        <v>0</v>
      </c>
      <c r="I21" s="70">
        <f t="shared" si="0"/>
        <v>0</v>
      </c>
      <c r="J21" s="71">
        <f t="shared" si="1"/>
        <v>0</v>
      </c>
    </row>
    <row r="22" spans="1:10">
      <c r="A22" s="62" t="s">
        <v>360</v>
      </c>
      <c r="C22" s="70">
        <v>30307.371080770277</v>
      </c>
      <c r="E22" s="70">
        <v>0</v>
      </c>
      <c r="F22" s="70"/>
      <c r="G22" s="70">
        <v>0</v>
      </c>
      <c r="I22" s="70">
        <f t="shared" si="0"/>
        <v>0</v>
      </c>
      <c r="J22" s="71">
        <f t="shared" si="1"/>
        <v>0</v>
      </c>
    </row>
    <row r="23" spans="1:10">
      <c r="A23" s="62" t="s">
        <v>361</v>
      </c>
      <c r="C23" s="70">
        <v>46004.667615563194</v>
      </c>
      <c r="E23" s="70">
        <v>4267.0884459931249</v>
      </c>
      <c r="F23" s="70"/>
      <c r="G23" s="70">
        <v>-1197</v>
      </c>
      <c r="I23" s="70">
        <f t="shared" si="0"/>
        <v>-143.52991048472182</v>
      </c>
      <c r="J23" s="71">
        <f t="shared" si="1"/>
        <v>-2.8550805010466229E-3</v>
      </c>
    </row>
    <row r="24" spans="1:10">
      <c r="A24" s="62" t="s">
        <v>362</v>
      </c>
      <c r="C24" s="70">
        <v>10557.777273195708</v>
      </c>
      <c r="E24" s="70">
        <v>767.86805412386332</v>
      </c>
      <c r="F24" s="70"/>
      <c r="G24" s="70">
        <v>-282.21221226021788</v>
      </c>
      <c r="I24" s="70">
        <f t="shared" si="0"/>
        <v>-33.83951007803207</v>
      </c>
      <c r="J24" s="71">
        <f t="shared" si="1"/>
        <v>-2.9878659537752655E-3</v>
      </c>
    </row>
    <row r="25" spans="1:10">
      <c r="A25" s="74" t="s">
        <v>135</v>
      </c>
      <c r="B25" s="74"/>
      <c r="C25" s="75">
        <v>3577.6234300000001</v>
      </c>
      <c r="D25" s="74"/>
      <c r="E25" s="75">
        <v>0</v>
      </c>
      <c r="F25" s="75"/>
      <c r="G25" s="75">
        <v>0</v>
      </c>
      <c r="H25" s="74"/>
      <c r="I25" s="75">
        <f t="shared" si="0"/>
        <v>0</v>
      </c>
      <c r="J25" s="76">
        <f t="shared" si="1"/>
        <v>0</v>
      </c>
    </row>
    <row r="26" spans="1:10" ht="16.5" thickBot="1">
      <c r="A26" s="77" t="s">
        <v>363</v>
      </c>
      <c r="B26" s="78"/>
      <c r="C26" s="79">
        <v>1702237.829521986</v>
      </c>
      <c r="D26" s="78"/>
      <c r="E26" s="79">
        <v>117000.00000000001</v>
      </c>
      <c r="F26" s="79"/>
      <c r="G26" s="79">
        <v>-33600.000000000007</v>
      </c>
      <c r="H26" s="78"/>
      <c r="I26" s="79">
        <v>-4028.9097679921924</v>
      </c>
      <c r="J26" s="80">
        <f t="shared" si="1"/>
        <v>-2.2146141107074542E-3</v>
      </c>
    </row>
    <row r="27" spans="1:10" ht="17.25" thickTop="1" thickBot="1">
      <c r="A27" s="81" t="s">
        <v>364</v>
      </c>
      <c r="B27" s="82"/>
      <c r="C27" s="83">
        <v>1645410.1762684591</v>
      </c>
      <c r="D27" s="82"/>
      <c r="E27" s="83">
        <v>117000.00000000001</v>
      </c>
      <c r="F27" s="83"/>
      <c r="G27" s="83">
        <v>-33600.000000000007</v>
      </c>
      <c r="H27" s="82"/>
      <c r="I27" s="83">
        <f>+I26-I21-I22-I25</f>
        <v>-4028.9097679921924</v>
      </c>
      <c r="J27" s="84">
        <f t="shared" si="1"/>
        <v>-2.2860227557937617E-3</v>
      </c>
    </row>
    <row r="28" spans="1:10" ht="16.5" thickTop="1"/>
    <row r="29" spans="1:10">
      <c r="A29" s="85" t="s">
        <v>365</v>
      </c>
    </row>
    <row r="30" spans="1:10">
      <c r="A30" s="86" t="s">
        <v>366</v>
      </c>
    </row>
    <row r="33" spans="3:3">
      <c r="C33" s="70"/>
    </row>
    <row r="34" spans="3:3">
      <c r="C34" s="70"/>
    </row>
    <row r="35" spans="3:3">
      <c r="C35" s="70"/>
    </row>
    <row r="36" spans="3:3">
      <c r="C36" s="70"/>
    </row>
    <row r="37" spans="3:3">
      <c r="C37" s="70"/>
    </row>
    <row r="38" spans="3:3">
      <c r="C38" s="70"/>
    </row>
    <row r="39" spans="3:3">
      <c r="C39" s="70"/>
    </row>
    <row r="40" spans="3:3">
      <c r="C40" s="70"/>
    </row>
    <row r="41" spans="3:3">
      <c r="C41" s="70"/>
    </row>
    <row r="42" spans="3:3">
      <c r="C42" s="70"/>
    </row>
    <row r="43" spans="3:3">
      <c r="C43" s="70"/>
    </row>
    <row r="44" spans="3:3">
      <c r="C44" s="70"/>
    </row>
    <row r="45" spans="3:3">
      <c r="C45" s="70"/>
    </row>
    <row r="46" spans="3:3">
      <c r="C46" s="70"/>
    </row>
    <row r="47" spans="3:3">
      <c r="C47" s="70"/>
    </row>
    <row r="48" spans="3:3">
      <c r="C48" s="70"/>
    </row>
    <row r="49" spans="3:3">
      <c r="C49" s="70"/>
    </row>
    <row r="50" spans="3:3">
      <c r="C50" s="70"/>
    </row>
    <row r="51" spans="3:3">
      <c r="C51" s="70"/>
    </row>
    <row r="52" spans="3:3">
      <c r="C52" s="70"/>
    </row>
  </sheetData>
  <printOptions horizontalCentered="1"/>
  <pageMargins left="0.5" right="0.5" top="1" bottom="1" header="0.5" footer="0.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Exhibit-RMP(RMM-1) page 1</vt:lpstr>
      <vt:lpstr>Exhibit-RMP(RMM-1) page 2</vt:lpstr>
      <vt:lpstr>Exhibit-RMP(RMM-2)</vt:lpstr>
      <vt:lpstr>RMP_(GB-1)</vt:lpstr>
      <vt:lpstr>REC2012</vt:lpstr>
      <vt:lpstr>'Exhibit-RMP(RMM-1) page 1'!Print_Area</vt:lpstr>
      <vt:lpstr>'Exhibit-RMP(RMM-1) page 2'!Print_Area</vt:lpstr>
      <vt:lpstr>'Exhibit-RMP(RMM-2)'!Print_Area</vt:lpstr>
      <vt:lpstr>'Exhibit-RMP(RMM-2)'!Print_Titles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Fred Nass</cp:lastModifiedBy>
  <cp:lastPrinted>2021-03-15T15:27:46Z</cp:lastPrinted>
  <dcterms:created xsi:type="dcterms:W3CDTF">2012-05-11T17:24:36Z</dcterms:created>
  <dcterms:modified xsi:type="dcterms:W3CDTF">2021-03-15T18:38:57Z</dcterms:modified>
</cp:coreProperties>
</file>