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200" windowHeight="11595"/>
  </bookViews>
  <sheets>
    <sheet name="Appendix B.2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state="hidden" r:id="rId7"/>
    <sheet name="Table 3 WYAE Wind_2024" sheetId="43" state="hidden" r:id="rId8"/>
    <sheet name="Table 3 ID Wind_2030" sheetId="75" state="hidden" r:id="rId9"/>
    <sheet name="Table 3 PV wS UTS_2024" sheetId="67" state="hidden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r:id="rId14"/>
    <sheet name="Table 3 PV wS YK_2024" sheetId="73" state="hidden" r:id="rId15"/>
    <sheet name="Table 3 PV wS UTN_2024" sheetId="70" state="hidden" r:id="rId16"/>
    <sheet name="Table 3 185 MW (NTN) 2026)" sheetId="68" state="hidden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B.2'!$A$1:$L$34</definedName>
    <definedName name="_xlnm.Print_Area" localSheetId="1">'Table 1'!$A$1:$G$51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5'!$A$1:$H$266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82" l="1"/>
  <c r="H26" i="82"/>
  <c r="G26" i="82"/>
  <c r="F26" i="82"/>
  <c r="E26" i="82"/>
  <c r="B9" i="82"/>
  <c r="F9" i="82" s="1"/>
  <c r="K5" i="82"/>
  <c r="J5" i="82"/>
  <c r="I5" i="82"/>
  <c r="K26" i="82" l="1"/>
  <c r="K27" i="82" s="1"/>
  <c r="E9" i="82"/>
  <c r="G9" i="82"/>
  <c r="B10" i="82"/>
  <c r="H9" i="82"/>
  <c r="K9" i="82" l="1"/>
  <c r="G10" i="82"/>
  <c r="E10" i="82"/>
  <c r="F10" i="82"/>
  <c r="H10" i="82"/>
  <c r="B11" i="82"/>
  <c r="E11" i="82" l="1"/>
  <c r="G11" i="82"/>
  <c r="B12" i="82"/>
  <c r="H11" i="82"/>
  <c r="F11" i="82"/>
  <c r="K10" i="82"/>
  <c r="S6" i="31"/>
  <c r="G12" i="82" l="1"/>
  <c r="E12" i="82"/>
  <c r="F12" i="82"/>
  <c r="B13" i="82"/>
  <c r="H12" i="82"/>
  <c r="K11" i="82"/>
  <c r="K12" i="82" l="1"/>
  <c r="E13" i="82"/>
  <c r="G13" i="82"/>
  <c r="B14" i="82"/>
  <c r="H13" i="82"/>
  <c r="F13" i="82"/>
  <c r="K13" i="82" l="1"/>
  <c r="G14" i="82"/>
  <c r="E14" i="82"/>
  <c r="K14" i="82" s="1"/>
  <c r="F14" i="82"/>
  <c r="B15" i="82"/>
  <c r="H14" i="82"/>
  <c r="A9" i="31"/>
  <c r="R6" i="31"/>
  <c r="Q5" i="31"/>
  <c r="Q6" i="31" s="1"/>
  <c r="P5" i="31"/>
  <c r="P6" i="31" s="1"/>
  <c r="E15" i="82" l="1"/>
  <c r="G15" i="82"/>
  <c r="B16" i="82"/>
  <c r="H15" i="82"/>
  <c r="F15" i="82"/>
  <c r="CX38" i="25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G16" i="82" l="1"/>
  <c r="E16" i="82"/>
  <c r="K16" i="82" s="1"/>
  <c r="F16" i="82"/>
  <c r="B17" i="82"/>
  <c r="H16" i="82"/>
  <c r="K15" i="82"/>
  <c r="BI9" i="25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E17" i="82" l="1"/>
  <c r="G17" i="82"/>
  <c r="B18" i="82"/>
  <c r="H17" i="82"/>
  <c r="F17" i="82"/>
  <c r="C68" i="81"/>
  <c r="B14" i="81"/>
  <c r="B15" i="81" s="1"/>
  <c r="B16" i="81" s="1"/>
  <c r="B17" i="81" s="1"/>
  <c r="C69" i="81"/>
  <c r="K17" i="82" l="1"/>
  <c r="G18" i="82"/>
  <c r="E18" i="82"/>
  <c r="B19" i="82"/>
  <c r="H18" i="82"/>
  <c r="F18" i="82"/>
  <c r="C70" i="81"/>
  <c r="D17" i="81"/>
  <c r="B18" i="81"/>
  <c r="E19" i="82" l="1"/>
  <c r="G19" i="82"/>
  <c r="F19" i="82"/>
  <c r="B20" i="82"/>
  <c r="H19" i="82"/>
  <c r="K18" i="82"/>
  <c r="B19" i="81"/>
  <c r="C71" i="81"/>
  <c r="G20" i="82" l="1"/>
  <c r="E20" i="82"/>
  <c r="B21" i="82"/>
  <c r="H20" i="82"/>
  <c r="F20" i="82"/>
  <c r="K19" i="82"/>
  <c r="C72" i="81"/>
  <c r="B20" i="81"/>
  <c r="K20" i="82" l="1"/>
  <c r="E21" i="82"/>
  <c r="G21" i="82"/>
  <c r="F21" i="82"/>
  <c r="B22" i="82"/>
  <c r="H21" i="82"/>
  <c r="B21" i="81"/>
  <c r="C73" i="81"/>
  <c r="G22" i="82" l="1"/>
  <c r="E22" i="82"/>
  <c r="K22" i="82" s="1"/>
  <c r="B23" i="82"/>
  <c r="H22" i="82"/>
  <c r="F22" i="82"/>
  <c r="K21" i="82"/>
  <c r="C74" i="81"/>
  <c r="B22" i="81"/>
  <c r="E23" i="82" l="1"/>
  <c r="G23" i="82"/>
  <c r="F23" i="82"/>
  <c r="H23" i="82"/>
  <c r="B33" i="82"/>
  <c r="B23" i="81"/>
  <c r="F66" i="81"/>
  <c r="K23" i="82" l="1"/>
  <c r="F67" i="8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M17" i="47"/>
  <c r="O17" i="47" s="1"/>
  <c r="AQ17" i="47"/>
  <c r="AS17" i="47" s="1"/>
  <c r="AL17" i="47"/>
  <c r="AG17" i="47"/>
  <c r="H17" i="47"/>
  <c r="B18" i="47"/>
  <c r="AX17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18" i="31" l="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00" i="31" l="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24" i="31"/>
  <c r="I213" i="31"/>
  <c r="I127" i="31"/>
  <c r="I191" i="31"/>
  <c r="I83" i="31"/>
  <c r="I105" i="31"/>
  <c r="I94" i="31"/>
  <c r="I180" i="31"/>
  <c r="I72" i="31"/>
  <c r="I116" i="31"/>
  <c r="I225" i="31" l="1"/>
  <c r="I203" i="31"/>
  <c r="I214" i="31"/>
  <c r="I117" i="31"/>
  <c r="I95" i="31"/>
  <c r="I128" i="31"/>
  <c r="I192" i="31"/>
  <c r="I84" i="31"/>
  <c r="I106" i="31"/>
  <c r="I204" i="31" l="1"/>
  <c r="I226" i="31"/>
  <c r="I215" i="31"/>
  <c r="I118" i="31"/>
  <c r="I107" i="31"/>
  <c r="I96" i="31"/>
  <c r="I129" i="31"/>
  <c r="I227" i="31" l="1"/>
  <c r="I216" i="31"/>
  <c r="I119" i="31"/>
  <c r="I108" i="31"/>
  <c r="I130" i="31"/>
  <c r="I228" i="31" l="1"/>
  <c r="I131" i="31"/>
  <c r="I120" i="31"/>
  <c r="I13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B15" i="25"/>
  <c r="O14" i="25"/>
  <c r="DA13" i="25"/>
  <c r="DB13" i="25" s="1"/>
  <c r="J15" i="31"/>
  <c r="B16" i="31"/>
  <c r="L28" i="31"/>
  <c r="BI14" i="25" l="1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BI15" i="25" l="1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BI16" i="25" l="1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BI17" i="25" l="1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BI18" i="25" l="1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BI19" i="25" l="1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BI20" i="25" l="1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BI21" i="25" l="1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I22" i="25" l="1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BI23" i="25" l="1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BI24" i="25" l="1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BI25" i="25" l="1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BI26" i="25" l="1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BI27" i="25" l="1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BI28" i="25" l="1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L31" i="25"/>
  <c r="AN31" i="25"/>
  <c r="AM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D18" i="43" l="1"/>
  <c r="G18" i="43" l="1"/>
  <c r="L18" i="43"/>
  <c r="D19" i="43"/>
  <c r="L19" i="43" s="1"/>
  <c r="BJ14" i="25" l="1"/>
  <c r="BJ13" i="25"/>
  <c r="D20" i="43"/>
  <c r="L20" i="43" s="1"/>
  <c r="G19" i="43"/>
  <c r="BJ15" i="25" l="1"/>
  <c r="D21" i="43"/>
  <c r="L21" i="43" s="1"/>
  <c r="G20" i="43"/>
  <c r="BJ16" i="25" l="1"/>
  <c r="D22" i="43"/>
  <c r="L22" i="43" s="1"/>
  <c r="G21" i="43"/>
  <c r="BJ17" i="25" l="1"/>
  <c r="D23" i="43"/>
  <c r="L23" i="43" s="1"/>
  <c r="G22" i="43"/>
  <c r="BJ18" i="25" l="1"/>
  <c r="D24" i="43"/>
  <c r="L24" i="43" s="1"/>
  <c r="G23" i="43"/>
  <c r="BJ19" i="25" l="1"/>
  <c r="D25" i="43"/>
  <c r="L25" i="43" s="1"/>
  <c r="G24" i="43"/>
  <c r="BJ20" i="25" l="1"/>
  <c r="D26" i="43"/>
  <c r="L26" i="43" s="1"/>
  <c r="G25" i="43"/>
  <c r="BJ21" i="25" l="1"/>
  <c r="D27" i="43"/>
  <c r="L27" i="43" s="1"/>
  <c r="G26" i="43"/>
  <c r="BJ22" i="25" l="1"/>
  <c r="D28" i="43"/>
  <c r="L28" i="43" s="1"/>
  <c r="G27" i="43"/>
  <c r="BJ23" i="25" l="1"/>
  <c r="D29" i="43"/>
  <c r="L29" i="43" s="1"/>
  <c r="G28" i="43"/>
  <c r="J28" i="43" s="1"/>
  <c r="BJ24" i="25" l="1"/>
  <c r="D30" i="43"/>
  <c r="L30" i="43" s="1"/>
  <c r="G29" i="43"/>
  <c r="J29" i="43" s="1"/>
  <c r="B21" i="77"/>
  <c r="K28" i="43"/>
  <c r="BJ25" i="25" l="1"/>
  <c r="D31" i="43"/>
  <c r="L31" i="43" s="1"/>
  <c r="G30" i="43"/>
  <c r="J30" i="43" s="1"/>
  <c r="B22" i="77"/>
  <c r="K29" i="43"/>
  <c r="BJ26" i="25" l="1"/>
  <c r="D32" i="43"/>
  <c r="L32" i="43" s="1"/>
  <c r="BJ27" i="25" s="1"/>
  <c r="G31" i="43"/>
  <c r="J31" i="43" s="1"/>
  <c r="B23" i="77"/>
  <c r="K30" i="43"/>
  <c r="D33" i="43" l="1"/>
  <c r="L33" i="43" s="1"/>
  <c r="G32" i="43"/>
  <c r="J32" i="43" s="1"/>
  <c r="B24" i="77"/>
  <c r="K31" i="43"/>
  <c r="BJ28" i="25" l="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D35" i="43"/>
  <c r="L35" i="43" s="1"/>
  <c r="BJ30" i="25" s="1"/>
  <c r="J34" i="43" l="1"/>
  <c r="K34" i="43" s="1"/>
  <c r="G35" i="43"/>
  <c r="D36" i="43"/>
  <c r="L36" i="43" s="1"/>
  <c r="BJ31" i="25" l="1"/>
  <c r="J35" i="43"/>
  <c r="K35" i="43" s="1"/>
  <c r="G36" i="43"/>
  <c r="D37" i="43"/>
  <c r="L37" i="43" s="1"/>
  <c r="BJ33" i="25" s="1"/>
  <c r="BJ35" i="25" l="1"/>
  <c r="BJ32" i="25"/>
  <c r="BJ34" i="25"/>
  <c r="BJ36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N13" i="25" l="1"/>
  <c r="AQ13" i="25"/>
  <c r="AL15" i="25"/>
  <c r="AL19" i="25"/>
  <c r="AL22" i="25"/>
  <c r="AL24" i="25"/>
  <c r="AL25" i="25"/>
  <c r="AQ14" i="25"/>
  <c r="AN17" i="25"/>
  <c r="AQ20" i="25"/>
  <c r="AL23" i="25"/>
  <c r="AQ19" i="25"/>
  <c r="AN20" i="25"/>
  <c r="AL27" i="25"/>
  <c r="AQ27" i="25"/>
  <c r="AQ28" i="25"/>
  <c r="AL29" i="25"/>
  <c r="AL30" i="25"/>
  <c r="AL26" i="25"/>
  <c r="CI13" i="25" l="1"/>
  <c r="CI14" i="25"/>
  <c r="CF13" i="25"/>
  <c r="AN24" i="25"/>
  <c r="AQ25" i="25"/>
  <c r="AN15" i="25"/>
  <c r="AN22" i="25"/>
  <c r="AQ15" i="25"/>
  <c r="AN27" i="25"/>
  <c r="AN23" i="25"/>
  <c r="AQ17" i="25"/>
  <c r="AN25" i="25"/>
  <c r="AN19" i="25"/>
  <c r="AN29" i="25"/>
  <c r="AQ24" i="25"/>
  <c r="AN30" i="25"/>
  <c r="AQ23" i="25"/>
  <c r="AQ26" i="25"/>
  <c r="AQ29" i="25"/>
  <c r="AN26" i="25"/>
  <c r="AQ18" i="25"/>
  <c r="AQ16" i="25"/>
  <c r="AL17" i="25"/>
  <c r="AL14" i="25"/>
  <c r="AL28" i="25"/>
  <c r="AN28" i="25"/>
  <c r="AQ30" i="25"/>
  <c r="AL21" i="25"/>
  <c r="AN21" i="25"/>
  <c r="AQ21" i="25"/>
  <c r="AL18" i="25"/>
  <c r="AN18" i="25"/>
  <c r="AN16" i="25"/>
  <c r="AL16" i="25"/>
  <c r="CI21" i="25" l="1"/>
  <c r="CI20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Q22" i="25"/>
  <c r="CI22" i="25" s="1"/>
  <c r="CI17" i="25"/>
  <c r="CI16" i="25"/>
  <c r="CI19" i="25"/>
  <c r="AL13" i="25"/>
  <c r="AN14" i="25"/>
  <c r="AL20" i="25"/>
  <c r="CI18" i="25"/>
  <c r="CI15" i="25"/>
  <c r="CI29" i="25" l="1"/>
  <c r="CI33" i="25"/>
  <c r="CI28" i="25"/>
  <c r="CI30" i="25"/>
  <c r="CI26" i="25"/>
  <c r="CI23" i="25"/>
  <c r="CI35" i="25"/>
  <c r="CI27" i="25"/>
  <c r="CI25" i="25"/>
  <c r="CI38" i="25"/>
  <c r="CI34" i="25"/>
  <c r="CG23" i="25"/>
  <c r="CH37" i="25"/>
  <c r="CH36" i="25"/>
  <c r="CH26" i="25"/>
  <c r="CH21" i="25"/>
  <c r="CH27" i="25"/>
  <c r="CH29" i="25"/>
  <c r="CH14" i="25"/>
  <c r="CH15" i="25"/>
  <c r="CH33" i="25"/>
  <c r="CH23" i="25"/>
  <c r="CH30" i="25"/>
  <c r="CH38" i="25"/>
  <c r="CH25" i="25"/>
  <c r="CH16" i="25"/>
  <c r="CH35" i="25"/>
  <c r="CH34" i="25"/>
  <c r="CH28" i="25"/>
  <c r="CH19" i="25"/>
  <c r="CH20" i="25"/>
  <c r="CH22" i="25"/>
  <c r="CH32" i="25"/>
  <c r="CH13" i="25"/>
  <c r="CH18" i="25"/>
  <c r="CH31" i="25"/>
  <c r="CH24" i="25"/>
  <c r="CH17" i="25"/>
  <c r="CF14" i="25"/>
  <c r="CF15" i="25"/>
  <c r="CF20" i="25"/>
  <c r="CF24" i="25"/>
  <c r="CF35" i="25"/>
  <c r="CF37" i="25"/>
  <c r="CF30" i="25"/>
  <c r="CF16" i="25"/>
  <c r="CF17" i="25"/>
  <c r="CF23" i="25"/>
  <c r="CF31" i="25"/>
  <c r="CF29" i="25"/>
  <c r="CF32" i="25"/>
  <c r="CF19" i="25"/>
  <c r="CF22" i="25"/>
  <c r="CF25" i="25"/>
  <c r="CF27" i="25"/>
  <c r="CF38" i="25"/>
  <c r="CF28" i="25"/>
  <c r="CF18" i="25"/>
  <c r="CF21" i="25"/>
  <c r="CF26" i="25"/>
  <c r="CF36" i="25"/>
  <c r="CF33" i="25"/>
  <c r="CF34" i="25"/>
  <c r="CI31" i="25"/>
  <c r="CI24" i="25"/>
  <c r="CI32" i="25"/>
  <c r="CD13" i="25"/>
  <c r="CD14" i="25"/>
  <c r="CD16" i="25"/>
  <c r="CD15" i="25"/>
  <c r="CD17" i="25"/>
  <c r="CD18" i="25"/>
  <c r="CD19" i="25"/>
  <c r="CD21" i="25"/>
  <c r="CD20" i="25"/>
  <c r="CD27" i="25"/>
  <c r="CD31" i="25"/>
  <c r="CD32" i="25"/>
  <c r="CD30" i="25"/>
  <c r="CD36" i="25"/>
  <c r="CD38" i="25"/>
  <c r="CD34" i="25"/>
  <c r="CD35" i="25"/>
  <c r="CD37" i="25"/>
  <c r="CD33" i="25"/>
  <c r="CD26" i="25"/>
  <c r="CD29" i="25"/>
  <c r="CD22" i="25"/>
  <c r="CD25" i="25"/>
  <c r="CD23" i="25"/>
  <c r="CD24" i="25"/>
  <c r="CI36" i="25"/>
  <c r="CD28" i="25"/>
  <c r="CI37" i="25"/>
  <c r="CG13" i="25"/>
  <c r="CG15" i="25"/>
  <c r="CG14" i="25"/>
  <c r="CG16" i="25"/>
  <c r="CG19" i="25"/>
  <c r="CG17" i="25"/>
  <c r="CG18" i="25"/>
  <c r="CG20" i="25"/>
  <c r="CG21" i="25"/>
  <c r="CG22" i="25"/>
  <c r="CG24" i="25"/>
  <c r="CG26" i="25"/>
  <c r="CG25" i="25"/>
  <c r="CG35" i="25"/>
  <c r="CG32" i="25"/>
  <c r="CG28" i="25"/>
  <c r="CG30" i="25"/>
  <c r="CG37" i="25"/>
  <c r="CG34" i="25"/>
  <c r="CG31" i="25"/>
  <c r="CG33" i="25"/>
  <c r="CG38" i="25"/>
  <c r="CG29" i="25"/>
  <c r="CG27" i="25"/>
  <c r="CG36" i="25"/>
  <c r="DB5" i="25" l="1"/>
  <c r="DC31" i="25" l="1"/>
  <c r="DC35" i="25"/>
  <c r="DC18" i="25"/>
  <c r="DC26" i="25"/>
  <c r="DC20" i="25"/>
  <c r="DC25" i="25"/>
  <c r="DC32" i="25"/>
  <c r="DC36" i="25"/>
  <c r="DC27" i="25"/>
  <c r="DC24" i="25"/>
  <c r="DC22" i="25"/>
  <c r="DC23" i="25"/>
  <c r="DC28" i="25"/>
  <c r="DC33" i="25"/>
  <c r="DC37" i="25"/>
  <c r="DC13" i="25"/>
  <c r="DC21" i="25"/>
  <c r="DC17" i="25"/>
  <c r="DC16" i="25"/>
  <c r="DC14" i="25"/>
  <c r="DC34" i="25"/>
  <c r="DC38" i="25"/>
  <c r="DC29" i="25"/>
  <c r="DC19" i="25"/>
  <c r="DC15" i="25"/>
  <c r="DC30" i="25"/>
  <c r="AM13" i="25" l="1"/>
  <c r="CE13" i="25" l="1"/>
  <c r="AM27" i="25" l="1"/>
  <c r="AM28" i="25" l="1"/>
  <c r="AM29" i="25" l="1"/>
  <c r="AM30" i="25" l="1"/>
  <c r="AM15" i="25" l="1"/>
  <c r="AM14" i="25"/>
  <c r="CE14" i="25" l="1"/>
  <c r="CE15" i="25"/>
  <c r="AM16" i="25" l="1"/>
  <c r="CE16" i="25" l="1"/>
  <c r="AM18" i="25"/>
  <c r="AM17" i="25"/>
  <c r="CE17" i="25" s="1"/>
  <c r="CE18" i="25" l="1"/>
  <c r="AM19" i="25" l="1"/>
  <c r="CE19" i="25" l="1"/>
  <c r="AM20" i="25"/>
  <c r="CE20" i="25" l="1"/>
  <c r="AM21" i="25"/>
  <c r="CE21" i="25" s="1"/>
  <c r="AM22" i="25" l="1"/>
  <c r="CE22" i="25" s="1"/>
  <c r="AM25" i="25" l="1"/>
  <c r="AM23" i="25"/>
  <c r="CE23" i="25" s="1"/>
  <c r="AM24" i="25"/>
  <c r="CE24" i="25" l="1"/>
  <c r="CE25" i="25"/>
  <c r="AM26" i="25" l="1"/>
  <c r="CE35" i="25" l="1"/>
  <c r="CE36" i="25"/>
  <c r="CE32" i="25"/>
  <c r="CE33" i="25"/>
  <c r="CE37" i="25"/>
  <c r="CE34" i="25"/>
  <c r="CE38" i="25"/>
  <c r="CE28" i="25"/>
  <c r="CE27" i="25"/>
  <c r="CE31" i="25"/>
  <c r="CE26" i="25"/>
  <c r="CE29" i="25"/>
  <c r="CE30" i="25"/>
  <c r="AV13" i="25" l="1"/>
  <c r="AV14" i="25"/>
  <c r="AV29" i="25"/>
  <c r="AV30" i="25"/>
  <c r="AV31" i="25"/>
  <c r="AW13" i="25" l="1"/>
  <c r="AW14" i="25"/>
  <c r="AW29" i="25"/>
  <c r="AW30" i="25"/>
  <c r="AW31" i="25"/>
  <c r="AZ13" i="25"/>
  <c r="AZ14" i="25"/>
  <c r="AZ29" i="25"/>
  <c r="AZ30" i="25"/>
  <c r="AZ31" i="25"/>
  <c r="CN14" i="25"/>
  <c r="CN13" i="25"/>
  <c r="CR14" i="25" l="1"/>
  <c r="CR13" i="25"/>
  <c r="CO14" i="25"/>
  <c r="CO13" i="25"/>
  <c r="AT13" i="25" l="1"/>
  <c r="AT14" i="25"/>
  <c r="AT29" i="25"/>
  <c r="AT30" i="25"/>
  <c r="AT31" i="25"/>
  <c r="AR14" i="25"/>
  <c r="AR29" i="25"/>
  <c r="AR30" i="25"/>
  <c r="AR31" i="25"/>
  <c r="AR13" i="25" l="1"/>
  <c r="CL14" i="25"/>
  <c r="CL13" i="25"/>
  <c r="AR15" i="25"/>
  <c r="CJ13" i="25" l="1"/>
  <c r="CJ15" i="25"/>
  <c r="CJ14" i="25"/>
  <c r="AV15" i="25"/>
  <c r="AR16" i="25"/>
  <c r="CJ16" i="25" s="1"/>
  <c r="AT15" i="25"/>
  <c r="CN15" i="25" l="1"/>
  <c r="CL15" i="25"/>
  <c r="AV16" i="25"/>
  <c r="AV17" i="25"/>
  <c r="AZ15" i="25"/>
  <c r="AR18" i="25"/>
  <c r="AR17" i="25"/>
  <c r="AT16" i="25"/>
  <c r="AW15" i="25"/>
  <c r="CO15" i="25" l="1"/>
  <c r="CR15" i="25"/>
  <c r="CJ17" i="25"/>
  <c r="CN16" i="25"/>
  <c r="CL16" i="25"/>
  <c r="CJ18" i="25"/>
  <c r="CN17" i="25"/>
  <c r="AV18" i="25"/>
  <c r="AT18" i="25"/>
  <c r="AW18" i="25"/>
  <c r="AR19" i="25"/>
  <c r="AT17" i="25"/>
  <c r="CL17" i="25" s="1"/>
  <c r="CL18" i="25" l="1"/>
  <c r="CN18" i="25"/>
  <c r="CJ19" i="25"/>
  <c r="AW16" i="25"/>
  <c r="AW17" i="25"/>
  <c r="AZ17" i="25"/>
  <c r="AR21" i="25"/>
  <c r="AT19" i="25"/>
  <c r="AR20" i="25"/>
  <c r="CO17" i="25" l="1"/>
  <c r="CO18" i="25"/>
  <c r="CO16" i="25"/>
  <c r="CJ21" i="25"/>
  <c r="CJ20" i="25"/>
  <c r="CL19" i="25"/>
  <c r="AZ16" i="25"/>
  <c r="CR17" i="25" s="1"/>
  <c r="AR22" i="25"/>
  <c r="CJ22" i="25" s="1"/>
  <c r="AT20" i="25"/>
  <c r="CL20" i="25" s="1"/>
  <c r="AV19" i="25"/>
  <c r="AZ18" i="25"/>
  <c r="CN19" i="25" l="1"/>
  <c r="CR18" i="25"/>
  <c r="CR16" i="25"/>
  <c r="AW20" i="25"/>
  <c r="AT21" i="25"/>
  <c r="CL21" i="25" s="1"/>
  <c r="AV20" i="25"/>
  <c r="CN20" i="25" s="1"/>
  <c r="AW19" i="25" l="1"/>
  <c r="AT23" i="25"/>
  <c r="AZ20" i="25"/>
  <c r="AT22" i="25"/>
  <c r="CL22" i="25" s="1"/>
  <c r="AV23" i="25"/>
  <c r="AR23" i="25"/>
  <c r="CJ23" i="25" s="1"/>
  <c r="AV21" i="25"/>
  <c r="CN21" i="25" s="1"/>
  <c r="AZ19" i="25"/>
  <c r="AV22" i="25"/>
  <c r="CN22" i="25" l="1"/>
  <c r="CL23" i="25"/>
  <c r="AU13" i="25"/>
  <c r="AU14" i="25"/>
  <c r="AU15" i="25"/>
  <c r="AU16" i="25"/>
  <c r="AU17" i="25"/>
  <c r="AU18" i="25"/>
  <c r="AU19" i="25"/>
  <c r="AU20" i="25"/>
  <c r="AU21" i="25"/>
  <c r="AU22" i="25"/>
  <c r="AU23" i="25"/>
  <c r="AU29" i="25"/>
  <c r="AU30" i="25"/>
  <c r="AU31" i="25"/>
  <c r="CO19" i="25"/>
  <c r="CO20" i="25"/>
  <c r="CR20" i="25"/>
  <c r="CR19" i="25"/>
  <c r="CN23" i="25"/>
  <c r="BA13" i="25"/>
  <c r="BA14" i="25"/>
  <c r="BA15" i="25"/>
  <c r="BA16" i="25"/>
  <c r="BA17" i="25"/>
  <c r="BA18" i="25"/>
  <c r="BA19" i="25"/>
  <c r="BA20" i="25"/>
  <c r="BA29" i="25"/>
  <c r="BA30" i="25"/>
  <c r="BA31" i="25"/>
  <c r="AX13" i="25"/>
  <c r="AX14" i="25"/>
  <c r="AX15" i="25"/>
  <c r="AX16" i="25"/>
  <c r="AX17" i="25"/>
  <c r="AX18" i="25"/>
  <c r="AX19" i="25"/>
  <c r="AX20" i="25"/>
  <c r="AX29" i="25"/>
  <c r="AX30" i="25"/>
  <c r="AX31" i="25"/>
  <c r="AW23" i="25"/>
  <c r="AW21" i="25"/>
  <c r="AW22" i="25"/>
  <c r="CO23" i="25" l="1"/>
  <c r="AX23" i="25"/>
  <c r="CO21" i="25"/>
  <c r="CM14" i="25"/>
  <c r="CM15" i="25"/>
  <c r="CM17" i="25"/>
  <c r="CM23" i="25"/>
  <c r="CM18" i="25"/>
  <c r="CM21" i="25"/>
  <c r="CM13" i="25"/>
  <c r="CM22" i="25"/>
  <c r="CM16" i="25"/>
  <c r="CM20" i="25"/>
  <c r="CM19" i="25"/>
  <c r="AX22" i="25"/>
  <c r="CS15" i="25"/>
  <c r="CS16" i="25"/>
  <c r="CS14" i="25"/>
  <c r="CS20" i="25"/>
  <c r="CS18" i="25"/>
  <c r="CS13" i="25"/>
  <c r="CS19" i="25"/>
  <c r="CS17" i="25"/>
  <c r="AX21" i="25"/>
  <c r="CP20" i="25"/>
  <c r="CP15" i="25"/>
  <c r="CP16" i="25"/>
  <c r="CP13" i="25"/>
  <c r="CP19" i="25"/>
  <c r="CP17" i="25"/>
  <c r="CP18" i="25"/>
  <c r="CP14" i="25"/>
  <c r="CO22" i="25"/>
  <c r="AR24" i="25"/>
  <c r="CJ24" i="25" s="1"/>
  <c r="AR25" i="25"/>
  <c r="CJ25" i="25" l="1"/>
  <c r="CP23" i="25"/>
  <c r="CP22" i="25"/>
  <c r="AZ23" i="25"/>
  <c r="BA23" i="25"/>
  <c r="AZ22" i="25"/>
  <c r="BA22" i="25"/>
  <c r="CP21" i="25"/>
  <c r="AZ21" i="25"/>
  <c r="BA21" i="25"/>
  <c r="AV24" i="25"/>
  <c r="CN24" i="25" s="1"/>
  <c r="AV25" i="25"/>
  <c r="CN25" i="25" l="1"/>
  <c r="AR26" i="25"/>
  <c r="CJ26" i="25" s="1"/>
  <c r="AT27" i="25"/>
  <c r="AU27" i="25"/>
  <c r="AT25" i="25"/>
  <c r="AU25" i="25"/>
  <c r="AT24" i="25"/>
  <c r="CL24" i="25" s="1"/>
  <c r="AU24" i="25"/>
  <c r="CS21" i="25"/>
  <c r="CS22" i="25"/>
  <c r="CS23" i="25"/>
  <c r="CR21" i="25"/>
  <c r="CR22" i="25"/>
  <c r="CR23" i="25"/>
  <c r="AR27" i="25"/>
  <c r="CJ27" i="25" l="1"/>
  <c r="CM25" i="25"/>
  <c r="CM24" i="25"/>
  <c r="AT26" i="25"/>
  <c r="CL26" i="25" s="1"/>
  <c r="AU26" i="25"/>
  <c r="CM26" i="25" s="1"/>
  <c r="AW24" i="25"/>
  <c r="CO24" i="25" s="1"/>
  <c r="AX24" i="25"/>
  <c r="AW25" i="25"/>
  <c r="AX25" i="25"/>
  <c r="CL25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9" i="25"/>
  <c r="AS30" i="25"/>
  <c r="AS31" i="25"/>
  <c r="AV26" i="25"/>
  <c r="CN26" i="25" s="1"/>
  <c r="AS28" i="25"/>
  <c r="AV27" i="25"/>
  <c r="CN27" i="25" l="1"/>
  <c r="AS13" i="25"/>
  <c r="CK30" i="25" s="1"/>
  <c r="CP24" i="25"/>
  <c r="CP25" i="25"/>
  <c r="AZ24" i="25"/>
  <c r="CR24" i="25" s="1"/>
  <c r="BA24" i="25"/>
  <c r="AZ25" i="25"/>
  <c r="BA25" i="25"/>
  <c r="AW26" i="25"/>
  <c r="CO26" i="25" s="1"/>
  <c r="AX26" i="25"/>
  <c r="CP26" i="25" s="1"/>
  <c r="CL27" i="25"/>
  <c r="CM27" i="25"/>
  <c r="CO25" i="25"/>
  <c r="AV28" i="25" l="1"/>
  <c r="AR28" i="25"/>
  <c r="CS24" i="25"/>
  <c r="CS25" i="25"/>
  <c r="AW27" i="25"/>
  <c r="CO27" i="25" s="1"/>
  <c r="AX27" i="25"/>
  <c r="CK21" i="25"/>
  <c r="CK15" i="25"/>
  <c r="CK22" i="25"/>
  <c r="CK19" i="25"/>
  <c r="CK18" i="25"/>
  <c r="CK14" i="25"/>
  <c r="CK16" i="25"/>
  <c r="CK24" i="25"/>
  <c r="CK27" i="25"/>
  <c r="CK25" i="25"/>
  <c r="CK29" i="25"/>
  <c r="CK26" i="25"/>
  <c r="CK23" i="25"/>
  <c r="CK13" i="25"/>
  <c r="CK20" i="25"/>
  <c r="CK17" i="25"/>
  <c r="CK28" i="25"/>
  <c r="CK32" i="25"/>
  <c r="CK35" i="25"/>
  <c r="CK36" i="25"/>
  <c r="CK31" i="25"/>
  <c r="CK33" i="25"/>
  <c r="CK37" i="25"/>
  <c r="CK38" i="25"/>
  <c r="CK34" i="25"/>
  <c r="AT28" i="25"/>
  <c r="AU28" i="25"/>
  <c r="AZ27" i="25"/>
  <c r="BA27" i="25"/>
  <c r="CR25" i="25"/>
  <c r="AW28" i="25" l="1"/>
  <c r="AX28" i="25"/>
  <c r="CP30" i="25" s="1"/>
  <c r="AZ26" i="25"/>
  <c r="CR26" i="25" s="1"/>
  <c r="BA26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9" i="25"/>
  <c r="BB30" i="25"/>
  <c r="BB31" i="25"/>
  <c r="CJ33" i="25"/>
  <c r="CJ37" i="25"/>
  <c r="CJ34" i="25"/>
  <c r="CJ31" i="25"/>
  <c r="CJ32" i="25"/>
  <c r="CJ29" i="25"/>
  <c r="CJ30" i="25"/>
  <c r="CJ36" i="25"/>
  <c r="CJ28" i="25"/>
  <c r="CJ38" i="25"/>
  <c r="CJ35" i="25"/>
  <c r="CM33" i="25"/>
  <c r="CM28" i="25"/>
  <c r="CM30" i="25"/>
  <c r="CM38" i="25"/>
  <c r="CM35" i="25"/>
  <c r="CM37" i="25"/>
  <c r="CM29" i="25"/>
  <c r="CM36" i="25"/>
  <c r="CM31" i="25"/>
  <c r="CM32" i="25"/>
  <c r="CM34" i="25"/>
  <c r="CN30" i="25"/>
  <c r="CN34" i="25"/>
  <c r="CN31" i="25"/>
  <c r="CN32" i="25"/>
  <c r="CN33" i="25"/>
  <c r="CN28" i="25"/>
  <c r="CN38" i="25"/>
  <c r="CN37" i="25"/>
  <c r="CN29" i="25"/>
  <c r="CN36" i="25"/>
  <c r="CN35" i="25"/>
  <c r="CL32" i="25"/>
  <c r="CL33" i="25"/>
  <c r="CL31" i="25"/>
  <c r="CL37" i="25"/>
  <c r="CL29" i="25"/>
  <c r="CL36" i="25"/>
  <c r="CL30" i="25"/>
  <c r="CL28" i="25"/>
  <c r="CL34" i="25"/>
  <c r="CL35" i="25"/>
  <c r="CL38" i="25"/>
  <c r="CP36" i="25"/>
  <c r="CP27" i="25"/>
  <c r="BB28" i="25"/>
  <c r="CP35" i="25" l="1"/>
  <c r="CP28" i="25"/>
  <c r="CP32" i="25"/>
  <c r="CS26" i="25"/>
  <c r="CS27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P31" i="25"/>
  <c r="AZ28" i="25"/>
  <c r="BA28" i="25"/>
  <c r="CS33" i="25" s="1"/>
  <c r="CP33" i="25"/>
  <c r="CP34" i="25"/>
  <c r="CP37" i="25"/>
  <c r="A73" i="25"/>
  <c r="CR27" i="25"/>
  <c r="CT38" i="25"/>
  <c r="CT35" i="25"/>
  <c r="CT18" i="25"/>
  <c r="CT30" i="25"/>
  <c r="CT21" i="25"/>
  <c r="CT14" i="25"/>
  <c r="CT22" i="25"/>
  <c r="CT29" i="25"/>
  <c r="CT33" i="25"/>
  <c r="CT25" i="25"/>
  <c r="CT28" i="25"/>
  <c r="CT31" i="25"/>
  <c r="CT19" i="25"/>
  <c r="CT36" i="25"/>
  <c r="CT34" i="25"/>
  <c r="CT24" i="25"/>
  <c r="CT16" i="25"/>
  <c r="CT20" i="25"/>
  <c r="CT13" i="25"/>
  <c r="CT32" i="25"/>
  <c r="CT17" i="25"/>
  <c r="CT23" i="25"/>
  <c r="CT26" i="25"/>
  <c r="CT27" i="25"/>
  <c r="CT15" i="25"/>
  <c r="CT37" i="25"/>
  <c r="CO38" i="25"/>
  <c r="CO28" i="25"/>
  <c r="CO31" i="25"/>
  <c r="CO37" i="25"/>
  <c r="CO34" i="25"/>
  <c r="CO36" i="25"/>
  <c r="CO30" i="25"/>
  <c r="CO35" i="25"/>
  <c r="CO33" i="25"/>
  <c r="CO32" i="25"/>
  <c r="CO29" i="25"/>
  <c r="CP29" i="25"/>
  <c r="CP38" i="25"/>
  <c r="CS34" i="25" l="1"/>
  <c r="CS28" i="25"/>
  <c r="CS37" i="25"/>
  <c r="CR38" i="25"/>
  <c r="CR28" i="25"/>
  <c r="CR33" i="25"/>
  <c r="CR34" i="25"/>
  <c r="CR36" i="25"/>
  <c r="CR31" i="25"/>
  <c r="CR32" i="25"/>
  <c r="CR35" i="25"/>
  <c r="CR29" i="25"/>
  <c r="CR37" i="25"/>
  <c r="CR30" i="25"/>
  <c r="CS30" i="25"/>
  <c r="CS35" i="25"/>
  <c r="AY13" i="25"/>
  <c r="CS36" i="25"/>
  <c r="CS38" i="25"/>
  <c r="CS32" i="25"/>
  <c r="CS31" i="25"/>
  <c r="CS29" i="25"/>
  <c r="CQ33" i="25" l="1"/>
  <c r="CQ32" i="25"/>
  <c r="CQ20" i="25"/>
  <c r="CQ23" i="25"/>
  <c r="CQ14" i="25"/>
  <c r="CQ16" i="25"/>
  <c r="CQ28" i="25"/>
  <c r="CQ13" i="25"/>
  <c r="CQ22" i="25"/>
  <c r="CQ17" i="25"/>
  <c r="CQ24" i="25"/>
  <c r="CQ27" i="25"/>
  <c r="CQ30" i="25"/>
  <c r="CQ37" i="25"/>
  <c r="CQ31" i="25"/>
  <c r="CQ25" i="25"/>
  <c r="CQ29" i="25"/>
  <c r="CQ34" i="25"/>
  <c r="CQ19" i="25"/>
  <c r="CQ21" i="25"/>
  <c r="CQ35" i="25"/>
  <c r="CQ15" i="25"/>
  <c r="CQ18" i="25"/>
  <c r="CQ36" i="25"/>
  <c r="CQ38" i="25"/>
  <c r="CQ26" i="25"/>
  <c r="BC13" i="25" l="1"/>
  <c r="BC14" i="25"/>
  <c r="BC15" i="25"/>
  <c r="BC16" i="25"/>
  <c r="BC17" i="25"/>
  <c r="BC18" i="25"/>
  <c r="BC19" i="25"/>
  <c r="BC20" i="25"/>
  <c r="BC21" i="25"/>
  <c r="BC22" i="25"/>
  <c r="BC23" i="25"/>
  <c r="BC24" i="25"/>
  <c r="BC25" i="25"/>
  <c r="BC26" i="25"/>
  <c r="BC27" i="25"/>
  <c r="BC29" i="25"/>
  <c r="BC30" i="25"/>
  <c r="BC31" i="25"/>
  <c r="BC28" i="25" l="1"/>
  <c r="CU29" i="25" s="1"/>
  <c r="CY29" i="25" s="1"/>
  <c r="C29" i="25" s="1"/>
  <c r="A72" i="25"/>
  <c r="A74" i="25"/>
  <c r="CU13" i="25"/>
  <c r="CY13" i="25" s="1"/>
  <c r="C13" i="25" s="1"/>
  <c r="CU19" i="25"/>
  <c r="CY19" i="25" s="1"/>
  <c r="C19" i="25" s="1"/>
  <c r="CU22" i="25"/>
  <c r="CY22" i="25" s="1"/>
  <c r="C22" i="25" s="1"/>
  <c r="CU25" i="25"/>
  <c r="CY25" i="25" s="1"/>
  <c r="C25" i="25" s="1"/>
  <c r="CU21" i="25"/>
  <c r="CY21" i="25" s="1"/>
  <c r="C21" i="25" s="1"/>
  <c r="CU24" i="25"/>
  <c r="CY24" i="25" s="1"/>
  <c r="C24" i="25" s="1"/>
  <c r="CU16" i="25"/>
  <c r="CY16" i="25" s="1"/>
  <c r="C16" i="25" s="1"/>
  <c r="CU26" i="25"/>
  <c r="CY26" i="25" s="1"/>
  <c r="C26" i="25" s="1"/>
  <c r="CU23" i="25"/>
  <c r="CY23" i="25" s="1"/>
  <c r="C23" i="25" s="1"/>
  <c r="CU27" i="25"/>
  <c r="CY27" i="25" s="1"/>
  <c r="C27" i="25" s="1"/>
  <c r="CU14" i="25"/>
  <c r="CY14" i="25" s="1"/>
  <c r="C14" i="25" s="1"/>
  <c r="CU15" i="25"/>
  <c r="CY15" i="25" s="1"/>
  <c r="C15" i="25" s="1"/>
  <c r="CU20" i="25"/>
  <c r="CY20" i="25" s="1"/>
  <c r="C20" i="25" s="1"/>
  <c r="CU17" i="25"/>
  <c r="CY17" i="25" s="1"/>
  <c r="C17" i="25" s="1"/>
  <c r="CU18" i="25"/>
  <c r="CY18" i="25" s="1"/>
  <c r="C18" i="25" s="1"/>
  <c r="CU30" i="25"/>
  <c r="CY30" i="25" s="1"/>
  <c r="C30" i="25" s="1"/>
  <c r="CU37" i="25"/>
  <c r="CY37" i="25" s="1"/>
  <c r="C37" i="25" s="1"/>
  <c r="CU35" i="25"/>
  <c r="CY35" i="25" s="1"/>
  <c r="C35" i="25" s="1"/>
  <c r="CU33" i="25"/>
  <c r="CY33" i="25" s="1"/>
  <c r="C33" i="25" s="1"/>
  <c r="CU32" i="25"/>
  <c r="CY32" i="25" s="1"/>
  <c r="C32" i="25" s="1"/>
  <c r="CU28" i="25"/>
  <c r="CY28" i="25" s="1"/>
  <c r="C28" i="25" s="1"/>
  <c r="CU36" i="25"/>
  <c r="CY36" i="25" s="1"/>
  <c r="C36" i="25" s="1"/>
  <c r="CU38" i="25"/>
  <c r="CY38" i="25" s="1"/>
  <c r="C38" i="25" s="1"/>
  <c r="CU34" i="25"/>
  <c r="CY34" i="25" s="1"/>
  <c r="C34" i="25" s="1"/>
  <c r="CU31" i="25" l="1"/>
  <c r="CY31" i="25" s="1"/>
  <c r="C31" i="25" s="1"/>
  <c r="O16" i="28" l="1"/>
  <c r="C9" i="28" l="1"/>
  <c r="C25" i="28" l="1"/>
  <c r="C19" i="28"/>
  <c r="C22" i="28"/>
  <c r="C30" i="28"/>
  <c r="C21" i="28"/>
  <c r="C38" i="28"/>
  <c r="C34" i="28"/>
  <c r="C20" i="28"/>
  <c r="C28" i="28"/>
  <c r="C17" i="28"/>
  <c r="C29" i="28"/>
  <c r="C26" i="28"/>
  <c r="C23" i="28"/>
  <c r="C32" i="28"/>
  <c r="C37" i="28"/>
  <c r="C24" i="28"/>
  <c r="C36" i="28"/>
  <c r="C31" i="28"/>
  <c r="C18" i="28"/>
  <c r="C27" i="28"/>
  <c r="C33" i="28"/>
  <c r="C35" i="28"/>
  <c r="J18" i="43" l="1"/>
  <c r="I19" i="43"/>
  <c r="J19" i="43" l="1"/>
  <c r="I20" i="43"/>
  <c r="B11" i="77"/>
  <c r="K18" i="43"/>
  <c r="J20" i="43" l="1"/>
  <c r="I21" i="43"/>
  <c r="B12" i="77"/>
  <c r="K19" i="43"/>
  <c r="J21" i="43" l="1"/>
  <c r="I22" i="43"/>
  <c r="B13" i="77"/>
  <c r="K20" i="43"/>
  <c r="J22" i="43" l="1"/>
  <c r="I23" i="43"/>
  <c r="K21" i="43"/>
  <c r="B14" i="77"/>
  <c r="J23" i="43" l="1"/>
  <c r="I24" i="43"/>
  <c r="B15" i="77"/>
  <c r="K22" i="43"/>
  <c r="I25" i="43" l="1"/>
  <c r="J24" i="43"/>
  <c r="K23" i="43"/>
  <c r="B16" i="77"/>
  <c r="K24" i="43" l="1"/>
  <c r="B17" i="77"/>
  <c r="I26" i="43"/>
  <c r="J25" i="43"/>
  <c r="K25" i="43" l="1"/>
  <c r="B18" i="77"/>
  <c r="I27" i="43"/>
  <c r="J27" i="43" s="1"/>
  <c r="J26" i="43"/>
  <c r="B19" i="77" l="1"/>
  <c r="K26" i="43"/>
  <c r="K27" i="43"/>
  <c r="B20" i="77"/>
  <c r="B50" i="77" s="1"/>
  <c r="O23" i="31" l="1"/>
  <c r="K97" i="31"/>
  <c r="D97" i="31"/>
  <c r="K76" i="31"/>
  <c r="D76" i="31"/>
  <c r="D17" i="31"/>
  <c r="K17" i="31"/>
  <c r="K84" i="31"/>
  <c r="D84" i="31"/>
  <c r="K18" i="31"/>
  <c r="D18" i="31"/>
  <c r="K107" i="31"/>
  <c r="D107" i="31"/>
  <c r="D24" i="31"/>
  <c r="K24" i="31"/>
  <c r="K19" i="31"/>
  <c r="D19" i="31"/>
  <c r="K14" i="31"/>
  <c r="D14" i="31"/>
  <c r="K27" i="31"/>
  <c r="D27" i="31"/>
  <c r="K47" i="31"/>
  <c r="D47" i="31"/>
  <c r="D126" i="31"/>
  <c r="K126" i="31"/>
  <c r="D118" i="31"/>
  <c r="K118" i="31"/>
  <c r="D121" i="31"/>
  <c r="K121" i="31"/>
  <c r="O25" i="31"/>
  <c r="K130" i="31"/>
  <c r="D130" i="31"/>
  <c r="K58" i="31"/>
  <c r="D58" i="31"/>
  <c r="D50" i="31"/>
  <c r="K50" i="31"/>
  <c r="D89" i="31"/>
  <c r="K89" i="31"/>
  <c r="K79" i="31"/>
  <c r="D79" i="31"/>
  <c r="K75" i="31"/>
  <c r="D75" i="31"/>
  <c r="K85" i="31"/>
  <c r="D85" i="31"/>
  <c r="O22" i="31"/>
  <c r="D42" i="31"/>
  <c r="K42" i="31"/>
  <c r="K99" i="31"/>
  <c r="D99" i="31"/>
  <c r="D15" i="31"/>
  <c r="K15" i="31"/>
  <c r="D68" i="31"/>
  <c r="K68" i="31"/>
  <c r="D92" i="31"/>
  <c r="K92" i="31"/>
  <c r="D100" i="31"/>
  <c r="K100" i="31"/>
  <c r="D62" i="31"/>
  <c r="K62" i="31"/>
  <c r="D125" i="31"/>
  <c r="K125" i="31"/>
  <c r="K21" i="31"/>
  <c r="D21" i="31"/>
  <c r="D116" i="31"/>
  <c r="K116" i="31"/>
  <c r="D31" i="31"/>
  <c r="K31" i="31"/>
  <c r="K55" i="31"/>
  <c r="D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K33" i="31"/>
  <c r="D33" i="31"/>
  <c r="K93" i="31"/>
  <c r="D93" i="31"/>
  <c r="K104" i="31"/>
  <c r="D104" i="31"/>
  <c r="D112" i="31"/>
  <c r="K112" i="31"/>
  <c r="D20" i="31"/>
  <c r="K20" i="31"/>
  <c r="D53" i="31"/>
  <c r="K53" i="31"/>
  <c r="O19" i="31"/>
  <c r="D49" i="31"/>
  <c r="K49" i="31"/>
  <c r="D109" i="31"/>
  <c r="O24" i="31"/>
  <c r="K109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K63" i="31"/>
  <c r="D63" i="31"/>
  <c r="K73" i="31"/>
  <c r="D73" i="31"/>
  <c r="O21" i="31"/>
  <c r="D67" i="31"/>
  <c r="K67" i="31"/>
  <c r="K108" i="31"/>
  <c r="D108" i="31"/>
  <c r="K81" i="31"/>
  <c r="D81" i="31"/>
  <c r="K115" i="31"/>
  <c r="D115" i="31"/>
  <c r="K83" i="31"/>
  <c r="D83" i="31"/>
  <c r="K113" i="31"/>
  <c r="D113" i="31"/>
  <c r="D101" i="31"/>
  <c r="K101" i="31"/>
  <c r="K117" i="31"/>
  <c r="D117" i="31"/>
  <c r="K64" i="31"/>
  <c r="D64" i="31"/>
  <c r="D114" i="31"/>
  <c r="K114" i="31"/>
  <c r="D43" i="31"/>
  <c r="K43" i="31"/>
  <c r="D23" i="31"/>
  <c r="K23" i="31"/>
  <c r="D29" i="31"/>
  <c r="K29" i="31"/>
  <c r="D102" i="31"/>
  <c r="K102" i="31"/>
  <c r="D52" i="31"/>
  <c r="K52" i="31"/>
  <c r="D128" i="31"/>
  <c r="K128" i="31"/>
  <c r="K129" i="31"/>
  <c r="D129" i="31"/>
  <c r="D94" i="31"/>
  <c r="K94" i="31"/>
  <c r="D82" i="31"/>
  <c r="K82" i="31"/>
  <c r="D95" i="31"/>
  <c r="K95" i="31"/>
  <c r="D57" i="31"/>
  <c r="K57" i="31"/>
  <c r="D72" i="31"/>
  <c r="K72" i="31"/>
  <c r="D12" i="31"/>
  <c r="G12" i="31" s="1"/>
  <c r="D25" i="31"/>
  <c r="O17" i="31"/>
  <c r="K25" i="31"/>
  <c r="D28" i="31"/>
  <c r="K28" i="31"/>
  <c r="K87" i="31"/>
  <c r="D87" i="31"/>
  <c r="D132" i="31"/>
  <c r="K132" i="31"/>
  <c r="D30" i="31"/>
  <c r="K30" i="31"/>
  <c r="D65" i="31"/>
  <c r="K65" i="31"/>
  <c r="K119" i="31"/>
  <c r="D119" i="31"/>
  <c r="K59" i="31"/>
  <c r="D59" i="31"/>
  <c r="D46" i="31"/>
  <c r="K46" i="31"/>
  <c r="K77" i="31"/>
  <c r="D77" i="31"/>
  <c r="D120" i="31"/>
  <c r="K120" i="31"/>
  <c r="D16" i="31"/>
  <c r="K16" i="31"/>
  <c r="D96" i="31"/>
  <c r="K96" i="31"/>
  <c r="D88" i="31"/>
  <c r="K88" i="31"/>
  <c r="K56" i="31"/>
  <c r="D56" i="31"/>
  <c r="K44" i="31"/>
  <c r="D44" i="31"/>
  <c r="D106" i="31"/>
  <c r="K106" i="31"/>
  <c r="K70" i="31"/>
  <c r="D70" i="31"/>
  <c r="D41" i="31"/>
  <c r="K41" i="31"/>
  <c r="K103" i="31"/>
  <c r="D103" i="31"/>
  <c r="K122" i="31"/>
  <c r="D122" i="31"/>
  <c r="K71" i="31"/>
  <c r="D71" i="31"/>
  <c r="D111" i="31"/>
  <c r="K111" i="31"/>
  <c r="K54" i="31"/>
  <c r="D54" i="31"/>
  <c r="D38" i="31"/>
  <c r="K38" i="31"/>
  <c r="D48" i="31"/>
  <c r="K48" i="31"/>
  <c r="K124" i="31"/>
  <c r="D124" i="31"/>
  <c r="D45" i="31"/>
  <c r="K45" i="31"/>
  <c r="O16" i="31"/>
  <c r="K13" i="31"/>
  <c r="D13" i="31"/>
  <c r="K35" i="31"/>
  <c r="D35" i="31"/>
  <c r="D110" i="31"/>
  <c r="K110" i="31"/>
  <c r="D131" i="31"/>
  <c r="K131" i="31"/>
  <c r="D61" i="31"/>
  <c r="O20" i="31"/>
  <c r="K61" i="31"/>
  <c r="K74" i="31"/>
  <c r="D74" i="31"/>
  <c r="O18" i="31"/>
  <c r="K37" i="31"/>
  <c r="D37" i="31"/>
  <c r="D36" i="31"/>
  <c r="K36" i="31"/>
  <c r="K78" i="31"/>
  <c r="D78" i="31"/>
  <c r="K40" i="31"/>
  <c r="D40" i="31"/>
  <c r="D69" i="31"/>
  <c r="K69" i="31"/>
  <c r="D60" i="31"/>
  <c r="K60" i="31"/>
  <c r="D51" i="31"/>
  <c r="K51" i="31"/>
  <c r="K66" i="31"/>
  <c r="D66" i="31"/>
  <c r="K123" i="31"/>
  <c r="D123" i="31"/>
  <c r="N18" i="31" l="1"/>
  <c r="R18" i="31" s="1"/>
  <c r="N24" i="31"/>
  <c r="R24" i="31" s="1"/>
  <c r="N19" i="31"/>
  <c r="R19" i="31" s="1"/>
  <c r="N21" i="31"/>
  <c r="R21" i="31" s="1"/>
  <c r="N22" i="31"/>
  <c r="R22" i="31" s="1"/>
  <c r="N25" i="31"/>
  <c r="R25" i="31" s="1"/>
  <c r="N23" i="31"/>
  <c r="R23" i="31" s="1"/>
  <c r="N20" i="31"/>
  <c r="R20" i="31" s="1"/>
  <c r="N16" i="31"/>
  <c r="R16" i="31" s="1"/>
  <c r="N17" i="31"/>
  <c r="R17" i="31" s="1"/>
  <c r="K4" i="31"/>
  <c r="K5" i="31"/>
  <c r="M7" i="31" l="1"/>
  <c r="K6" i="31"/>
  <c r="B5" i="31" s="1"/>
  <c r="K3" i="25"/>
  <c r="B5" i="25" l="1"/>
  <c r="G9" i="25"/>
  <c r="E37" i="25"/>
  <c r="G36" i="25"/>
  <c r="G38" i="25"/>
  <c r="G37" i="25"/>
  <c r="E36" i="25"/>
  <c r="E38" i="25"/>
  <c r="H36" i="25" l="1"/>
  <c r="H38" i="25"/>
  <c r="H37" i="25"/>
  <c r="B5" i="28"/>
  <c r="B4" i="31"/>
  <c r="B5" i="66"/>
  <c r="E41" i="31" l="1"/>
  <c r="G41" i="31" s="1"/>
  <c r="E32" i="31"/>
  <c r="G32" i="31" s="1"/>
  <c r="E112" i="31"/>
  <c r="G112" i="31" s="1"/>
  <c r="E86" i="31"/>
  <c r="G86" i="31" s="1"/>
  <c r="E99" i="31"/>
  <c r="G99" i="31" s="1"/>
  <c r="E93" i="31"/>
  <c r="G93" i="31" s="1"/>
  <c r="E101" i="31"/>
  <c r="G101" i="31" s="1"/>
  <c r="E98" i="31"/>
  <c r="G98" i="31" s="1"/>
  <c r="E51" i="31"/>
  <c r="G51" i="31" s="1"/>
  <c r="E27" i="31"/>
  <c r="G27" i="31" s="1"/>
  <c r="E77" i="31"/>
  <c r="G77" i="31" s="1"/>
  <c r="E63" i="31"/>
  <c r="G63" i="31" s="1"/>
  <c r="E74" i="31"/>
  <c r="G74" i="31" s="1"/>
  <c r="E50" i="31"/>
  <c r="G50" i="31" s="1"/>
  <c r="E107" i="31"/>
  <c r="G107" i="31" s="1"/>
  <c r="E103" i="31"/>
  <c r="G103" i="31" s="1"/>
  <c r="E67" i="31"/>
  <c r="G67" i="31" s="1"/>
  <c r="E104" i="31"/>
  <c r="G104" i="31" s="1"/>
  <c r="E68" i="31"/>
  <c r="G68" i="31" s="1"/>
  <c r="E82" i="31"/>
  <c r="G82" i="31" s="1"/>
  <c r="E75" i="31"/>
  <c r="G75" i="31" s="1"/>
  <c r="E30" i="31"/>
  <c r="G30" i="31" s="1"/>
  <c r="E111" i="31"/>
  <c r="G111" i="31" s="1"/>
  <c r="E58" i="31"/>
  <c r="G58" i="31" s="1"/>
  <c r="E118" i="31"/>
  <c r="G118" i="31" s="1"/>
  <c r="E91" i="31"/>
  <c r="G91" i="31" s="1"/>
  <c r="E108" i="31"/>
  <c r="G108" i="31" s="1"/>
  <c r="E52" i="31"/>
  <c r="G52" i="31" s="1"/>
  <c r="E102" i="31"/>
  <c r="G102" i="31" s="1"/>
  <c r="E71" i="31"/>
  <c r="G71" i="31" s="1"/>
  <c r="E38" i="31"/>
  <c r="G38" i="31" s="1"/>
  <c r="E87" i="31"/>
  <c r="G87" i="31" s="1"/>
  <c r="E66" i="31"/>
  <c r="G66" i="31" s="1"/>
  <c r="E42" i="31"/>
  <c r="G42" i="31" s="1"/>
  <c r="E78" i="31"/>
  <c r="G78" i="31" s="1"/>
  <c r="E115" i="31"/>
  <c r="G115" i="31" s="1"/>
  <c r="E64" i="31"/>
  <c r="G64" i="31" s="1"/>
  <c r="E36" i="31"/>
  <c r="G36" i="31" s="1"/>
  <c r="E79" i="31"/>
  <c r="G79" i="31" s="1"/>
  <c r="E57" i="31"/>
  <c r="G57" i="31" s="1"/>
  <c r="E114" i="31"/>
  <c r="G114" i="31" s="1"/>
  <c r="E117" i="31"/>
  <c r="G117" i="31" s="1"/>
  <c r="E29" i="31"/>
  <c r="G29" i="31" s="1"/>
  <c r="E105" i="31"/>
  <c r="G105" i="31" s="1"/>
  <c r="E53" i="31"/>
  <c r="G53" i="31" s="1"/>
  <c r="E15" i="31"/>
  <c r="G15" i="31" s="1"/>
  <c r="E43" i="31"/>
  <c r="G43" i="31" s="1"/>
  <c r="E44" i="31"/>
  <c r="G44" i="31" s="1"/>
  <c r="E46" i="31"/>
  <c r="G46" i="31" s="1"/>
  <c r="E26" i="31"/>
  <c r="G26" i="31" s="1"/>
  <c r="E19" i="31"/>
  <c r="G19" i="31" s="1"/>
  <c r="E17" i="31"/>
  <c r="G17" i="31" s="1"/>
  <c r="E81" i="31"/>
  <c r="G81" i="31" s="1"/>
  <c r="E20" i="31"/>
  <c r="G20" i="31" s="1"/>
  <c r="E47" i="31"/>
  <c r="G47" i="31" s="1"/>
  <c r="E94" i="31"/>
  <c r="G94" i="31" s="1"/>
  <c r="E39" i="31"/>
  <c r="G39" i="31" s="1"/>
  <c r="E116" i="31"/>
  <c r="G116" i="31" s="1"/>
  <c r="E31" i="31"/>
  <c r="G31" i="31" s="1"/>
  <c r="E45" i="31"/>
  <c r="G45" i="31" s="1"/>
  <c r="E89" i="31"/>
  <c r="G89" i="31" s="1"/>
  <c r="E80" i="31"/>
  <c r="G80" i="31" s="1"/>
  <c r="E56" i="31"/>
  <c r="G56" i="31" s="1"/>
  <c r="E40" i="31"/>
  <c r="G40" i="31" s="1"/>
  <c r="E106" i="31"/>
  <c r="G106" i="31" s="1"/>
  <c r="E95" i="31"/>
  <c r="G95" i="31" s="1"/>
  <c r="E69" i="31"/>
  <c r="G69" i="31" s="1"/>
  <c r="E62" i="31"/>
  <c r="G62" i="31" s="1"/>
  <c r="E76" i="31"/>
  <c r="G76" i="31" s="1"/>
  <c r="E119" i="31"/>
  <c r="G119" i="31" s="1"/>
  <c r="E28" i="31"/>
  <c r="G28" i="31" s="1"/>
  <c r="E70" i="31"/>
  <c r="G70" i="31" s="1"/>
  <c r="E59" i="31"/>
  <c r="G59" i="31" s="1"/>
  <c r="E88" i="31"/>
  <c r="G88" i="31" s="1"/>
  <c r="E113" i="31"/>
  <c r="G113" i="31" s="1"/>
  <c r="E55" i="31"/>
  <c r="G55" i="31" s="1"/>
  <c r="E33" i="31"/>
  <c r="G33" i="31" s="1"/>
  <c r="E16" i="31"/>
  <c r="G16" i="31" s="1"/>
  <c r="E100" i="31"/>
  <c r="G100" i="31" s="1"/>
  <c r="E120" i="31"/>
  <c r="G120" i="31" s="1"/>
  <c r="E54" i="31"/>
  <c r="G54" i="31" s="1"/>
  <c r="E110" i="31"/>
  <c r="G110" i="31" s="1"/>
  <c r="E34" i="31"/>
  <c r="G34" i="31" s="1"/>
  <c r="E92" i="31"/>
  <c r="G92" i="31" s="1"/>
  <c r="E14" i="31"/>
  <c r="G14" i="31" s="1"/>
  <c r="E35" i="31"/>
  <c r="G35" i="31" s="1"/>
  <c r="E83" i="31"/>
  <c r="G83" i="31" s="1"/>
  <c r="E90" i="31"/>
  <c r="G90" i="31" s="1"/>
  <c r="E65" i="31"/>
  <c r="G65" i="31" s="1"/>
  <c r="E24" i="31" l="1"/>
  <c r="E60" i="31"/>
  <c r="G60" i="31" s="1"/>
  <c r="E48" i="31"/>
  <c r="G48" i="31" s="1"/>
  <c r="E96" i="31"/>
  <c r="G96" i="31" s="1"/>
  <c r="E84" i="31"/>
  <c r="G84" i="31" s="1"/>
  <c r="E72" i="31"/>
  <c r="G72" i="31" s="1"/>
  <c r="E21" i="31"/>
  <c r="G21" i="31" s="1"/>
  <c r="E23" i="31"/>
  <c r="G23" i="31" s="1"/>
  <c r="E22" i="31"/>
  <c r="G22" i="31" s="1"/>
  <c r="E18" i="31"/>
  <c r="G18" i="31" s="1"/>
  <c r="E132" i="31"/>
  <c r="G132" i="31" s="1"/>
  <c r="E123" i="31"/>
  <c r="G123" i="31" s="1"/>
  <c r="E129" i="31"/>
  <c r="G129" i="31" s="1"/>
  <c r="E128" i="31"/>
  <c r="G128" i="31" s="1"/>
  <c r="E122" i="31"/>
  <c r="G122" i="31" s="1"/>
  <c r="E131" i="31"/>
  <c r="G131" i="31" s="1"/>
  <c r="E125" i="31"/>
  <c r="G125" i="31" s="1"/>
  <c r="E130" i="31"/>
  <c r="G130" i="31" s="1"/>
  <c r="E126" i="31"/>
  <c r="G126" i="31" s="1"/>
  <c r="E127" i="31"/>
  <c r="G127" i="31" s="1"/>
  <c r="E124" i="31"/>
  <c r="G124" i="31" s="1"/>
  <c r="G24" i="31" l="1"/>
  <c r="E19" i="25"/>
  <c r="E13" i="25"/>
  <c r="E17" i="25"/>
  <c r="E13" i="31" l="1"/>
  <c r="M16" i="31"/>
  <c r="E61" i="31"/>
  <c r="M20" i="31"/>
  <c r="E85" i="31"/>
  <c r="M22" i="31"/>
  <c r="E14" i="25"/>
  <c r="E22" i="25"/>
  <c r="E21" i="25"/>
  <c r="G13" i="25"/>
  <c r="E20" i="25"/>
  <c r="E15" i="25"/>
  <c r="E18" i="25"/>
  <c r="G19" i="25"/>
  <c r="E16" i="25"/>
  <c r="G17" i="25"/>
  <c r="D15" i="82" l="1"/>
  <c r="J15" i="82" s="1"/>
  <c r="D9" i="82"/>
  <c r="J9" i="82" s="1"/>
  <c r="D13" i="82"/>
  <c r="J13" i="82" s="1"/>
  <c r="M24" i="31"/>
  <c r="E109" i="31"/>
  <c r="P20" i="31"/>
  <c r="Q20" i="31"/>
  <c r="E121" i="31"/>
  <c r="M25" i="31"/>
  <c r="E25" i="31"/>
  <c r="M17" i="31"/>
  <c r="E49" i="31"/>
  <c r="M19" i="31"/>
  <c r="G61" i="31"/>
  <c r="M21" i="31"/>
  <c r="E73" i="31"/>
  <c r="M23" i="31"/>
  <c r="E97" i="31"/>
  <c r="P22" i="31"/>
  <c r="Q22" i="31"/>
  <c r="P16" i="31"/>
  <c r="Q16" i="31"/>
  <c r="E37" i="31"/>
  <c r="M18" i="31"/>
  <c r="G85" i="31"/>
  <c r="G13" i="31"/>
  <c r="G15" i="25"/>
  <c r="G21" i="25"/>
  <c r="G14" i="25"/>
  <c r="G16" i="25"/>
  <c r="G20" i="25"/>
  <c r="G18" i="25"/>
  <c r="G22" i="25"/>
  <c r="D17" i="82" l="1"/>
  <c r="J17" i="82" s="1"/>
  <c r="D11" i="82"/>
  <c r="J11" i="82" s="1"/>
  <c r="D14" i="82"/>
  <c r="J14" i="82" s="1"/>
  <c r="D12" i="82"/>
  <c r="J12" i="82" s="1"/>
  <c r="D16" i="82"/>
  <c r="J16" i="82" s="1"/>
  <c r="D10" i="82"/>
  <c r="J10" i="82" s="1"/>
  <c r="D18" i="82"/>
  <c r="J18" i="82" s="1"/>
  <c r="P18" i="31"/>
  <c r="Q18" i="31"/>
  <c r="G73" i="31"/>
  <c r="G49" i="31"/>
  <c r="G121" i="31"/>
  <c r="Q24" i="31"/>
  <c r="P24" i="31"/>
  <c r="G37" i="31"/>
  <c r="Q21" i="31"/>
  <c r="P21" i="31"/>
  <c r="P17" i="31"/>
  <c r="Q17" i="31"/>
  <c r="G97" i="31"/>
  <c r="G25" i="31"/>
  <c r="Q23" i="31"/>
  <c r="P23" i="31"/>
  <c r="Q19" i="31"/>
  <c r="P19" i="31"/>
  <c r="Q25" i="31"/>
  <c r="P25" i="31"/>
  <c r="G109" i="31"/>
  <c r="F9" i="31"/>
  <c r="D166" i="31" l="1"/>
  <c r="K166" i="31"/>
  <c r="K197" i="31"/>
  <c r="D197" i="31"/>
  <c r="K182" i="31"/>
  <c r="D182" i="31"/>
  <c r="D137" i="31"/>
  <c r="K137" i="31"/>
  <c r="D204" i="31"/>
  <c r="K204" i="31"/>
  <c r="D159" i="31"/>
  <c r="K159" i="31"/>
  <c r="K139" i="31"/>
  <c r="D139" i="31"/>
  <c r="D226" i="31"/>
  <c r="K226" i="31"/>
  <c r="K145" i="31"/>
  <c r="D145" i="31"/>
  <c r="O27" i="31"/>
  <c r="K148" i="31"/>
  <c r="D148" i="31"/>
  <c r="K161" i="31"/>
  <c r="D161" i="31"/>
  <c r="D178" i="31"/>
  <c r="K178" i="31"/>
  <c r="D209" i="31"/>
  <c r="K209" i="31"/>
  <c r="K199" i="31"/>
  <c r="D199" i="31"/>
  <c r="D205" i="31"/>
  <c r="K205" i="31"/>
  <c r="O32" i="31"/>
  <c r="D140" i="31"/>
  <c r="K140" i="31"/>
  <c r="K191" i="31"/>
  <c r="D191" i="31"/>
  <c r="K174" i="31"/>
  <c r="D174" i="31"/>
  <c r="D158" i="31"/>
  <c r="K158" i="31"/>
  <c r="D133" i="31"/>
  <c r="O26" i="31"/>
  <c r="K133" i="31"/>
  <c r="D228" i="31"/>
  <c r="K228" i="31"/>
  <c r="D156" i="31"/>
  <c r="K156" i="31"/>
  <c r="D179" i="31"/>
  <c r="K179" i="31"/>
  <c r="D189" i="31"/>
  <c r="K189" i="31"/>
  <c r="K171" i="31"/>
  <c r="D171" i="31"/>
  <c r="K175" i="31"/>
  <c r="D175" i="31"/>
  <c r="D220" i="31"/>
  <c r="K220" i="31"/>
  <c r="D217" i="31"/>
  <c r="O33" i="31"/>
  <c r="K217" i="31"/>
  <c r="D149" i="31"/>
  <c r="K149" i="31"/>
  <c r="K172" i="31"/>
  <c r="D172" i="31"/>
  <c r="K138" i="31"/>
  <c r="D138" i="31"/>
  <c r="D216" i="31"/>
  <c r="K216" i="31"/>
  <c r="D144" i="31"/>
  <c r="K144" i="31"/>
  <c r="D152" i="31"/>
  <c r="K152" i="31"/>
  <c r="K192" i="31"/>
  <c r="D192" i="31"/>
  <c r="D167" i="31"/>
  <c r="K167" i="31"/>
  <c r="D207" i="31"/>
  <c r="K207" i="31"/>
  <c r="K153" i="31"/>
  <c r="D153" i="31"/>
  <c r="D224" i="31"/>
  <c r="K224" i="31"/>
  <c r="K173" i="31"/>
  <c r="D173" i="31"/>
  <c r="D219" i="31"/>
  <c r="K219" i="31"/>
  <c r="D218" i="31"/>
  <c r="K218" i="31"/>
  <c r="D206" i="31"/>
  <c r="K206" i="31"/>
  <c r="D211" i="31"/>
  <c r="K211" i="31"/>
  <c r="K183" i="31"/>
  <c r="D183" i="31"/>
  <c r="K194" i="31"/>
  <c r="D194" i="31"/>
  <c r="D221" i="31"/>
  <c r="K221" i="31"/>
  <c r="D212" i="31"/>
  <c r="K212" i="31"/>
  <c r="K143" i="31"/>
  <c r="D143" i="31"/>
  <c r="K196" i="31"/>
  <c r="D196" i="31"/>
  <c r="K141" i="31"/>
  <c r="D141" i="31"/>
  <c r="K151" i="31"/>
  <c r="D151" i="31"/>
  <c r="D136" i="31"/>
  <c r="K136" i="31"/>
  <c r="D214" i="31"/>
  <c r="K214" i="31"/>
  <c r="K202" i="31"/>
  <c r="D202" i="31"/>
  <c r="K164" i="31"/>
  <c r="D164" i="31"/>
  <c r="K134" i="31"/>
  <c r="D134" i="31"/>
  <c r="D147" i="31"/>
  <c r="K147" i="31"/>
  <c r="D142" i="31"/>
  <c r="K142" i="31"/>
  <c r="K200" i="31"/>
  <c r="D200" i="31"/>
  <c r="K170" i="31"/>
  <c r="D170" i="31"/>
  <c r="D223" i="31"/>
  <c r="K223" i="31"/>
  <c r="K195" i="31"/>
  <c r="D195" i="31"/>
  <c r="K168" i="31"/>
  <c r="D168" i="31"/>
  <c r="K165" i="31"/>
  <c r="D165" i="31"/>
  <c r="K155" i="31"/>
  <c r="D155" i="31"/>
  <c r="D187" i="31"/>
  <c r="K187" i="31"/>
  <c r="K201" i="31"/>
  <c r="D201" i="31"/>
  <c r="D157" i="31"/>
  <c r="O28" i="31"/>
  <c r="K157" i="31"/>
  <c r="K198" i="31"/>
  <c r="D198" i="31"/>
  <c r="D160" i="31"/>
  <c r="K160" i="31"/>
  <c r="D180" i="31"/>
  <c r="K180" i="31"/>
  <c r="K186" i="31"/>
  <c r="D186" i="31"/>
  <c r="D222" i="31"/>
  <c r="K222" i="31"/>
  <c r="D227" i="31"/>
  <c r="K227" i="31"/>
  <c r="D208" i="31"/>
  <c r="K208" i="31"/>
  <c r="D176" i="31"/>
  <c r="K176" i="31"/>
  <c r="D215" i="31"/>
  <c r="K215" i="31"/>
  <c r="K177" i="31"/>
  <c r="D177" i="31"/>
  <c r="K190" i="31"/>
  <c r="D190" i="31"/>
  <c r="D210" i="31"/>
  <c r="K210" i="31"/>
  <c r="D213" i="31"/>
  <c r="K213" i="31"/>
  <c r="D150" i="31"/>
  <c r="K150" i="31"/>
  <c r="D185" i="31"/>
  <c r="K185" i="31"/>
  <c r="K169" i="31"/>
  <c r="O29" i="31"/>
  <c r="D169" i="31"/>
  <c r="K162" i="31"/>
  <c r="D162" i="31"/>
  <c r="D225" i="31"/>
  <c r="K225" i="31"/>
  <c r="K135" i="31"/>
  <c r="D135" i="31"/>
  <c r="K146" i="31"/>
  <c r="D146" i="31"/>
  <c r="D154" i="31"/>
  <c r="K154" i="31"/>
  <c r="O31" i="31"/>
  <c r="K193" i="31"/>
  <c r="D193" i="31"/>
  <c r="O30" i="31"/>
  <c r="D181" i="31"/>
  <c r="K181" i="31"/>
  <c r="K203" i="31"/>
  <c r="D203" i="31"/>
  <c r="D188" i="31"/>
  <c r="K188" i="31"/>
  <c r="D184" i="31"/>
  <c r="K184" i="31"/>
  <c r="D163" i="31"/>
  <c r="K163" i="31"/>
  <c r="D9" i="31"/>
  <c r="C49" i="25" l="1"/>
  <c r="N28" i="31"/>
  <c r="R28" i="31" s="1"/>
  <c r="O34" i="31"/>
  <c r="N27" i="31"/>
  <c r="R27" i="31" s="1"/>
  <c r="N31" i="31"/>
  <c r="R31" i="31" s="1"/>
  <c r="N33" i="31"/>
  <c r="R33" i="31" s="1"/>
  <c r="N30" i="31"/>
  <c r="R30" i="31" s="1"/>
  <c r="N29" i="31"/>
  <c r="R29" i="31" s="1"/>
  <c r="N26" i="31"/>
  <c r="R26" i="31" s="1"/>
  <c r="N32" i="31"/>
  <c r="R32" i="31" s="1"/>
  <c r="O35" i="31" l="1"/>
  <c r="N34" i="31"/>
  <c r="R34" i="31" s="1"/>
  <c r="O36" i="31" l="1"/>
  <c r="N35" i="31" l="1"/>
  <c r="R35" i="31" s="1"/>
  <c r="O37" i="31"/>
  <c r="N36" i="31" l="1"/>
  <c r="R36" i="31" s="1"/>
  <c r="O38" i="31"/>
  <c r="N37" i="31" l="1"/>
  <c r="R37" i="31" s="1"/>
  <c r="N38" i="31"/>
  <c r="R38" i="31" s="1"/>
  <c r="E207" i="31" l="1"/>
  <c r="G207" i="31" s="1"/>
  <c r="E209" i="31"/>
  <c r="G209" i="31" s="1"/>
  <c r="E200" i="31"/>
  <c r="G200" i="31" s="1"/>
  <c r="E160" i="31"/>
  <c r="G160" i="31" s="1"/>
  <c r="E187" i="31"/>
  <c r="G187" i="31" s="1"/>
  <c r="E134" i="31"/>
  <c r="G134" i="31" s="1"/>
  <c r="E154" i="31"/>
  <c r="G154" i="31" s="1"/>
  <c r="E150" i="31"/>
  <c r="G150" i="31" s="1"/>
  <c r="E204" i="31"/>
  <c r="G204" i="31" s="1"/>
  <c r="E192" i="31"/>
  <c r="G192" i="31" s="1"/>
  <c r="E183" i="31"/>
  <c r="G183" i="31" s="1"/>
  <c r="E152" i="31"/>
  <c r="G152" i="31" s="1"/>
  <c r="E182" i="31"/>
  <c r="G182" i="31" s="1"/>
  <c r="E167" i="31"/>
  <c r="G167" i="31" s="1"/>
  <c r="E161" i="31"/>
  <c r="G161" i="31" s="1"/>
  <c r="E188" i="31"/>
  <c r="G188" i="31" s="1"/>
  <c r="E159" i="31"/>
  <c r="G159" i="31" s="1"/>
  <c r="E177" i="31"/>
  <c r="G177" i="31" s="1"/>
  <c r="E142" i="31"/>
  <c r="G142" i="31" s="1"/>
  <c r="E143" i="31"/>
  <c r="G143" i="31" s="1"/>
  <c r="E136" i="31"/>
  <c r="G136" i="31" s="1"/>
  <c r="E146" i="31"/>
  <c r="G146" i="31" s="1"/>
  <c r="E185" i="31"/>
  <c r="G185" i="31" s="1"/>
  <c r="E180" i="31"/>
  <c r="G180" i="31" s="1"/>
  <c r="E175" i="31"/>
  <c r="G175" i="31" s="1"/>
  <c r="E158" i="31"/>
  <c r="G158" i="31" s="1"/>
  <c r="E189" i="31"/>
  <c r="G189" i="31" s="1"/>
  <c r="E174" i="31"/>
  <c r="G174" i="31" s="1"/>
  <c r="E179" i="31"/>
  <c r="G179" i="31" s="1"/>
  <c r="E162" i="31"/>
  <c r="G162" i="31" s="1"/>
  <c r="E135" i="31"/>
  <c r="G135" i="31" s="1"/>
  <c r="E201" i="31"/>
  <c r="G201" i="31" s="1"/>
  <c r="E163" i="31"/>
  <c r="G163" i="31" s="1"/>
  <c r="E164" i="31"/>
  <c r="G164" i="31" s="1"/>
  <c r="E138" i="31"/>
  <c r="G138" i="31" s="1"/>
  <c r="E141" i="31"/>
  <c r="G141" i="31" s="1"/>
  <c r="E178" i="31"/>
  <c r="G178" i="31" s="1"/>
  <c r="E176" i="31"/>
  <c r="G176" i="31" s="1"/>
  <c r="E155" i="31"/>
  <c r="G155" i="31" s="1"/>
  <c r="E186" i="31"/>
  <c r="G186" i="31" s="1"/>
  <c r="E165" i="31"/>
  <c r="G165" i="31" s="1"/>
  <c r="E147" i="31"/>
  <c r="G147" i="31" s="1"/>
  <c r="E184" i="31"/>
  <c r="G184" i="31" s="1"/>
  <c r="E170" i="31"/>
  <c r="G170" i="31" s="1"/>
  <c r="E198" i="31"/>
  <c r="G198" i="31" s="1"/>
  <c r="E173" i="31"/>
  <c r="G173" i="31" s="1"/>
  <c r="E168" i="31"/>
  <c r="G168" i="31" s="1"/>
  <c r="E153" i="31"/>
  <c r="G153" i="31" s="1"/>
  <c r="E140" i="31"/>
  <c r="G140" i="31" s="1"/>
  <c r="E144" i="31"/>
  <c r="G144" i="31" s="1"/>
  <c r="E171" i="31"/>
  <c r="G171" i="31" s="1"/>
  <c r="E137" i="31"/>
  <c r="G137" i="31" s="1"/>
  <c r="E172" i="31"/>
  <c r="G172" i="31" s="1"/>
  <c r="E196" i="31"/>
  <c r="G196" i="31" s="1"/>
  <c r="E149" i="31"/>
  <c r="G149" i="31" s="1"/>
  <c r="E166" i="31"/>
  <c r="G166" i="31" s="1"/>
  <c r="E148" i="31"/>
  <c r="G148" i="31" s="1"/>
  <c r="E156" i="31"/>
  <c r="G156" i="31" s="1"/>
  <c r="E199" i="31"/>
  <c r="G199" i="31" s="1"/>
  <c r="E139" i="31"/>
  <c r="G139" i="31" s="1"/>
  <c r="E151" i="31"/>
  <c r="G151" i="31" s="1"/>
  <c r="E190" i="31"/>
  <c r="G190" i="31" s="1"/>
  <c r="E23" i="25"/>
  <c r="E25" i="25"/>
  <c r="E24" i="25"/>
  <c r="E26" i="25"/>
  <c r="E169" i="31" l="1"/>
  <c r="M29" i="31"/>
  <c r="E157" i="31"/>
  <c r="M28" i="31"/>
  <c r="E203" i="31"/>
  <c r="G203" i="31" s="1"/>
  <c r="E145" i="31"/>
  <c r="M27" i="31"/>
  <c r="E202" i="31"/>
  <c r="G202" i="31" s="1"/>
  <c r="E217" i="31"/>
  <c r="E216" i="31"/>
  <c r="G216" i="31" s="1"/>
  <c r="E215" i="31"/>
  <c r="G215" i="31" s="1"/>
  <c r="E214" i="31"/>
  <c r="G214" i="31" s="1"/>
  <c r="E211" i="31"/>
  <c r="G211" i="31" s="1"/>
  <c r="E219" i="31"/>
  <c r="G219" i="31" s="1"/>
  <c r="E213" i="31"/>
  <c r="G213" i="31" s="1"/>
  <c r="E195" i="31"/>
  <c r="G195" i="31" s="1"/>
  <c r="E205" i="31"/>
  <c r="E133" i="31"/>
  <c r="M26" i="31"/>
  <c r="E193" i="31"/>
  <c r="E197" i="31"/>
  <c r="G197" i="31" s="1"/>
  <c r="E181" i="31"/>
  <c r="E208" i="31"/>
  <c r="G208" i="31" s="1"/>
  <c r="E220" i="31"/>
  <c r="G220" i="31" s="1"/>
  <c r="E210" i="31"/>
  <c r="G210" i="31" s="1"/>
  <c r="E226" i="31"/>
  <c r="G226" i="31" s="1"/>
  <c r="E212" i="31"/>
  <c r="G212" i="31" s="1"/>
  <c r="G25" i="25"/>
  <c r="E28" i="25"/>
  <c r="G23" i="25"/>
  <c r="E27" i="25"/>
  <c r="G26" i="25"/>
  <c r="E29" i="25"/>
  <c r="C9" i="31"/>
  <c r="E30" i="25"/>
  <c r="G24" i="25"/>
  <c r="D22" i="82" l="1"/>
  <c r="J22" i="82" s="1"/>
  <c r="D21" i="82"/>
  <c r="J21" i="82" s="1"/>
  <c r="D20" i="82"/>
  <c r="J20" i="82" s="1"/>
  <c r="D19" i="82"/>
  <c r="J19" i="82" s="1"/>
  <c r="M32" i="31"/>
  <c r="Q32" i="31" s="1"/>
  <c r="E50" i="25"/>
  <c r="G9" i="31"/>
  <c r="G50" i="25" s="1"/>
  <c r="E224" i="31"/>
  <c r="G224" i="31" s="1"/>
  <c r="E218" i="31"/>
  <c r="G133" i="31"/>
  <c r="M30" i="31"/>
  <c r="E191" i="31"/>
  <c r="Q28" i="31"/>
  <c r="P28" i="31"/>
  <c r="M31" i="31"/>
  <c r="E194" i="31"/>
  <c r="M33" i="31"/>
  <c r="G157" i="31"/>
  <c r="E227" i="31"/>
  <c r="G227" i="31" s="1"/>
  <c r="E228" i="31"/>
  <c r="G228" i="31" s="1"/>
  <c r="E223" i="31"/>
  <c r="G223" i="31" s="1"/>
  <c r="E222" i="31"/>
  <c r="G222" i="31" s="1"/>
  <c r="G181" i="31"/>
  <c r="G193" i="31"/>
  <c r="G205" i="31"/>
  <c r="Q27" i="31"/>
  <c r="P27" i="31"/>
  <c r="Q29" i="31"/>
  <c r="P29" i="31"/>
  <c r="P26" i="31"/>
  <c r="Q26" i="31"/>
  <c r="E225" i="31"/>
  <c r="G225" i="31" s="1"/>
  <c r="E206" i="31"/>
  <c r="E221" i="31"/>
  <c r="G221" i="31" s="1"/>
  <c r="G217" i="31"/>
  <c r="G145" i="31"/>
  <c r="G169" i="31"/>
  <c r="G29" i="25"/>
  <c r="G28" i="25"/>
  <c r="E9" i="31"/>
  <c r="G30" i="25"/>
  <c r="G27" i="25"/>
  <c r="E31" i="25"/>
  <c r="D26" i="82" l="1"/>
  <c r="J26" i="82" s="1"/>
  <c r="J27" i="82" s="1"/>
  <c r="D23" i="82"/>
  <c r="J23" i="82" s="1"/>
  <c r="P32" i="31"/>
  <c r="I75" i="25"/>
  <c r="P31" i="31"/>
  <c r="Q31" i="31"/>
  <c r="M34" i="31"/>
  <c r="G206" i="31"/>
  <c r="P33" i="31"/>
  <c r="Q33" i="31"/>
  <c r="G191" i="31"/>
  <c r="G218" i="31"/>
  <c r="G194" i="31"/>
  <c r="Q30" i="31"/>
  <c r="P30" i="31"/>
  <c r="G31" i="25"/>
  <c r="E32" i="25"/>
  <c r="P34" i="31" l="1"/>
  <c r="Q34" i="31"/>
  <c r="M35" i="31"/>
  <c r="G32" i="25"/>
  <c r="E33" i="25"/>
  <c r="M36" i="31" l="1"/>
  <c r="P35" i="31"/>
  <c r="Q35" i="31"/>
  <c r="G33" i="25"/>
  <c r="E34" i="25"/>
  <c r="M37" i="31" l="1"/>
  <c r="M38" i="31"/>
  <c r="P36" i="31"/>
  <c r="Q36" i="31"/>
  <c r="G34" i="25"/>
  <c r="E35" i="25"/>
  <c r="Q38" i="31" l="1"/>
  <c r="P38" i="31"/>
  <c r="Q37" i="31"/>
  <c r="P37" i="31"/>
  <c r="G35" i="25"/>
  <c r="H35" i="25" l="1"/>
  <c r="C13" i="82" l="1"/>
  <c r="I13" i="82" s="1"/>
  <c r="C9" i="82"/>
  <c r="I9" i="82" s="1"/>
  <c r="C15" i="82"/>
  <c r="I15" i="82" s="1"/>
  <c r="C16" i="82" l="1"/>
  <c r="I16" i="82" s="1"/>
  <c r="C18" i="82"/>
  <c r="I18" i="82" s="1"/>
  <c r="C11" i="82"/>
  <c r="I11" i="82" s="1"/>
  <c r="C14" i="82"/>
  <c r="I14" i="82" s="1"/>
  <c r="C17" i="82"/>
  <c r="I17" i="82" s="1"/>
  <c r="C10" i="82"/>
  <c r="I10" i="82" s="1"/>
  <c r="C12" i="82"/>
  <c r="I12" i="82" s="1"/>
  <c r="C20" i="82" l="1"/>
  <c r="I20" i="82" s="1"/>
  <c r="C22" i="82"/>
  <c r="I22" i="82" s="1"/>
  <c r="C21" i="82"/>
  <c r="I21" i="82" s="1"/>
  <c r="C19" i="82"/>
  <c r="I19" i="82" s="1"/>
  <c r="C23" i="82" l="1"/>
  <c r="I23" i="82" s="1"/>
  <c r="C26" i="82" l="1"/>
  <c r="I26" i="82" s="1"/>
  <c r="I27" i="82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<sst xmlns="http://schemas.openxmlformats.org/spreadsheetml/2006/main" count="1214" uniqueCount="269">
  <si>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</si>
  <si>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</si>
  <si>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</si>
  <si>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</si>
  <si>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</si>
  <si>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</si>
  <si>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</si>
  <si>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</si>
  <si>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</si>
  <si>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</si>
  <si>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</si>
  <si>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</si>
  <si>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</si>
  <si>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</si>
  <si>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</si>
  <si>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</si>
  <si>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</si>
  <si>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</si>
  <si>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</si>
  <si>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</si>
  <si>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</si>
  <si>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</si>
  <si>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</si>
  <si>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</si>
  <si>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</si>
  <si>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</si>
  <si>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</si>
  <si>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</si>
  <si>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</si>
  <si>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</si>
  <si>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</si>
  <si>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</si>
  <si>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</si>
  <si>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</si>
  <si>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</si>
  <si>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</si>
  <si>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</si>
  <si>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</si>
  <si>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</si>
  <si>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</si>
  <si>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</si>
  <si>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</si>
  <si>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</si>
  <si>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</si>
  <si>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</si>
  <si>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</si>
  <si>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</si>
  <si>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</si>
  <si>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</si>
  <si>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</si>
  <si>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</si>
  <si>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</si>
  <si>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</si>
  <si>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</si>
  <si>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</si>
  <si>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</si>
  <si>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</si>
  <si>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</si>
  <si>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</si>
  <si>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</si>
  <si>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</si>
  <si>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</si>
  <si>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</si>
  <si>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</si>
  <si>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</si>
  <si>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</si>
  <si>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</si>
  <si>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</si>
  <si>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</si>
  <si>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</si>
  <si>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</si>
  <si>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</si>
  <si>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</si>
  <si>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</si>
  <si>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</si>
  <si>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</si>
  <si>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</si>
  <si>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</si>
  <si>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</si>
  <si>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</si>
  <si>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</si>
  <si>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</si>
  <si>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</si>
  <si>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</si>
  <si>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</si>
  <si>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</si>
  <si>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</si>
  <si>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</si>
  <si>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</si>
  <si>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</si>
  <si>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</si>
  <si>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</si>
  <si>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</si>
  <si>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</si>
  <si>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</si>
  <si>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</si>
  <si>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</si>
  <si>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</si>
  <si>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</si>
  <si>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</si>
  <si>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</si>
  <si>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</si>
  <si>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</si>
  <si>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</si>
  <si>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</si>
  <si>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</si>
  <si>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</si>
  <si>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</si>
  <si>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</si>
  <si>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</si>
  <si>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</si>
  <si>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</si>
  <si>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</si>
  <si>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</si>
  <si>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</si>
  <si>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</si>
  <si>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</si>
  <si>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</si>
  <si>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</si>
  <si>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</si>
  <si>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</si>
  <si>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</si>
  <si>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</si>
  <si>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</si>
  <si>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</si>
  <si>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</si>
  <si>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</si>
  <si>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</si>
  <si>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</si>
  <si>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</si>
  <si>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</si>
  <si>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</si>
  <si>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</si>
  <si>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</si>
  <si>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</si>
  <si>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</si>
  <si>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</si>
  <si>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</si>
  <si>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</si>
  <si>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</si>
  <si>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</si>
  <si>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</si>
  <si>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</si>
  <si>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</si>
  <si>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</si>
  <si>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</si>
  <si>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</si>
  <si>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</si>
  <si>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</si>
  <si>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</si>
  <si>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</si>
  <si>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</si>
  <si>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</si>
  <si>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</si>
  <si>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</si>
  <si>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</si>
  <si>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</si>
  <si>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</si>
  <si>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</si>
  <si>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</si>
  <si>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</si>
  <si>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</si>
  <si>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</si>
  <si>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</si>
  <si>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</si>
  <si>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</si>
  <si>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</si>
  <si>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</si>
  <si>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</si>
  <si>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</si>
  <si>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</si>
  <si>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</si>
  <si>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</si>
  <si>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</si>
  <si>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</si>
  <si>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</si>
  <si>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</si>
  <si>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</si>
  <si>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</si>
  <si>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</si>
  <si>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</si>
  <si>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</si>
  <si>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</si>
  <si>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</si>
  <si>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</si>
  <si>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</si>
  <si>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</si>
  <si>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</si>
  <si>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</si>
  <si>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</si>
  <si>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</si>
  <si>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</si>
  <si>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</si>
  <si>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</si>
  <si>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</si>
  <si>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</si>
  <si>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</si>
  <si>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</si>
  <si>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</si>
  <si>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</si>
  <si>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</si>
  <si>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</si>
  <si>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</si>
  <si>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</si>
  <si>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</si>
  <si>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</si>
  <si>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</si>
  <si>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</si>
  <si>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</si>
  <si>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</si>
  <si>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</si>
  <si>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</si>
  <si>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</si>
  <si>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</si>
  <si>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</si>
  <si>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</si>
  <si>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</si>
  <si>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</si>
  <si>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</si>
  <si>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</si>
  <si>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</si>
  <si>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</si>
  <si>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</si>
  <si>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</si>
  <si>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</si>
  <si>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</si>
  <si>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</si>
  <si>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</si>
  <si>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</si>
  <si>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</si>
  <si>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</si>
  <si>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</si>
  <si>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</si>
  <si>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</si>
  <si>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15 Year</t>
  </si>
  <si>
    <t>Avoided Cost Prices $/MWh</t>
  </si>
  <si>
    <t>Thermal</t>
  </si>
  <si>
    <t>Solar Tracking</t>
  </si>
  <si>
    <t>Wind (Defers UT W)</t>
  </si>
  <si>
    <t>UT 2020.Q4</t>
  </si>
  <si>
    <t>100% CF (2)</t>
  </si>
  <si>
    <t>31.1% CF (2)</t>
  </si>
  <si>
    <t>Difference</t>
  </si>
  <si>
    <t>15-Year Levelized Prices (Nominal) @ 6.920% Discount Rate (1) (3)</t>
  </si>
  <si>
    <t>2021-2035</t>
  </si>
  <si>
    <t>Footnotes:</t>
  </si>
  <si>
    <t>(1)   Discount Rate - 2019 IRP</t>
  </si>
  <si>
    <t>Appendix B.2</t>
  </si>
  <si>
    <t>Utah 2021.Q1 Sch 38</t>
  </si>
  <si>
    <t>UT 2021.Q1</t>
  </si>
  <si>
    <t>Photovoltaic (Utility) 30% ITC</t>
  </si>
  <si>
    <t>Utah 2021.Q1_Solar</t>
  </si>
  <si>
    <t>2023$</t>
  </si>
  <si>
    <t>Company Official Inflation Forecast Dated September 30, 2019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</si>
  <si>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</si>
  <si>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</si>
  <si>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</si>
  <si>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</si>
  <si>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</si>
  <si>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</si>
  <si>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</si>
  <si>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</si>
  <si>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</si>
  <si>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</si>
  <si>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</si>
  <si>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</si>
  <si>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</si>
  <si>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</si>
  <si>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29.4% CF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</si>
</sst>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38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4" fontId="5" fillId="0" borderId="0" xfId="26" applyNumberFormat="1" applyFont="1" applyFill="1"/>
    <xf numFmtId="182" fontId="5" fillId="0" borderId="0" xfId="1" applyNumberFormat="1" applyFont="1" applyFill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38" fillId="0" borderId="0" xfId="11" applyNumberFormat="1" applyFont="1" applyAlignment="1">
      <alignment horizontal="centerContinuous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71" fontId="15" fillId="0" borderId="0" xfId="0" applyFont="1" applyFill="1"/>
    <xf numFmtId="0" fontId="0" fillId="0" borderId="0" xfId="7" applyFont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1%20-%20UT%202020.Q4%20-%20AC%20Study%20NON-CONF%20Therm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1%20Dockets\21-035-44%20Quarterly%20Avoided%20Cost%20Updates\6-30-21%20Q1%202021\Working%20Docs\4_Appendix%20B.1%20-%20UT%202021.Q1%20-%20AC%20Study%20NON-CONF%20Therm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1%20Dockets\21-035-44%20Quarterly%20Avoided%20Cost%20Updates\6-30-21%20Q1%202021\Working%20Docs\4_Appendix%20B.3%20-%20UT%202021.Q1%20-%20AC%20Study%20NON-CONF%20W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2%20-%20UT%202020.Q4%20-%20AC%20Study%20NON-CONF%20S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3%20-%20UT%202020.Q4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 (2)"/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 refreshError="1"/>
      <sheetData sheetId="2">
        <row r="13">
          <cell r="B13">
            <v>2021</v>
          </cell>
          <cell r="C13">
            <v>0</v>
          </cell>
          <cell r="E13">
            <v>20.32567169349986</v>
          </cell>
          <cell r="G13">
            <v>20.32567169349986</v>
          </cell>
        </row>
        <row r="14">
          <cell r="B14">
            <v>2022</v>
          </cell>
          <cell r="C14">
            <v>0</v>
          </cell>
          <cell r="E14">
            <v>21.18341598743697</v>
          </cell>
          <cell r="G14">
            <v>21.18341598743697</v>
          </cell>
        </row>
        <row r="15">
          <cell r="B15">
            <v>2023</v>
          </cell>
          <cell r="C15">
            <v>0</v>
          </cell>
          <cell r="E15">
            <v>20.145294409367029</v>
          </cell>
          <cell r="G15">
            <v>20.145294409367029</v>
          </cell>
        </row>
        <row r="16">
          <cell r="B16">
            <v>2024</v>
          </cell>
          <cell r="C16">
            <v>0</v>
          </cell>
          <cell r="E16">
            <v>17.273119242281751</v>
          </cell>
          <cell r="G16">
            <v>17.273119242281751</v>
          </cell>
        </row>
        <row r="17">
          <cell r="B17">
            <v>2025</v>
          </cell>
          <cell r="C17">
            <v>0</v>
          </cell>
          <cell r="E17">
            <v>20.44254098918459</v>
          </cell>
          <cell r="G17">
            <v>20.44254098918459</v>
          </cell>
        </row>
        <row r="18">
          <cell r="B18">
            <v>2026</v>
          </cell>
          <cell r="C18">
            <v>114.74967954321023</v>
          </cell>
          <cell r="E18">
            <v>21.089680983485323</v>
          </cell>
          <cell r="G18">
            <v>34.188959470153158</v>
          </cell>
        </row>
        <row r="19">
          <cell r="B19">
            <v>2027</v>
          </cell>
          <cell r="C19">
            <v>117.3972712685041</v>
          </cell>
          <cell r="E19">
            <v>22.431118832884874</v>
          </cell>
          <cell r="G19">
            <v>35.832633817873926</v>
          </cell>
        </row>
        <row r="20">
          <cell r="B20">
            <v>2028</v>
          </cell>
          <cell r="C20">
            <v>120.09985320966463</v>
          </cell>
          <cell r="E20">
            <v>25.550016399238103</v>
          </cell>
          <cell r="G20">
            <v>39.222586209081534</v>
          </cell>
        </row>
        <row r="21">
          <cell r="B21">
            <v>2029</v>
          </cell>
          <cell r="C21">
            <v>122.8746415385661</v>
          </cell>
          <cell r="E21">
            <v>27.598395648925695</v>
          </cell>
          <cell r="G21">
            <v>41.625181212688965</v>
          </cell>
        </row>
        <row r="22">
          <cell r="B22">
            <v>2030</v>
          </cell>
          <cell r="C22">
            <v>125.70100585871108</v>
          </cell>
          <cell r="E22">
            <v>26.283585448493067</v>
          </cell>
          <cell r="G22">
            <v>40.633015341039993</v>
          </cell>
        </row>
        <row r="23">
          <cell r="B23">
            <v>2031</v>
          </cell>
          <cell r="C23">
            <v>128.59957656659699</v>
          </cell>
          <cell r="E23">
            <v>27.795305982034552</v>
          </cell>
          <cell r="G23">
            <v>42.475622941691746</v>
          </cell>
        </row>
        <row r="24">
          <cell r="B24">
            <v>2032</v>
          </cell>
          <cell r="C24">
            <v>131.54972326572644</v>
          </cell>
          <cell r="E24">
            <v>29.72702530207421</v>
          </cell>
          <cell r="G24">
            <v>44.703086693891883</v>
          </cell>
        </row>
        <row r="25">
          <cell r="B25">
            <v>2033</v>
          </cell>
          <cell r="C25">
            <v>134.57207635259681</v>
          </cell>
          <cell r="E25">
            <v>30.295704896266653</v>
          </cell>
          <cell r="G25">
            <v>45.657814068937519</v>
          </cell>
        </row>
        <row r="26">
          <cell r="B26">
            <v>2034</v>
          </cell>
          <cell r="C26">
            <v>137.6666358272081</v>
          </cell>
          <cell r="E26">
            <v>31.648551805079698</v>
          </cell>
          <cell r="G26">
            <v>47.363921191747281</v>
          </cell>
        </row>
        <row r="27">
          <cell r="B27">
            <v>2035</v>
          </cell>
          <cell r="C27">
            <v>140.83340168956036</v>
          </cell>
          <cell r="E27">
            <v>33.186398129629083</v>
          </cell>
          <cell r="G27">
            <v>49.26327046862</v>
          </cell>
        </row>
        <row r="28">
          <cell r="B28">
            <v>2036</v>
          </cell>
          <cell r="C28">
            <v>144.04142834490739</v>
          </cell>
          <cell r="E28">
            <v>34.953521525833317</v>
          </cell>
          <cell r="G28">
            <v>51.351680490417486</v>
          </cell>
        </row>
        <row r="29">
          <cell r="B29">
            <v>2037</v>
          </cell>
          <cell r="C29">
            <v>147.35260698274149</v>
          </cell>
          <cell r="E29">
            <v>36.814045022993021</v>
          </cell>
          <cell r="G29">
            <v>53.635118879470369</v>
          </cell>
        </row>
        <row r="30">
          <cell r="B30">
            <v>2038</v>
          </cell>
          <cell r="C30">
            <v>150.74630720656521</v>
          </cell>
          <cell r="E30">
            <v>39.147248205450197</v>
          </cell>
          <cell r="G30">
            <v>56.355730763277279</v>
          </cell>
        </row>
        <row r="31">
          <cell r="B31">
            <v>2039</v>
          </cell>
          <cell r="C31">
            <v>154.21221381812987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157.76064201568417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161.4019069974768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165.10506316876166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31.631028395562545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E13">
            <v>23.841562464532633</v>
          </cell>
          <cell r="G13">
            <v>23.841562464532633</v>
          </cell>
        </row>
        <row r="14">
          <cell r="B14">
            <v>2022</v>
          </cell>
          <cell r="C14">
            <v>0</v>
          </cell>
          <cell r="E14">
            <v>22.834717226163065</v>
          </cell>
          <cell r="G14">
            <v>22.834717226163065</v>
          </cell>
        </row>
        <row r="15">
          <cell r="B15">
            <v>2023</v>
          </cell>
          <cell r="C15">
            <v>0</v>
          </cell>
          <cell r="E15">
            <v>21.796442664348319</v>
          </cell>
          <cell r="G15">
            <v>21.796442664348319</v>
          </cell>
        </row>
        <row r="16">
          <cell r="B16">
            <v>2024</v>
          </cell>
          <cell r="C16">
            <v>0</v>
          </cell>
          <cell r="E16">
            <v>16.689350728803131</v>
          </cell>
          <cell r="G16">
            <v>16.689350728803131</v>
          </cell>
        </row>
        <row r="17">
          <cell r="B17">
            <v>2025</v>
          </cell>
          <cell r="C17">
            <v>0</v>
          </cell>
          <cell r="E17">
            <v>18.62351687415849</v>
          </cell>
          <cell r="G17">
            <v>18.62351687415849</v>
          </cell>
        </row>
        <row r="18">
          <cell r="B18">
            <v>2026</v>
          </cell>
          <cell r="C18">
            <v>115.06945068892009</v>
          </cell>
          <cell r="E18">
            <v>19.946859870481045</v>
          </cell>
          <cell r="G18">
            <v>33.082641912595221</v>
          </cell>
        </row>
        <row r="19">
          <cell r="B19">
            <v>2027</v>
          </cell>
          <cell r="C19">
            <v>117.94397677568543</v>
          </cell>
          <cell r="E19">
            <v>21.716536135298782</v>
          </cell>
          <cell r="G19">
            <v>35.180460424760582</v>
          </cell>
        </row>
        <row r="20">
          <cell r="B20">
            <v>2028</v>
          </cell>
          <cell r="C20">
            <v>120.7703410958304</v>
          </cell>
          <cell r="E20">
            <v>24.514528954792869</v>
          </cell>
          <cell r="G20">
            <v>38.263429352769919</v>
          </cell>
        </row>
        <row r="21">
          <cell r="B21">
            <v>2029</v>
          </cell>
          <cell r="C21">
            <v>123.66891180371633</v>
          </cell>
          <cell r="E21">
            <v>26.562247152566588</v>
          </cell>
          <cell r="G21">
            <v>40.679702837922335</v>
          </cell>
        </row>
        <row r="22">
          <cell r="B22">
            <v>2030</v>
          </cell>
          <cell r="C22">
            <v>126.53653691685614</v>
          </cell>
          <cell r="E22">
            <v>25.992959097679858</v>
          </cell>
          <cell r="G22">
            <v>40.437769248005907</v>
          </cell>
        </row>
        <row r="23">
          <cell r="B23">
            <v>2031</v>
          </cell>
          <cell r="C23">
            <v>129.43510762474207</v>
          </cell>
          <cell r="E23">
            <v>27.740904284243033</v>
          </cell>
          <cell r="G23">
            <v>42.516601501679347</v>
          </cell>
        </row>
        <row r="24">
          <cell r="B24">
            <v>2032</v>
          </cell>
          <cell r="C24">
            <v>132.41619991861762</v>
          </cell>
          <cell r="E24">
            <v>28.780182846505244</v>
          </cell>
          <cell r="G24">
            <v>43.854886844526376</v>
          </cell>
        </row>
        <row r="25">
          <cell r="B25">
            <v>2033</v>
          </cell>
          <cell r="C25">
            <v>135.46949860023406</v>
          </cell>
          <cell r="E25">
            <v>30.118517359004922</v>
          </cell>
          <cell r="G25">
            <v>45.583071993734841</v>
          </cell>
        </row>
        <row r="26">
          <cell r="B26">
            <v>2034</v>
          </cell>
          <cell r="C26">
            <v>138.71878604857594</v>
          </cell>
          <cell r="E26">
            <v>30.84674468729817</v>
          </cell>
          <cell r="G26">
            <v>46.682222546724653</v>
          </cell>
        </row>
        <row r="27">
          <cell r="B27">
            <v>2035</v>
          </cell>
          <cell r="C27">
            <v>142.02996468641007</v>
          </cell>
          <cell r="E27">
            <v>31.694272233880493</v>
          </cell>
          <cell r="G27">
            <v>47.907738522283466</v>
          </cell>
        </row>
        <row r="28">
          <cell r="B28">
            <v>2036</v>
          </cell>
          <cell r="C28">
            <v>145.29988253124935</v>
          </cell>
          <cell r="E28">
            <v>33.482164783813232</v>
          </cell>
          <cell r="G28">
            <v>50.023590390740516</v>
          </cell>
        </row>
        <row r="29">
          <cell r="B29">
            <v>2037</v>
          </cell>
          <cell r="C29">
            <v>148.61106116908343</v>
          </cell>
          <cell r="E29">
            <v>35.320590466100519</v>
          </cell>
          <cell r="G29">
            <v>52.285323476269859</v>
          </cell>
        </row>
        <row r="30">
          <cell r="B30">
            <v>2038</v>
          </cell>
          <cell r="C30">
            <v>152.03570698765324</v>
          </cell>
          <cell r="E30">
            <v>36.477812367157782</v>
          </cell>
          <cell r="G30">
            <v>53.833486680816819</v>
          </cell>
        </row>
        <row r="31">
          <cell r="B31">
            <v>2039</v>
          </cell>
          <cell r="C31">
            <v>155.54287439221275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159.10161778801574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162.76351316630581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166.67297330256471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31.715186147508916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>
        <row r="13">
          <cell r="B13">
            <v>2021</v>
          </cell>
          <cell r="C13">
            <v>0</v>
          </cell>
          <cell r="E13">
            <v>21.068108598835664</v>
          </cell>
          <cell r="G13">
            <v>21.068108598835664</v>
          </cell>
        </row>
        <row r="14">
          <cell r="B14">
            <v>2022</v>
          </cell>
          <cell r="C14">
            <v>0</v>
          </cell>
          <cell r="E14">
            <v>20.885488182948571</v>
          </cell>
          <cell r="G14">
            <v>20.885488182948571</v>
          </cell>
        </row>
        <row r="15">
          <cell r="B15">
            <v>2023</v>
          </cell>
          <cell r="C15">
            <v>122.85098350109672</v>
          </cell>
          <cell r="E15">
            <v>-20.204345359238609</v>
          </cell>
          <cell r="G15">
            <v>27.405581706249269</v>
          </cell>
        </row>
        <row r="16">
          <cell r="B16">
            <v>2024</v>
          </cell>
          <cell r="C16">
            <v>125.67124391016509</v>
          </cell>
          <cell r="E16">
            <v>-21.267894915665668</v>
          </cell>
          <cell r="G16">
            <v>27.396610806883981</v>
          </cell>
        </row>
        <row r="17">
          <cell r="B17">
            <v>2025</v>
          </cell>
          <cell r="C17">
            <v>128.64698645363964</v>
          </cell>
          <cell r="E17">
            <v>-22.065645011050442</v>
          </cell>
          <cell r="G17">
            <v>27.790477159904022</v>
          </cell>
        </row>
        <row r="18">
          <cell r="B18">
            <v>2026</v>
          </cell>
          <cell r="C18">
            <v>131.78958344760542</v>
          </cell>
          <cell r="E18">
            <v>-22.246725313393426</v>
          </cell>
          <cell r="G18">
            <v>28.827285468746606</v>
          </cell>
        </row>
        <row r="19">
          <cell r="B19">
            <v>2027</v>
          </cell>
          <cell r="C19">
            <v>134.99759914682991</v>
          </cell>
          <cell r="E19">
            <v>-22.386340140254994</v>
          </cell>
          <cell r="G19">
            <v>29.930911754917339</v>
          </cell>
        </row>
        <row r="20">
          <cell r="B20">
            <v>2028</v>
          </cell>
          <cell r="C20">
            <v>138.20458578776942</v>
          </cell>
          <cell r="E20">
            <v>-21.092055616544393</v>
          </cell>
          <cell r="G20">
            <v>32.425818852489144</v>
          </cell>
        </row>
        <row r="21">
          <cell r="B21">
            <v>2029</v>
          </cell>
          <cell r="C21">
            <v>141.47699113396752</v>
          </cell>
          <cell r="E21">
            <v>-21.43580879705733</v>
          </cell>
          <cell r="G21">
            <v>33.392480219226677</v>
          </cell>
        </row>
        <row r="22">
          <cell r="B22">
            <v>2030</v>
          </cell>
          <cell r="C22">
            <v>144.72352301471511</v>
          </cell>
          <cell r="E22">
            <v>-22.342815893272913</v>
          </cell>
          <cell r="G22">
            <v>33.74364087758012</v>
          </cell>
        </row>
        <row r="23">
          <cell r="B23">
            <v>2031</v>
          </cell>
          <cell r="C23">
            <v>148.05017443336371</v>
          </cell>
          <cell r="E23">
            <v>-22.680305388811231</v>
          </cell>
          <cell r="G23">
            <v>34.69536882988379</v>
          </cell>
        </row>
        <row r="24">
          <cell r="B24">
            <v>2032</v>
          </cell>
          <cell r="C24">
            <v>151.45238813179427</v>
          </cell>
          <cell r="E24">
            <v>-23.771495072690691</v>
          </cell>
          <cell r="G24">
            <v>34.876413387594333</v>
          </cell>
        </row>
        <row r="25">
          <cell r="B25">
            <v>2033</v>
          </cell>
          <cell r="C25">
            <v>154.9200205354835</v>
          </cell>
          <cell r="E25">
            <v>2.8508914925266269</v>
          </cell>
          <cell r="G25">
            <v>62.88892023661402</v>
          </cell>
        </row>
        <row r="26">
          <cell r="B26">
            <v>2034</v>
          </cell>
          <cell r="C26">
            <v>158.58949537135291</v>
          </cell>
          <cell r="E26">
            <v>2.6545729716940074</v>
          </cell>
          <cell r="G26">
            <v>64.114677667683168</v>
          </cell>
        </row>
        <row r="27">
          <cell r="B27">
            <v>2035</v>
          </cell>
          <cell r="C27">
            <v>162.34467606152748</v>
          </cell>
          <cell r="E27">
            <v>3.2674646450331641</v>
          </cell>
          <cell r="G27">
            <v>66.182859918938959</v>
          </cell>
        </row>
        <row r="28">
          <cell r="B28">
            <v>2036</v>
          </cell>
          <cell r="C28">
            <v>166.06839696984733</v>
          </cell>
          <cell r="E28">
            <v>3.647642249121009</v>
          </cell>
          <cell r="G28">
            <v>67.955404337088112</v>
          </cell>
        </row>
        <row r="29">
          <cell r="B29">
            <v>2037</v>
          </cell>
          <cell r="C29">
            <v>169.87782373247234</v>
          </cell>
          <cell r="E29">
            <v>2.7072419364515894</v>
          </cell>
          <cell r="G29">
            <v>68.542049012901316</v>
          </cell>
        </row>
        <row r="30">
          <cell r="B30">
            <v>2038</v>
          </cell>
          <cell r="C30">
            <v>173.78765718204497</v>
          </cell>
          <cell r="E30">
            <v>-3.6606387683014856</v>
          </cell>
          <cell r="G30">
            <v>63.689393339868865</v>
          </cell>
        </row>
        <row r="31">
          <cell r="B31">
            <v>2039</v>
          </cell>
          <cell r="C31">
            <v>177.78643066910408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181.88443477649943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186.06358748008083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190.52676027031333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195.09136880577847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32.81697933493993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2 - UT 2020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16.87226312752971</v>
          </cell>
          <cell r="F13">
            <v>0</v>
          </cell>
          <cell r="G13">
            <v>16.87226312752971</v>
          </cell>
          <cell r="H13">
            <v>0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17.447416560191382</v>
          </cell>
          <cell r="F14">
            <v>0</v>
          </cell>
          <cell r="G14">
            <v>17.447416560191382</v>
          </cell>
          <cell r="H14">
            <v>0</v>
          </cell>
        </row>
        <row r="15">
          <cell r="B15">
            <v>2023</v>
          </cell>
          <cell r="C15">
            <v>0</v>
          </cell>
          <cell r="D15">
            <v>0</v>
          </cell>
          <cell r="E15">
            <v>16.676787043388639</v>
          </cell>
          <cell r="F15">
            <v>0</v>
          </cell>
          <cell r="G15">
            <v>16.676787043388639</v>
          </cell>
          <cell r="H15">
            <v>0</v>
          </cell>
        </row>
        <row r="16">
          <cell r="B16">
            <v>2024</v>
          </cell>
          <cell r="C16">
            <v>32.796143201742971</v>
          </cell>
          <cell r="D16">
            <v>0</v>
          </cell>
          <cell r="E16">
            <v>3.9952811938053765</v>
          </cell>
          <cell r="F16">
            <v>0</v>
          </cell>
          <cell r="G16">
            <v>15.770914205393098</v>
          </cell>
          <cell r="H16">
            <v>0</v>
          </cell>
        </row>
        <row r="17">
          <cell r="B17">
            <v>2025</v>
          </cell>
          <cell r="C17">
            <v>33.486675771540753</v>
          </cell>
          <cell r="D17">
            <v>0</v>
          </cell>
          <cell r="E17">
            <v>5.3100593961997165</v>
          </cell>
          <cell r="F17">
            <v>0</v>
          </cell>
          <cell r="G17">
            <v>17.426597323375361</v>
          </cell>
          <cell r="H17">
            <v>0</v>
          </cell>
        </row>
        <row r="18">
          <cell r="B18">
            <v>2026</v>
          </cell>
          <cell r="C18">
            <v>34.221661695862579</v>
          </cell>
          <cell r="D18">
            <v>0</v>
          </cell>
          <cell r="E18">
            <v>5.2006147217215188</v>
          </cell>
          <cell r="F18">
            <v>0</v>
          </cell>
          <cell r="G18">
            <v>17.645317306504033</v>
          </cell>
          <cell r="H18">
            <v>0</v>
          </cell>
        </row>
        <row r="19">
          <cell r="B19">
            <v>2027</v>
          </cell>
          <cell r="C19">
            <v>35.01042707806161</v>
          </cell>
          <cell r="D19">
            <v>0</v>
          </cell>
          <cell r="E19">
            <v>6.0736825865910955</v>
          </cell>
          <cell r="F19">
            <v>0</v>
          </cell>
          <cell r="G19">
            <v>18.869197203604671</v>
          </cell>
          <cell r="H19">
            <v>0</v>
          </cell>
        </row>
        <row r="20">
          <cell r="B20">
            <v>2028</v>
          </cell>
          <cell r="C20">
            <v>35.817118946219708</v>
          </cell>
          <cell r="D20">
            <v>0</v>
          </cell>
          <cell r="E20">
            <v>8.8074422373974919</v>
          </cell>
          <cell r="F20">
            <v>0</v>
          </cell>
          <cell r="G20">
            <v>21.928227155563935</v>
          </cell>
          <cell r="H20">
            <v>0</v>
          </cell>
        </row>
        <row r="21">
          <cell r="B21">
            <v>2029</v>
          </cell>
          <cell r="C21">
            <v>36.641737300336885</v>
          </cell>
          <cell r="D21">
            <v>0</v>
          </cell>
          <cell r="E21">
            <v>10.156055367822333</v>
          </cell>
          <cell r="F21">
            <v>0</v>
          </cell>
          <cell r="G21">
            <v>23.682705025756423</v>
          </cell>
          <cell r="H21">
            <v>0</v>
          </cell>
        </row>
        <row r="22">
          <cell r="B22">
            <v>2030</v>
          </cell>
          <cell r="C22">
            <v>37.484282140413129</v>
          </cell>
          <cell r="D22">
            <v>0</v>
          </cell>
          <cell r="E22">
            <v>7.7003332299915757</v>
          </cell>
          <cell r="F22">
            <v>0</v>
          </cell>
          <cell r="G22">
            <v>21.607552493418538</v>
          </cell>
          <cell r="H22">
            <v>0</v>
          </cell>
        </row>
        <row r="23">
          <cell r="B23">
            <v>2031</v>
          </cell>
          <cell r="C23">
            <v>38.344753466448431</v>
          </cell>
          <cell r="D23">
            <v>0</v>
          </cell>
          <cell r="E23">
            <v>8.5348903048244988</v>
          </cell>
          <cell r="F23">
            <v>0</v>
          </cell>
          <cell r="G23">
            <v>22.832846983599275</v>
          </cell>
          <cell r="H23">
            <v>0</v>
          </cell>
        </row>
        <row r="24">
          <cell r="B24">
            <v>2032</v>
          </cell>
          <cell r="C24">
            <v>39.226736575634618</v>
          </cell>
          <cell r="D24">
            <v>0</v>
          </cell>
          <cell r="E24">
            <v>9.3157111543807627</v>
          </cell>
          <cell r="F24">
            <v>0</v>
          </cell>
          <cell r="G24">
            <v>23.976556799533775</v>
          </cell>
          <cell r="H24">
            <v>0</v>
          </cell>
        </row>
        <row r="25">
          <cell r="B25">
            <v>2033</v>
          </cell>
          <cell r="C25">
            <v>40.126646170779885</v>
          </cell>
          <cell r="D25">
            <v>0</v>
          </cell>
          <cell r="E25">
            <v>9.0319159412181858</v>
          </cell>
          <cell r="F25">
            <v>0</v>
          </cell>
          <cell r="G25">
            <v>24.14505656784096</v>
          </cell>
          <cell r="H25">
            <v>0</v>
          </cell>
        </row>
        <row r="26">
          <cell r="B26">
            <v>2034</v>
          </cell>
          <cell r="C26">
            <v>41.048067549076023</v>
          </cell>
          <cell r="D26">
            <v>0</v>
          </cell>
          <cell r="E26">
            <v>10.147824254220943</v>
          </cell>
          <cell r="F26">
            <v>0</v>
          </cell>
          <cell r="G26">
            <v>25.685694724407579</v>
          </cell>
          <cell r="H26">
            <v>0</v>
          </cell>
        </row>
        <row r="27">
          <cell r="B27">
            <v>2035</v>
          </cell>
          <cell r="C27">
            <v>41.991000710523046</v>
          </cell>
          <cell r="D27">
            <v>0</v>
          </cell>
          <cell r="E27">
            <v>10.600785110618183</v>
          </cell>
          <cell r="F27">
            <v>0</v>
          </cell>
          <cell r="G27">
            <v>26.575456267388091</v>
          </cell>
          <cell r="H27">
            <v>0</v>
          </cell>
        </row>
        <row r="28">
          <cell r="B28">
            <v>2036</v>
          </cell>
          <cell r="C28">
            <v>42.955445655120954</v>
          </cell>
          <cell r="D28">
            <v>0</v>
          </cell>
          <cell r="E28">
            <v>12.284920139600489</v>
          </cell>
          <cell r="F28">
            <v>0</v>
          </cell>
          <cell r="G28">
            <v>28.664499591232282</v>
          </cell>
          <cell r="H28">
            <v>0</v>
          </cell>
        </row>
        <row r="29">
          <cell r="B29">
            <v>2037</v>
          </cell>
          <cell r="C29">
            <v>43.944987680061566</v>
          </cell>
          <cell r="D29">
            <v>0</v>
          </cell>
          <cell r="E29">
            <v>12.846824690032562</v>
          </cell>
          <cell r="F29">
            <v>0</v>
          </cell>
          <cell r="G29">
            <v>29.733295316991299</v>
          </cell>
          <cell r="H29">
            <v>0</v>
          </cell>
        </row>
        <row r="30">
          <cell r="B30">
            <v>2038</v>
          </cell>
          <cell r="C30">
            <v>44.959626785344867</v>
          </cell>
          <cell r="D30">
            <v>0</v>
          </cell>
          <cell r="E30">
            <v>14.186350957503087</v>
          </cell>
          <cell r="F30">
            <v>0</v>
          </cell>
          <cell r="G30">
            <v>31.549526559899594</v>
          </cell>
          <cell r="H30">
            <v>0</v>
          </cell>
        </row>
        <row r="31">
          <cell r="B31">
            <v>2039</v>
          </cell>
          <cell r="C31">
            <v>45.995777673779052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  <cell r="H31">
            <v>0</v>
          </cell>
        </row>
        <row r="32">
          <cell r="B32">
            <v>2040</v>
          </cell>
          <cell r="C32">
            <v>47.057025642555928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  <cell r="H32">
            <v>0</v>
          </cell>
        </row>
        <row r="33">
          <cell r="B33">
            <v>2041</v>
          </cell>
          <cell r="C33">
            <v>48.139785394483695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  <cell r="H33">
            <v>0</v>
          </cell>
        </row>
        <row r="34">
          <cell r="B34">
            <v>2042</v>
          </cell>
          <cell r="C34">
            <v>49.247642226754145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  <cell r="H34">
            <v>0</v>
          </cell>
        </row>
        <row r="35">
          <cell r="B35">
            <v>2043</v>
          </cell>
          <cell r="C35">
            <v>50.427205002860887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  <cell r="H35">
            <v>0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  <cell r="H36">
            <v>0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  <cell r="H37">
            <v>0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  <cell r="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50">
          <cell r="G50">
            <v>19.723186023862628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Appendix B.2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18.597845248115053</v>
          </cell>
          <cell r="F13">
            <v>0</v>
          </cell>
          <cell r="G13">
            <v>18.597845248115053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19.632077482883851</v>
          </cell>
          <cell r="F14">
            <v>0</v>
          </cell>
          <cell r="G14">
            <v>19.632077482883851</v>
          </cell>
        </row>
        <row r="15">
          <cell r="B15">
            <v>2023</v>
          </cell>
          <cell r="C15">
            <v>122.85098350109672</v>
          </cell>
          <cell r="D15">
            <v>0</v>
          </cell>
          <cell r="E15">
            <v>-21.561141405992014</v>
          </cell>
          <cell r="F15">
            <v>0</v>
          </cell>
          <cell r="G15">
            <v>26.048785659495863</v>
          </cell>
        </row>
        <row r="16">
          <cell r="B16">
            <v>2024</v>
          </cell>
          <cell r="C16">
            <v>125.40751097256046</v>
          </cell>
          <cell r="D16">
            <v>0</v>
          </cell>
          <cell r="E16">
            <v>-21.559758494403905</v>
          </cell>
          <cell r="F16">
            <v>0</v>
          </cell>
          <cell r="G16">
            <v>27.002620181003124</v>
          </cell>
        </row>
        <row r="17">
          <cell r="B17">
            <v>2025</v>
          </cell>
          <cell r="C17">
            <v>128.09923342938384</v>
          </cell>
          <cell r="D17">
            <v>0</v>
          </cell>
          <cell r="E17">
            <v>-22.257583129072014</v>
          </cell>
          <cell r="F17">
            <v>0</v>
          </cell>
          <cell r="G17">
            <v>27.386261689341055</v>
          </cell>
        </row>
        <row r="18">
          <cell r="B18">
            <v>2026</v>
          </cell>
          <cell r="C18">
            <v>130.93752318765195</v>
          </cell>
          <cell r="D18">
            <v>0</v>
          </cell>
          <cell r="E18">
            <v>-22.123406377307507</v>
          </cell>
          <cell r="F18">
            <v>0</v>
          </cell>
          <cell r="G18">
            <v>28.620395189768146</v>
          </cell>
        </row>
        <row r="19">
          <cell r="B19">
            <v>2027</v>
          </cell>
          <cell r="C19">
            <v>133.94266739641128</v>
          </cell>
          <cell r="D19">
            <v>0</v>
          </cell>
          <cell r="E19">
            <v>-22.5269914052327</v>
          </cell>
          <cell r="F19">
            <v>0</v>
          </cell>
          <cell r="G19">
            <v>29.381430033193233</v>
          </cell>
        </row>
        <row r="20">
          <cell r="B20">
            <v>2028</v>
          </cell>
          <cell r="C20">
            <v>137.0279311430717</v>
          </cell>
          <cell r="D20">
            <v>0</v>
          </cell>
          <cell r="E20">
            <v>-22.288785478182124</v>
          </cell>
          <cell r="F20">
            <v>0</v>
          </cell>
          <cell r="G20">
            <v>30.773445242061193</v>
          </cell>
        </row>
        <row r="21">
          <cell r="B21">
            <v>2029</v>
          </cell>
          <cell r="C21">
            <v>140.17861359499082</v>
          </cell>
          <cell r="D21">
            <v>0</v>
          </cell>
          <cell r="E21">
            <v>-22.823228042554327</v>
          </cell>
          <cell r="F21">
            <v>0</v>
          </cell>
          <cell r="G21">
            <v>31.501885026964892</v>
          </cell>
        </row>
        <row r="22">
          <cell r="B22">
            <v>2030</v>
          </cell>
          <cell r="C22">
            <v>143.39471475216857</v>
          </cell>
          <cell r="D22">
            <v>0</v>
          </cell>
          <cell r="E22">
            <v>-23.265837412348656</v>
          </cell>
          <cell r="F22">
            <v>0</v>
          </cell>
          <cell r="G22">
            <v>32.305650225487263</v>
          </cell>
        </row>
        <row r="23">
          <cell r="B23">
            <v>2031</v>
          </cell>
          <cell r="C23">
            <v>146.69093544724745</v>
          </cell>
          <cell r="D23">
            <v>0</v>
          </cell>
          <cell r="E23">
            <v>-23.344222484772068</v>
          </cell>
          <cell r="F23">
            <v>0</v>
          </cell>
          <cell r="G23">
            <v>33.504689414653562</v>
          </cell>
        </row>
        <row r="24">
          <cell r="B24">
            <v>2032</v>
          </cell>
          <cell r="C24">
            <v>150.05257484758499</v>
          </cell>
          <cell r="D24">
            <v>0</v>
          </cell>
          <cell r="E24">
            <v>-23.596888097231808</v>
          </cell>
          <cell r="F24">
            <v>0</v>
          </cell>
          <cell r="G24">
            <v>34.508961420526958</v>
          </cell>
        </row>
        <row r="25">
          <cell r="B25">
            <v>2033</v>
          </cell>
          <cell r="C25">
            <v>153.48977652770446</v>
          </cell>
          <cell r="D25">
            <v>0</v>
          </cell>
          <cell r="E25">
            <v>2.6109162436988314</v>
          </cell>
          <cell r="F25">
            <v>0</v>
          </cell>
          <cell r="G25">
            <v>62.094665233928161</v>
          </cell>
        </row>
        <row r="26">
          <cell r="B26">
            <v>2034</v>
          </cell>
          <cell r="C26">
            <v>157.01724132024825</v>
          </cell>
          <cell r="D26">
            <v>0</v>
          </cell>
          <cell r="E26">
            <v>2.7860789429781123</v>
          </cell>
          <cell r="F26">
            <v>0</v>
          </cell>
          <cell r="G26">
            <v>63.636869015931765</v>
          </cell>
        </row>
        <row r="27">
          <cell r="B27">
            <v>2035</v>
          </cell>
          <cell r="C27">
            <v>160.61012481805071</v>
          </cell>
          <cell r="D27">
            <v>0</v>
          </cell>
          <cell r="E27">
            <v>3.5543746451170963</v>
          </cell>
          <cell r="F27">
            <v>0</v>
          </cell>
          <cell r="G27">
            <v>65.797558302641804</v>
          </cell>
        </row>
        <row r="28">
          <cell r="B28">
            <v>2036</v>
          </cell>
          <cell r="C28">
            <v>164.29327142827756</v>
          </cell>
          <cell r="D28">
            <v>0</v>
          </cell>
          <cell r="E28">
            <v>3.475312014812221</v>
          </cell>
          <cell r="F28">
            <v>0</v>
          </cell>
          <cell r="G28">
            <v>67.095680516242425</v>
          </cell>
        </row>
        <row r="29">
          <cell r="B29">
            <v>2037</v>
          </cell>
          <cell r="C29">
            <v>168.06212389280955</v>
          </cell>
          <cell r="D29">
            <v>0</v>
          </cell>
          <cell r="E29">
            <v>2.5020724204633931</v>
          </cell>
          <cell r="F29">
            <v>0</v>
          </cell>
          <cell r="G29">
            <v>67.633219383859227</v>
          </cell>
        </row>
        <row r="30">
          <cell r="B30">
            <v>2038</v>
          </cell>
          <cell r="C30">
            <v>171.92123946976591</v>
          </cell>
          <cell r="D30">
            <v>0</v>
          </cell>
          <cell r="E30">
            <v>2.4072340101258631</v>
          </cell>
          <cell r="F30">
            <v>0</v>
          </cell>
          <cell r="G30">
            <v>69.033950694821797</v>
          </cell>
        </row>
        <row r="31">
          <cell r="B31">
            <v>2039</v>
          </cell>
          <cell r="C31">
            <v>175.87943865873203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179.92672489351108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</row>
        <row r="33">
          <cell r="B33">
            <v>2041</v>
          </cell>
          <cell r="C33">
            <v>184.06530329899945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2042</v>
          </cell>
          <cell r="C34">
            <v>188.30531744972035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2043</v>
          </cell>
          <cell r="C35">
            <v>192.81920811256913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50">
          <cell r="G50">
            <v>31.758917085340887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E7" sqref="E7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33203125" style="53" customWidth="1"/>
    <col min="12" max="13" width="9.33203125" style="53" customWidth="1"/>
    <col min="14" max="14" width="10.33203125" style="53" bestFit="1" customWidth="1"/>
    <col min="15" max="16384" width="9.33203125" style="53"/>
  </cols>
  <sheetData>
    <row r="1" spans="2:12" ht="15.75">
      <c r="B1" s="394" t="s">
        <v>247</v>
      </c>
      <c r="C1" s="395"/>
      <c r="D1" s="395"/>
      <c r="E1" s="395"/>
      <c r="F1" s="395"/>
      <c r="G1" s="395"/>
      <c r="H1" s="395"/>
      <c r="I1" s="396"/>
      <c r="J1" s="396"/>
      <c r="K1" s="396"/>
    </row>
    <row r="2" spans="2:12" ht="5.25" customHeight="1">
      <c r="B2" s="394"/>
      <c r="C2" s="395"/>
      <c r="D2" s="395"/>
      <c r="E2" s="395"/>
      <c r="F2" s="395"/>
      <c r="G2" s="395"/>
      <c r="H2" s="395"/>
      <c r="I2" s="396"/>
      <c r="J2" s="396"/>
      <c r="K2" s="396"/>
    </row>
    <row r="3" spans="2:12" ht="15.75">
      <c r="B3" s="397" t="s">
        <v>235</v>
      </c>
      <c r="C3" s="397"/>
      <c r="D3" s="397"/>
      <c r="E3" s="397"/>
      <c r="F3" s="397"/>
      <c r="G3" s="397"/>
      <c r="H3" s="397"/>
      <c r="I3" s="394"/>
      <c r="J3" s="394"/>
      <c r="K3" s="394"/>
    </row>
    <row r="4" spans="2:12" ht="15.75">
      <c r="B4" s="398" t="s">
        <v>248</v>
      </c>
      <c r="C4" s="397"/>
      <c r="D4" s="397"/>
      <c r="E4" s="397"/>
      <c r="F4" s="397"/>
      <c r="G4" s="397"/>
      <c r="H4" s="397"/>
      <c r="I4" s="394"/>
      <c r="J4" s="394"/>
      <c r="K4" s="394"/>
    </row>
    <row r="5" spans="2:12" ht="25.5" customHeight="1">
      <c r="C5" s="399" t="s">
        <v>236</v>
      </c>
      <c r="D5" s="399" t="s">
        <v>237</v>
      </c>
      <c r="E5" s="400" t="s">
        <v>238</v>
      </c>
      <c r="F5" s="399" t="s">
        <v>236</v>
      </c>
      <c r="G5" s="399" t="s">
        <v>237</v>
      </c>
      <c r="H5" s="400" t="s">
        <v>238</v>
      </c>
      <c r="I5" s="399" t="str">
        <f>C5</f>
        <v>Thermal</v>
      </c>
      <c r="J5" s="399" t="str">
        <f>D5</f>
        <v>Solar Tracking</v>
      </c>
      <c r="K5" s="400" t="str">
        <f>E5</f>
        <v>Wind (Defers UT W)</v>
      </c>
    </row>
    <row r="6" spans="2:12">
      <c r="B6" s="399" t="s">
        <v>0</v>
      </c>
      <c r="C6" s="401" t="s">
        <v>249</v>
      </c>
      <c r="D6" s="401" t="s">
        <v>249</v>
      </c>
      <c r="E6" s="401" t="s">
        <v>249</v>
      </c>
      <c r="F6" s="401" t="s">
        <v>239</v>
      </c>
      <c r="G6" s="401" t="s">
        <v>239</v>
      </c>
      <c r="H6" s="401" t="s">
        <v>239</v>
      </c>
      <c r="I6" s="402"/>
      <c r="J6" s="402"/>
      <c r="K6" s="402"/>
      <c r="L6" s="403"/>
    </row>
    <row r="7" spans="2:12">
      <c r="B7" s="399"/>
      <c r="C7" s="404" t="s">
        <v>240</v>
      </c>
      <c r="D7" s="404" t="s">
        <v>241</v>
      </c>
      <c r="E7" s="427" t="s">
        <v>268</v>
      </c>
      <c r="F7" s="404" t="s">
        <v>240</v>
      </c>
      <c r="G7" s="404" t="s">
        <v>241</v>
      </c>
      <c r="H7" s="427" t="s">
        <v>268</v>
      </c>
      <c r="I7" s="399" t="s">
        <v>242</v>
      </c>
      <c r="J7" s="399" t="s">
        <v>242</v>
      </c>
      <c r="K7" s="399" t="s">
        <v>242</v>
      </c>
    </row>
    <row r="8" spans="2:12" hidden="1">
      <c r="B8" s="405"/>
      <c r="C8" s="406"/>
      <c r="D8" s="406"/>
      <c r="E8" s="406"/>
      <c r="F8" s="406"/>
      <c r="G8" s="406"/>
      <c r="H8" s="406"/>
      <c r="I8" s="406"/>
      <c r="J8" s="406"/>
      <c r="K8" s="407"/>
      <c r="L8" s="408"/>
    </row>
    <row r="9" spans="2:12">
      <c r="B9" s="405">
        <f>'[13]Table 1'!B13</f>
        <v>2021</v>
      </c>
      <c r="C9" s="406">
        <f>VLOOKUP($B9,'[14]Table 1'!$B$13:$G$40,6,FALSE)</f>
        <v>23.841562464532633</v>
      </c>
      <c r="D9" s="406">
        <f ca="1">VLOOKUP($B9,'Table 1'!$B$13:$G$39,6,FALSE)</f>
        <v>19.020281372549011</v>
      </c>
      <c r="E9" s="406">
        <f>VLOOKUP($B9,'[15]Table 1'!$B$13:$G$39,6,FALSE)</f>
        <v>21.068108598835664</v>
      </c>
      <c r="F9" s="406">
        <f>VLOOKUP($B9,'[13]Table 1'!$B$13:$G$38,6,FALSE)</f>
        <v>20.32567169349986</v>
      </c>
      <c r="G9" s="406">
        <f>VLOOKUP($B9,'[16]Table 1'!$B$13:$H$39,6,FALSE)</f>
        <v>16.87226312752971</v>
      </c>
      <c r="H9" s="406">
        <f>VLOOKUP($B9,'[17]Table 1'!$B$13:$G$39,6,FALSE)</f>
        <v>18.597845248115053</v>
      </c>
      <c r="I9" s="406">
        <f t="shared" ref="I9:K23" si="0">C9-F9</f>
        <v>3.5158907710327725</v>
      </c>
      <c r="J9" s="406">
        <f t="shared" ca="1" si="0"/>
        <v>2.1480182450193013</v>
      </c>
      <c r="K9" s="407">
        <f t="shared" si="0"/>
        <v>2.4702633507206109</v>
      </c>
      <c r="L9" s="408"/>
    </row>
    <row r="10" spans="2:12">
      <c r="B10" s="409">
        <f>B9+1</f>
        <v>2022</v>
      </c>
      <c r="C10" s="410">
        <f>VLOOKUP($B10,'[14]Table 1'!$B$13:$G$40,6,FALSE)</f>
        <v>22.834717226163065</v>
      </c>
      <c r="D10" s="410">
        <f ca="1">VLOOKUP($B10,'Table 1'!$B$13:$G$39,6,FALSE)</f>
        <v>18.23854809278378</v>
      </c>
      <c r="E10" s="410">
        <f>VLOOKUP($B10,'[15]Table 1'!$B$13:$G$39,6,FALSE)</f>
        <v>20.885488182948571</v>
      </c>
      <c r="F10" s="410">
        <f>VLOOKUP($B10,'[13]Table 1'!$B$13:$G$38,6,FALSE)</f>
        <v>21.18341598743697</v>
      </c>
      <c r="G10" s="410">
        <f>VLOOKUP($B10,'[16]Table 1'!$B$13:$H$39,6,FALSE)</f>
        <v>17.447416560191382</v>
      </c>
      <c r="H10" s="410">
        <f>VLOOKUP($B10,'[17]Table 1'!$B$13:$G$39,6,FALSE)</f>
        <v>19.632077482883851</v>
      </c>
      <c r="I10" s="410">
        <f t="shared" si="0"/>
        <v>1.651301238726095</v>
      </c>
      <c r="J10" s="410">
        <f t="shared" ca="1" si="0"/>
        <v>0.79113153259239866</v>
      </c>
      <c r="K10" s="411">
        <f t="shared" si="0"/>
        <v>1.2534107000647197</v>
      </c>
      <c r="L10" s="408"/>
    </row>
    <row r="11" spans="2:12">
      <c r="B11" s="409">
        <f t="shared" ref="B11:B23" si="1">B10+1</f>
        <v>2023</v>
      </c>
      <c r="C11" s="410">
        <f>VLOOKUP($B11,'[14]Table 1'!$B$13:$G$40,6,FALSE)</f>
        <v>21.796442664348319</v>
      </c>
      <c r="D11" s="410">
        <f ca="1">VLOOKUP($B11,'Table 1'!$B$13:$G$39,6,FALSE)</f>
        <v>18.522079840584112</v>
      </c>
      <c r="E11" s="410">
        <f>VLOOKUP($B11,'[15]Table 1'!$B$13:$G$39,6,FALSE)</f>
        <v>27.405581706249269</v>
      </c>
      <c r="F11" s="410">
        <f>VLOOKUP($B11,'[13]Table 1'!$B$13:$G$38,6,FALSE)</f>
        <v>20.145294409367029</v>
      </c>
      <c r="G11" s="410">
        <f>VLOOKUP($B11,'[16]Table 1'!$B$13:$H$39,6,FALSE)</f>
        <v>16.676787043388639</v>
      </c>
      <c r="H11" s="410">
        <f>VLOOKUP($B11,'[17]Table 1'!$B$13:$G$39,6,FALSE)</f>
        <v>26.048785659495863</v>
      </c>
      <c r="I11" s="410">
        <f t="shared" si="0"/>
        <v>1.6511482549812904</v>
      </c>
      <c r="J11" s="410">
        <f t="shared" ca="1" si="0"/>
        <v>1.8452927971954729</v>
      </c>
      <c r="K11" s="411">
        <f t="shared" si="0"/>
        <v>1.3567960467534057</v>
      </c>
      <c r="L11" s="408"/>
    </row>
    <row r="12" spans="2:12">
      <c r="B12" s="409">
        <f t="shared" si="1"/>
        <v>2024</v>
      </c>
      <c r="C12" s="410">
        <f>VLOOKUP($B12,'[14]Table 1'!$B$13:$G$40,6,FALSE)</f>
        <v>16.689350728803131</v>
      </c>
      <c r="D12" s="410">
        <f ca="1">VLOOKUP($B12,'Table 1'!$B$13:$G$39,6,FALSE)</f>
        <v>12.761178871433291</v>
      </c>
      <c r="E12" s="410">
        <f>VLOOKUP($B12,'[15]Table 1'!$B$13:$G$39,6,FALSE)</f>
        <v>27.396610806883981</v>
      </c>
      <c r="F12" s="410">
        <f>VLOOKUP($B12,'[13]Table 1'!$B$13:$G$38,6,FALSE)</f>
        <v>17.273119242281751</v>
      </c>
      <c r="G12" s="410">
        <f>VLOOKUP($B12,'[16]Table 1'!$B$13:$H$39,6,FALSE)</f>
        <v>15.770914205393098</v>
      </c>
      <c r="H12" s="410">
        <f>VLOOKUP($B12,'[17]Table 1'!$B$13:$G$39,6,FALSE)</f>
        <v>27.002620181003124</v>
      </c>
      <c r="I12" s="410">
        <f t="shared" si="0"/>
        <v>-0.58376851347862058</v>
      </c>
      <c r="J12" s="410">
        <f t="shared" ca="1" si="0"/>
        <v>-3.0097353339598065</v>
      </c>
      <c r="K12" s="411">
        <f t="shared" si="0"/>
        <v>0.39399062588085698</v>
      </c>
      <c r="L12" s="408"/>
    </row>
    <row r="13" spans="2:12">
      <c r="B13" s="409">
        <f t="shared" si="1"/>
        <v>2025</v>
      </c>
      <c r="C13" s="410">
        <f>VLOOKUP($B13,'[14]Table 1'!$B$13:$G$40,6,FALSE)</f>
        <v>18.62351687415849</v>
      </c>
      <c r="D13" s="410">
        <f ca="1">VLOOKUP($B13,'Table 1'!$B$13:$G$39,6,FALSE)</f>
        <v>13.275455504287828</v>
      </c>
      <c r="E13" s="410">
        <f>VLOOKUP($B13,'[15]Table 1'!$B$13:$G$39,6,FALSE)</f>
        <v>27.790477159904022</v>
      </c>
      <c r="F13" s="410">
        <f>VLOOKUP($B13,'[13]Table 1'!$B$13:$G$38,6,FALSE)</f>
        <v>20.44254098918459</v>
      </c>
      <c r="G13" s="410">
        <f>VLOOKUP($B13,'[16]Table 1'!$B$13:$H$39,6,FALSE)</f>
        <v>17.426597323375361</v>
      </c>
      <c r="H13" s="410">
        <f>VLOOKUP($B13,'[17]Table 1'!$B$13:$G$39,6,FALSE)</f>
        <v>27.386261689341055</v>
      </c>
      <c r="I13" s="410">
        <f t="shared" si="0"/>
        <v>-1.8190241150260995</v>
      </c>
      <c r="J13" s="410">
        <f t="shared" ca="1" si="0"/>
        <v>-4.1511418190875329</v>
      </c>
      <c r="K13" s="411">
        <f t="shared" si="0"/>
        <v>0.40421547056296703</v>
      </c>
      <c r="L13" s="408"/>
    </row>
    <row r="14" spans="2:12">
      <c r="B14" s="409">
        <f t="shared" si="1"/>
        <v>2026</v>
      </c>
      <c r="C14" s="410">
        <f>VLOOKUP($B14,'[14]Table 1'!$B$13:$G$40,6,FALSE)</f>
        <v>33.082641912595221</v>
      </c>
      <c r="D14" s="410">
        <f ca="1">VLOOKUP($B14,'Table 1'!$B$13:$G$39,6,FALSE)</f>
        <v>14.076890020601358</v>
      </c>
      <c r="E14" s="410">
        <f>VLOOKUP($B14,'[15]Table 1'!$B$13:$G$39,6,FALSE)</f>
        <v>28.827285468746606</v>
      </c>
      <c r="F14" s="410">
        <f>VLOOKUP($B14,'[13]Table 1'!$B$13:$G$38,6,FALSE)</f>
        <v>34.188959470153158</v>
      </c>
      <c r="G14" s="410">
        <f>VLOOKUP($B14,'[16]Table 1'!$B$13:$H$39,6,FALSE)</f>
        <v>17.645317306504033</v>
      </c>
      <c r="H14" s="410">
        <f>VLOOKUP($B14,'[17]Table 1'!$B$13:$G$39,6,FALSE)</f>
        <v>28.620395189768146</v>
      </c>
      <c r="I14" s="410">
        <f t="shared" si="0"/>
        <v>-1.1063175575579365</v>
      </c>
      <c r="J14" s="410">
        <f t="shared" ca="1" si="0"/>
        <v>-3.5684272859026755</v>
      </c>
      <c r="K14" s="411">
        <f t="shared" si="0"/>
        <v>0.20689027897845946</v>
      </c>
      <c r="L14" s="408"/>
    </row>
    <row r="15" spans="2:12">
      <c r="B15" s="409">
        <f t="shared" si="1"/>
        <v>2027</v>
      </c>
      <c r="C15" s="410">
        <f>VLOOKUP($B15,'[14]Table 1'!$B$13:$G$40,6,FALSE)</f>
        <v>35.180460424760582</v>
      </c>
      <c r="D15" s="410">
        <f ca="1">VLOOKUP($B15,'Table 1'!$B$13:$G$39,6,FALSE)</f>
        <v>15.087109423841234</v>
      </c>
      <c r="E15" s="410">
        <f>VLOOKUP($B15,'[15]Table 1'!$B$13:$G$39,6,FALSE)</f>
        <v>29.930911754917339</v>
      </c>
      <c r="F15" s="410">
        <f>VLOOKUP($B15,'[13]Table 1'!$B$13:$G$38,6,FALSE)</f>
        <v>35.832633817873926</v>
      </c>
      <c r="G15" s="410">
        <f>VLOOKUP($B15,'[16]Table 1'!$B$13:$H$39,6,FALSE)</f>
        <v>18.869197203604671</v>
      </c>
      <c r="H15" s="410">
        <f>VLOOKUP($B15,'[17]Table 1'!$B$13:$G$39,6,FALSE)</f>
        <v>29.381430033193233</v>
      </c>
      <c r="I15" s="410">
        <f t="shared" si="0"/>
        <v>-0.65217339311334399</v>
      </c>
      <c r="J15" s="410">
        <f t="shared" ca="1" si="0"/>
        <v>-3.7820877797634367</v>
      </c>
      <c r="K15" s="411">
        <f t="shared" si="0"/>
        <v>0.54948172172410636</v>
      </c>
      <c r="L15" s="408"/>
    </row>
    <row r="16" spans="2:12">
      <c r="B16" s="409">
        <f t="shared" si="1"/>
        <v>2028</v>
      </c>
      <c r="C16" s="410">
        <f>VLOOKUP($B16,'[14]Table 1'!$B$13:$G$40,6,FALSE)</f>
        <v>38.263429352769919</v>
      </c>
      <c r="D16" s="410">
        <f ca="1">VLOOKUP($B16,'Table 1'!$B$13:$G$39,6,FALSE)</f>
        <v>19.983308433869169</v>
      </c>
      <c r="E16" s="410">
        <f>VLOOKUP($B16,'[15]Table 1'!$B$13:$G$39,6,FALSE)</f>
        <v>32.425818852489144</v>
      </c>
      <c r="F16" s="410">
        <f>VLOOKUP($B16,'[13]Table 1'!$B$13:$G$38,6,FALSE)</f>
        <v>39.222586209081534</v>
      </c>
      <c r="G16" s="410">
        <f>VLOOKUP($B16,'[16]Table 1'!$B$13:$H$39,6,FALSE)</f>
        <v>21.928227155563935</v>
      </c>
      <c r="H16" s="410">
        <f>VLOOKUP($B16,'[17]Table 1'!$B$13:$G$39,6,FALSE)</f>
        <v>30.773445242061193</v>
      </c>
      <c r="I16" s="410">
        <f t="shared" si="0"/>
        <v>-0.95915685631161551</v>
      </c>
      <c r="J16" s="410">
        <f t="shared" ca="1" si="0"/>
        <v>-1.9449187216947657</v>
      </c>
      <c r="K16" s="411">
        <f t="shared" si="0"/>
        <v>1.6523736104279507</v>
      </c>
      <c r="L16" s="408"/>
    </row>
    <row r="17" spans="1:12">
      <c r="B17" s="409">
        <f t="shared" si="1"/>
        <v>2029</v>
      </c>
      <c r="C17" s="410">
        <f>VLOOKUP($B17,'[14]Table 1'!$B$13:$G$40,6,FALSE)</f>
        <v>40.679702837922335</v>
      </c>
      <c r="D17" s="410">
        <f ca="1">VLOOKUP($B17,'Table 1'!$B$13:$G$39,6,FALSE)</f>
        <v>21.36698014813626</v>
      </c>
      <c r="E17" s="410">
        <f>VLOOKUP($B17,'[15]Table 1'!$B$13:$G$39,6,FALSE)</f>
        <v>33.392480219226677</v>
      </c>
      <c r="F17" s="410">
        <f>VLOOKUP($B17,'[13]Table 1'!$B$13:$G$38,6,FALSE)</f>
        <v>41.625181212688965</v>
      </c>
      <c r="G17" s="410">
        <f>VLOOKUP($B17,'[16]Table 1'!$B$13:$H$39,6,FALSE)</f>
        <v>23.682705025756423</v>
      </c>
      <c r="H17" s="410">
        <f>VLOOKUP($B17,'[17]Table 1'!$B$13:$G$39,6,FALSE)</f>
        <v>31.501885026964892</v>
      </c>
      <c r="I17" s="410">
        <f t="shared" si="0"/>
        <v>-0.94547837476662977</v>
      </c>
      <c r="J17" s="410">
        <f t="shared" ca="1" si="0"/>
        <v>-2.3157248776201627</v>
      </c>
      <c r="K17" s="411">
        <f t="shared" si="0"/>
        <v>1.8905951922617845</v>
      </c>
      <c r="L17" s="408"/>
    </row>
    <row r="18" spans="1:12">
      <c r="B18" s="409">
        <f t="shared" si="1"/>
        <v>2030</v>
      </c>
      <c r="C18" s="410">
        <f>VLOOKUP($B18,'[14]Table 1'!$B$13:$G$40,6,FALSE)</f>
        <v>40.437769248005907</v>
      </c>
      <c r="D18" s="410">
        <f ca="1">VLOOKUP($B18,'Table 1'!$B$13:$G$39,6,FALSE)</f>
        <v>19.088955728612074</v>
      </c>
      <c r="E18" s="410">
        <f>VLOOKUP($B18,'[15]Table 1'!$B$13:$G$39,6,FALSE)</f>
        <v>33.74364087758012</v>
      </c>
      <c r="F18" s="410">
        <f>VLOOKUP($B18,'[13]Table 1'!$B$13:$G$38,6,FALSE)</f>
        <v>40.633015341039993</v>
      </c>
      <c r="G18" s="410">
        <f>VLOOKUP($B18,'[16]Table 1'!$B$13:$H$39,6,FALSE)</f>
        <v>21.607552493418538</v>
      </c>
      <c r="H18" s="410">
        <f>VLOOKUP($B18,'[17]Table 1'!$B$13:$G$39,6,FALSE)</f>
        <v>32.305650225487263</v>
      </c>
      <c r="I18" s="410">
        <f t="shared" si="0"/>
        <v>-0.19524609303408624</v>
      </c>
      <c r="J18" s="410">
        <f t="shared" ca="1" si="0"/>
        <v>-2.518596764806464</v>
      </c>
      <c r="K18" s="411">
        <f t="shared" si="0"/>
        <v>1.4379906520928571</v>
      </c>
      <c r="L18" s="408"/>
    </row>
    <row r="19" spans="1:12">
      <c r="B19" s="409">
        <f t="shared" si="1"/>
        <v>2031</v>
      </c>
      <c r="C19" s="410">
        <f>VLOOKUP($B19,'[14]Table 1'!$B$13:$G$40,6,FALSE)</f>
        <v>42.516601501679347</v>
      </c>
      <c r="D19" s="410">
        <f ca="1">VLOOKUP($B19,'Table 1'!$B$13:$G$39,6,FALSE)</f>
        <v>20.877683677854282</v>
      </c>
      <c r="E19" s="410">
        <f>VLOOKUP($B19,'[15]Table 1'!$B$13:$G$39,6,FALSE)</f>
        <v>34.69536882988379</v>
      </c>
      <c r="F19" s="410">
        <f>VLOOKUP($B19,'[13]Table 1'!$B$13:$G$38,6,FALSE)</f>
        <v>42.475622941691746</v>
      </c>
      <c r="G19" s="410">
        <f>VLOOKUP($B19,'[16]Table 1'!$B$13:$H$39,6,FALSE)</f>
        <v>22.832846983599275</v>
      </c>
      <c r="H19" s="410">
        <f>VLOOKUP($B19,'[17]Table 1'!$B$13:$G$39,6,FALSE)</f>
        <v>33.504689414653562</v>
      </c>
      <c r="I19" s="410">
        <f t="shared" si="0"/>
        <v>4.0978559987600249E-2</v>
      </c>
      <c r="J19" s="410">
        <f t="shared" ca="1" si="0"/>
        <v>-1.9551633057449926</v>
      </c>
      <c r="K19" s="411">
        <f t="shared" si="0"/>
        <v>1.1906794152302282</v>
      </c>
      <c r="L19" s="408"/>
    </row>
    <row r="20" spans="1:12">
      <c r="B20" s="409">
        <f t="shared" si="1"/>
        <v>2032</v>
      </c>
      <c r="C20" s="410">
        <f>VLOOKUP($B20,'[14]Table 1'!$B$13:$G$40,6,FALSE)</f>
        <v>43.854886844526376</v>
      </c>
      <c r="D20" s="410">
        <f ca="1">VLOOKUP($B20,'Table 1'!$B$13:$G$39,6,FALSE)</f>
        <v>21.586774228761161</v>
      </c>
      <c r="E20" s="410">
        <f>VLOOKUP($B20,'[15]Table 1'!$B$13:$G$39,6,FALSE)</f>
        <v>34.876413387594333</v>
      </c>
      <c r="F20" s="410">
        <f>VLOOKUP($B20,'[13]Table 1'!$B$13:$G$38,6,FALSE)</f>
        <v>44.703086693891883</v>
      </c>
      <c r="G20" s="410">
        <f>VLOOKUP($B20,'[16]Table 1'!$B$13:$H$39,6,FALSE)</f>
        <v>23.976556799533775</v>
      </c>
      <c r="H20" s="410">
        <f>VLOOKUP($B20,'[17]Table 1'!$B$13:$G$39,6,FALSE)</f>
        <v>34.508961420526958</v>
      </c>
      <c r="I20" s="410">
        <f t="shared" si="0"/>
        <v>-0.84819984936550696</v>
      </c>
      <c r="J20" s="410">
        <f t="shared" ca="1" si="0"/>
        <v>-2.3897825707726135</v>
      </c>
      <c r="K20" s="411">
        <f t="shared" si="0"/>
        <v>0.3674519670673746</v>
      </c>
      <c r="L20" s="408"/>
    </row>
    <row r="21" spans="1:12">
      <c r="B21" s="409">
        <f t="shared" si="1"/>
        <v>2033</v>
      </c>
      <c r="C21" s="410">
        <f>VLOOKUP($B21,'[14]Table 1'!$B$13:$G$40,6,FALSE)</f>
        <v>45.583071993734841</v>
      </c>
      <c r="D21" s="410">
        <f ca="1">VLOOKUP($B21,'Table 1'!$B$13:$G$39,6,FALSE)</f>
        <v>22.861607768556723</v>
      </c>
      <c r="E21" s="410">
        <f>VLOOKUP($B21,'[15]Table 1'!$B$13:$G$39,6,FALSE)</f>
        <v>62.88892023661402</v>
      </c>
      <c r="F21" s="410">
        <f>VLOOKUP($B21,'[13]Table 1'!$B$13:$G$38,6,FALSE)</f>
        <v>45.657814068937519</v>
      </c>
      <c r="G21" s="410">
        <f>VLOOKUP($B21,'[16]Table 1'!$B$13:$H$39,6,FALSE)</f>
        <v>24.14505656784096</v>
      </c>
      <c r="H21" s="410">
        <f>VLOOKUP($B21,'[17]Table 1'!$B$13:$G$39,6,FALSE)</f>
        <v>62.094665233928161</v>
      </c>
      <c r="I21" s="410">
        <f t="shared" si="0"/>
        <v>-7.4742075202678393E-2</v>
      </c>
      <c r="J21" s="410">
        <f t="shared" ca="1" si="0"/>
        <v>-1.2834487992842369</v>
      </c>
      <c r="K21" s="411">
        <f t="shared" si="0"/>
        <v>0.79425500268585836</v>
      </c>
      <c r="L21" s="408"/>
    </row>
    <row r="22" spans="1:12">
      <c r="B22" s="409">
        <f t="shared" si="1"/>
        <v>2034</v>
      </c>
      <c r="C22" s="410">
        <f>VLOOKUP($B22,'[14]Table 1'!$B$13:$G$40,6,FALSE)</f>
        <v>46.682222546724653</v>
      </c>
      <c r="D22" s="410">
        <f ca="1">VLOOKUP($B22,'Table 1'!$B$13:$G$39,6,FALSE)</f>
        <v>23.93862677869123</v>
      </c>
      <c r="E22" s="410">
        <f>VLOOKUP($B22,'[15]Table 1'!$B$13:$G$39,6,FALSE)</f>
        <v>64.114677667683168</v>
      </c>
      <c r="F22" s="410">
        <f>VLOOKUP($B22,'[13]Table 1'!$B$13:$G$38,6,FALSE)</f>
        <v>47.363921191747281</v>
      </c>
      <c r="G22" s="410">
        <f>VLOOKUP($B22,'[16]Table 1'!$B$13:$H$39,6,FALSE)</f>
        <v>25.685694724407579</v>
      </c>
      <c r="H22" s="410">
        <f>VLOOKUP($B22,'[17]Table 1'!$B$13:$G$39,6,FALSE)</f>
        <v>63.636869015931765</v>
      </c>
      <c r="I22" s="410">
        <f t="shared" si="0"/>
        <v>-0.68169864502262811</v>
      </c>
      <c r="J22" s="410">
        <f t="shared" ca="1" si="0"/>
        <v>-1.7470679457163492</v>
      </c>
      <c r="K22" s="411">
        <f t="shared" si="0"/>
        <v>0.47780865175140264</v>
      </c>
      <c r="L22" s="408"/>
    </row>
    <row r="23" spans="1:12">
      <c r="B23" s="412">
        <f t="shared" si="1"/>
        <v>2035</v>
      </c>
      <c r="C23" s="413">
        <f>VLOOKUP($B23,'[14]Table 1'!$B$13:$G$40,6,FALSE)</f>
        <v>47.907738522283466</v>
      </c>
      <c r="D23" s="413">
        <f ca="1">VLOOKUP($B23,'Table 1'!$B$13:$G$39,6,FALSE)</f>
        <v>24.872529815379156</v>
      </c>
      <c r="E23" s="413">
        <f>VLOOKUP($B23,'[15]Table 1'!$B$13:$G$39,6,FALSE)</f>
        <v>66.182859918938959</v>
      </c>
      <c r="F23" s="413">
        <f>VLOOKUP($B23,'[13]Table 1'!$B$13:$G$38,6,FALSE)</f>
        <v>49.26327046862</v>
      </c>
      <c r="G23" s="413">
        <f>VLOOKUP($B23,'[16]Table 1'!$B$13:$H$39,6,FALSE)</f>
        <v>26.575456267388091</v>
      </c>
      <c r="H23" s="413">
        <f>VLOOKUP($B23,'[17]Table 1'!$B$13:$G$39,6,FALSE)</f>
        <v>65.797558302641804</v>
      </c>
      <c r="I23" s="413">
        <f t="shared" si="0"/>
        <v>-1.3555319463365336</v>
      </c>
      <c r="J23" s="413">
        <f t="shared" ca="1" si="0"/>
        <v>-1.7029264520089349</v>
      </c>
      <c r="K23" s="414">
        <f t="shared" si="0"/>
        <v>0.38530161629715565</v>
      </c>
      <c r="L23" s="408"/>
    </row>
    <row r="25" spans="1:12">
      <c r="B25" s="415" t="s">
        <v>243</v>
      </c>
      <c r="L25" s="416"/>
    </row>
    <row r="26" spans="1:12">
      <c r="A26" t="s">
        <v>244</v>
      </c>
      <c r="B26" s="417" t="s">
        <v>31</v>
      </c>
      <c r="C26" s="410">
        <f>ROUND('[14]Table 1'!$G$50,2)</f>
        <v>31.72</v>
      </c>
      <c r="D26" s="410">
        <f ca="1">ROUND('Table 1'!$G$50,2)</f>
        <v>18.28</v>
      </c>
      <c r="E26" s="410">
        <f>ROUND('[15]Table 1'!$G$50,2)</f>
        <v>32.82</v>
      </c>
      <c r="F26" s="410">
        <f>ROUND('[13]Table 1'!$G$50,2)</f>
        <v>31.63</v>
      </c>
      <c r="G26" s="410">
        <f>ROUND('[16]Table 1'!$G$50,2)</f>
        <v>19.72</v>
      </c>
      <c r="H26" s="410">
        <f>ROUND('[17]Table 1'!$G$50,2)</f>
        <v>31.76</v>
      </c>
      <c r="I26" s="410">
        <f>C26-F26</f>
        <v>8.9999999999999858E-2</v>
      </c>
      <c r="J26" s="410">
        <f ca="1">D26-G26</f>
        <v>-1.4399999999999977</v>
      </c>
      <c r="K26" s="410">
        <f>E26-H26</f>
        <v>1.0599999999999987</v>
      </c>
      <c r="L26" s="418"/>
    </row>
    <row r="27" spans="1:12" ht="17.25" customHeight="1">
      <c r="B27" s="419"/>
      <c r="C27" s="410"/>
      <c r="D27" s="410"/>
      <c r="E27" s="410"/>
      <c r="F27" s="410"/>
      <c r="G27" s="410"/>
      <c r="H27" s="410"/>
      <c r="I27" s="420">
        <f>I26/F26</f>
        <v>2.8453999367688857E-3</v>
      </c>
      <c r="J27" s="420">
        <f ca="1">J26/G26</f>
        <v>-7.302231237322504E-2</v>
      </c>
      <c r="K27" s="420">
        <f>K26/H26</f>
        <v>3.3375314861460913E-2</v>
      </c>
    </row>
    <row r="28" spans="1:12" ht="10.5" customHeight="1">
      <c r="B28" s="417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12" ht="5.25" customHeight="1">
      <c r="F29" s="421"/>
      <c r="G29" s="421"/>
      <c r="H29" s="421"/>
    </row>
    <row r="30" spans="1:12">
      <c r="B30" s="53" t="s">
        <v>245</v>
      </c>
      <c r="C30" s="422"/>
      <c r="D30" s="422"/>
      <c r="E30" s="422"/>
      <c r="F30" s="423"/>
      <c r="G30" s="423"/>
      <c r="H30" s="423"/>
      <c r="I30" s="423"/>
      <c r="J30" s="423"/>
      <c r="K30" s="423"/>
    </row>
    <row r="31" spans="1:12">
      <c r="B31" s="424" t="s">
        <v>246</v>
      </c>
      <c r="C31" s="422"/>
      <c r="D31" s="422"/>
      <c r="E31" s="422"/>
      <c r="F31" s="423"/>
      <c r="G31" s="423"/>
      <c r="H31" s="423"/>
      <c r="I31" s="423"/>
      <c r="J31" s="423"/>
      <c r="K31" s="423"/>
    </row>
    <row r="32" spans="1:12">
      <c r="B32" s="424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2021 - 2035, levelized monthly</v>
      </c>
    </row>
    <row r="34" spans="2:11">
      <c r="B34" s="425"/>
    </row>
    <row r="35" spans="2:11">
      <c r="B35" s="425"/>
    </row>
    <row r="36" spans="2:11">
      <c r="B36" s="425"/>
    </row>
    <row r="37" spans="2:11" hidden="1"/>
    <row r="38" spans="2:11">
      <c r="C38" s="410"/>
      <c r="D38" s="410"/>
      <c r="E38" s="410"/>
      <c r="F38" s="410"/>
      <c r="G38" s="410"/>
      <c r="H38" s="410"/>
    </row>
    <row r="40" spans="2:11">
      <c r="C40" s="421"/>
      <c r="D40" s="421"/>
      <c r="E40" s="421"/>
      <c r="F40" s="421"/>
      <c r="G40" s="421"/>
      <c r="H40" s="421"/>
      <c r="I40" s="421"/>
      <c r="J40" s="421"/>
      <c r="K40" s="421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39">
        <v>1230.021663778163</v>
      </c>
      <c r="D18" s="128">
        <f>C18*$C$62</f>
        <v>62.546601603119584</v>
      </c>
      <c r="E18" s="128">
        <f t="shared" si="1"/>
        <v>27.48</v>
      </c>
      <c r="F18" s="128">
        <f>C60*(1+INDEX($D$66:$D$74,MATCH(B18,$C$66:$C$74,0),1))</f>
        <v>1.5017903953587906</v>
      </c>
      <c r="G18" s="130">
        <f>(D18+E18+F18)/(8.76*$C$63)</f>
        <v>32.14906638513466</v>
      </c>
      <c r="H18" s="128">
        <f t="shared" si="2"/>
        <v>0</v>
      </c>
      <c r="I18" s="130">
        <f>(G18+H18)</f>
        <v>32.14906638513466</v>
      </c>
      <c r="J18" s="130">
        <f t="shared" ref="J18:J32" si="4">ROUND(I18*$C$63*8.76,2)</f>
        <v>91.53</v>
      </c>
      <c r="K18" s="128">
        <f t="shared" si="3"/>
        <v>91.528391998478384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8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64.05</v>
      </c>
      <c r="E19" s="128">
        <f t="shared" si="1"/>
        <v>28.14</v>
      </c>
      <c r="F19" s="128">
        <f t="shared" si="5"/>
        <v>1.54</v>
      </c>
      <c r="G19" s="130">
        <f t="shared" ref="G19:G37" si="6">(D19+E19+F19)/(8.76*$C$63)</f>
        <v>32.922374429223744</v>
      </c>
      <c r="H19" s="128">
        <f t="shared" si="2"/>
        <v>0</v>
      </c>
      <c r="I19" s="130">
        <f t="shared" ref="I19:I37" si="7">(G19+H19)</f>
        <v>32.922374429223744</v>
      </c>
      <c r="J19" s="130">
        <f t="shared" si="4"/>
        <v>93.73</v>
      </c>
      <c r="K19" s="128">
        <f t="shared" si="3"/>
        <v>93.73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65.650000000000006</v>
      </c>
      <c r="E20" s="128">
        <f t="shared" si="1"/>
        <v>28.84</v>
      </c>
      <c r="F20" s="128">
        <f t="shared" si="5"/>
        <v>1.58</v>
      </c>
      <c r="G20" s="130">
        <f t="shared" si="6"/>
        <v>33.744292237442927</v>
      </c>
      <c r="H20" s="128">
        <f t="shared" si="2"/>
        <v>0</v>
      </c>
      <c r="I20" s="130">
        <f t="shared" si="7"/>
        <v>33.744292237442927</v>
      </c>
      <c r="J20" s="130">
        <f t="shared" si="4"/>
        <v>96.07</v>
      </c>
      <c r="K20" s="128">
        <f t="shared" si="3"/>
        <v>96.070000000000007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67.290000000000006</v>
      </c>
      <c r="E21" s="128">
        <f t="shared" si="1"/>
        <v>29.56</v>
      </c>
      <c r="F21" s="128">
        <f t="shared" si="5"/>
        <v>1.62</v>
      </c>
      <c r="G21" s="130">
        <f t="shared" si="6"/>
        <v>34.587284861257466</v>
      </c>
      <c r="H21" s="128">
        <f t="shared" si="2"/>
        <v>0</v>
      </c>
      <c r="I21" s="130">
        <f t="shared" si="7"/>
        <v>34.587284861257466</v>
      </c>
      <c r="J21" s="130">
        <f t="shared" si="4"/>
        <v>98.47</v>
      </c>
      <c r="K21" s="128">
        <f t="shared" si="3"/>
        <v>98.470000000000013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68.900000000000006</v>
      </c>
      <c r="E22" s="128">
        <f t="shared" si="1"/>
        <v>30.27</v>
      </c>
      <c r="F22" s="128">
        <f t="shared" si="5"/>
        <v>1.66</v>
      </c>
      <c r="G22" s="130">
        <f t="shared" si="6"/>
        <v>35.416227608008427</v>
      </c>
      <c r="H22" s="128">
        <f t="shared" si="2"/>
        <v>0</v>
      </c>
      <c r="I22" s="130">
        <f t="shared" si="7"/>
        <v>35.416227608008427</v>
      </c>
      <c r="J22" s="130">
        <f t="shared" si="4"/>
        <v>100.83</v>
      </c>
      <c r="K22" s="128">
        <f t="shared" si="3"/>
        <v>100.83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70.55</v>
      </c>
      <c r="E23" s="128">
        <f t="shared" si="1"/>
        <v>31</v>
      </c>
      <c r="F23" s="128">
        <f t="shared" si="5"/>
        <v>1.7</v>
      </c>
      <c r="G23" s="130">
        <f t="shared" si="6"/>
        <v>36.266245170354757</v>
      </c>
      <c r="H23" s="128">
        <f t="shared" si="2"/>
        <v>0</v>
      </c>
      <c r="I23" s="130">
        <f t="shared" si="7"/>
        <v>36.266245170354757</v>
      </c>
      <c r="J23" s="130">
        <f t="shared" si="4"/>
        <v>103.25</v>
      </c>
      <c r="K23" s="128">
        <f t="shared" si="3"/>
        <v>103.25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72.17</v>
      </c>
      <c r="E24" s="128">
        <f t="shared" si="1"/>
        <v>31.71</v>
      </c>
      <c r="F24" s="128">
        <f t="shared" si="5"/>
        <v>1.74</v>
      </c>
      <c r="G24" s="130">
        <f t="shared" si="6"/>
        <v>37.098700386371618</v>
      </c>
      <c r="H24" s="128">
        <f t="shared" si="2"/>
        <v>0</v>
      </c>
      <c r="I24" s="130">
        <f t="shared" si="7"/>
        <v>37.098700386371618</v>
      </c>
      <c r="J24" s="130">
        <f t="shared" si="4"/>
        <v>105.62</v>
      </c>
      <c r="K24" s="128">
        <f t="shared" si="3"/>
        <v>105.61999999999999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73.83</v>
      </c>
      <c r="E25" s="128">
        <f t="shared" si="1"/>
        <v>32.44</v>
      </c>
      <c r="F25" s="128">
        <f t="shared" si="5"/>
        <v>1.78</v>
      </c>
      <c r="G25" s="130">
        <f t="shared" si="6"/>
        <v>37.952230417983841</v>
      </c>
      <c r="H25" s="128">
        <f t="shared" si="2"/>
        <v>0</v>
      </c>
      <c r="I25" s="130">
        <f t="shared" si="7"/>
        <v>37.952230417983841</v>
      </c>
      <c r="J25" s="130">
        <f t="shared" si="4"/>
        <v>108.05</v>
      </c>
      <c r="K25" s="128">
        <f t="shared" si="3"/>
        <v>108.05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75.53</v>
      </c>
      <c r="E26" s="128">
        <f t="shared" si="1"/>
        <v>33.19</v>
      </c>
      <c r="F26" s="128">
        <f t="shared" si="5"/>
        <v>1.82</v>
      </c>
      <c r="G26" s="130">
        <f t="shared" si="6"/>
        <v>38.826835265191427</v>
      </c>
      <c r="H26" s="128">
        <f t="shared" si="2"/>
        <v>0</v>
      </c>
      <c r="I26" s="130">
        <f t="shared" si="7"/>
        <v>38.826835265191427</v>
      </c>
      <c r="J26" s="130">
        <f t="shared" si="4"/>
        <v>110.54</v>
      </c>
      <c r="K26" s="128">
        <f t="shared" si="3"/>
        <v>110.53999999999999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77.27</v>
      </c>
      <c r="E27" s="128">
        <f t="shared" si="1"/>
        <v>33.950000000000003</v>
      </c>
      <c r="F27" s="128">
        <f t="shared" si="5"/>
        <v>1.86</v>
      </c>
      <c r="G27" s="130">
        <f t="shared" si="6"/>
        <v>39.719002458728482</v>
      </c>
      <c r="H27" s="128">
        <f t="shared" si="2"/>
        <v>0</v>
      </c>
      <c r="I27" s="130">
        <f t="shared" si="7"/>
        <v>39.719002458728482</v>
      </c>
      <c r="J27" s="130">
        <f t="shared" si="4"/>
        <v>113.08</v>
      </c>
      <c r="K27" s="128">
        <f t="shared" si="3"/>
        <v>113.08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79.12</v>
      </c>
      <c r="E28" s="128">
        <f t="shared" si="1"/>
        <v>34.76</v>
      </c>
      <c r="F28" s="128">
        <f t="shared" si="5"/>
        <v>1.9</v>
      </c>
      <c r="G28" s="130">
        <f t="shared" si="6"/>
        <v>40.667369160519847</v>
      </c>
      <c r="H28" s="128">
        <f t="shared" si="2"/>
        <v>0</v>
      </c>
      <c r="I28" s="130">
        <f t="shared" si="7"/>
        <v>40.667369160519847</v>
      </c>
      <c r="J28" s="130">
        <f t="shared" si="4"/>
        <v>115.78</v>
      </c>
      <c r="K28" s="128">
        <f t="shared" si="3"/>
        <v>115.78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81.02</v>
      </c>
      <c r="E29" s="128">
        <f t="shared" si="1"/>
        <v>35.590000000000003</v>
      </c>
      <c r="F29" s="128">
        <f t="shared" si="5"/>
        <v>1.95</v>
      </c>
      <c r="G29" s="130">
        <f t="shared" si="6"/>
        <v>41.643835616438359</v>
      </c>
      <c r="H29" s="128">
        <f t="shared" si="2"/>
        <v>0</v>
      </c>
      <c r="I29" s="130">
        <f t="shared" si="7"/>
        <v>41.643835616438359</v>
      </c>
      <c r="J29" s="130">
        <f t="shared" si="4"/>
        <v>118.56</v>
      </c>
      <c r="K29" s="128">
        <f t="shared" si="3"/>
        <v>118.56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82.88</v>
      </c>
      <c r="E30" s="128">
        <f t="shared" si="1"/>
        <v>36.409999999999997</v>
      </c>
      <c r="F30" s="128">
        <f t="shared" si="5"/>
        <v>1.99</v>
      </c>
      <c r="G30" s="130">
        <f t="shared" si="6"/>
        <v>42.599227256761502</v>
      </c>
      <c r="H30" s="128">
        <f t="shared" si="2"/>
        <v>0</v>
      </c>
      <c r="I30" s="130">
        <f t="shared" si="7"/>
        <v>42.599227256761502</v>
      </c>
      <c r="J30" s="130">
        <f t="shared" si="4"/>
        <v>121.28</v>
      </c>
      <c r="K30" s="128">
        <f t="shared" si="3"/>
        <v>121.27999999999999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84.79</v>
      </c>
      <c r="E31" s="128">
        <f t="shared" si="1"/>
        <v>37.25</v>
      </c>
      <c r="F31" s="128">
        <f t="shared" si="5"/>
        <v>2.04</v>
      </c>
      <c r="G31" s="130">
        <f t="shared" si="6"/>
        <v>43.582718651211806</v>
      </c>
      <c r="H31" s="128">
        <f t="shared" si="2"/>
        <v>0</v>
      </c>
      <c r="I31" s="130">
        <f t="shared" si="7"/>
        <v>43.582718651211806</v>
      </c>
      <c r="J31" s="130">
        <f t="shared" si="4"/>
        <v>124.08</v>
      </c>
      <c r="K31" s="128">
        <f t="shared" si="3"/>
        <v>124.08000000000001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86.74</v>
      </c>
      <c r="E32" s="128">
        <f t="shared" si="1"/>
        <v>38.11</v>
      </c>
      <c r="F32" s="128">
        <f t="shared" si="5"/>
        <v>2.09</v>
      </c>
      <c r="G32" s="130">
        <f t="shared" si="6"/>
        <v>44.587284861257466</v>
      </c>
      <c r="H32" s="128">
        <f t="shared" si="2"/>
        <v>0</v>
      </c>
      <c r="I32" s="130">
        <f t="shared" si="7"/>
        <v>44.587284861257466</v>
      </c>
      <c r="J32" s="130">
        <f t="shared" si="4"/>
        <v>126.94</v>
      </c>
      <c r="K32" s="128">
        <f t="shared" si="3"/>
        <v>126.94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88.74</v>
      </c>
      <c r="E33" s="128">
        <f t="shared" si="1"/>
        <v>38.99</v>
      </c>
      <c r="F33" s="128">
        <f t="shared" si="5"/>
        <v>2.14</v>
      </c>
      <c r="G33" s="130">
        <f t="shared" si="6"/>
        <v>45.616438356164373</v>
      </c>
      <c r="H33" s="128">
        <f t="shared" si="2"/>
        <v>0</v>
      </c>
      <c r="I33" s="130">
        <f t="shared" si="7"/>
        <v>45.616438356164373</v>
      </c>
      <c r="J33" s="130">
        <f t="shared" ref="J33:J37" si="8">ROUND(I33*$C$63*8.76,2)</f>
        <v>129.87</v>
      </c>
      <c r="K33" s="128">
        <f t="shared" si="3"/>
        <v>129.86999999999998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90.78</v>
      </c>
      <c r="E34" s="128">
        <f t="shared" si="1"/>
        <v>39.89</v>
      </c>
      <c r="F34" s="128">
        <f t="shared" si="5"/>
        <v>2.19</v>
      </c>
      <c r="G34" s="130">
        <f t="shared" si="6"/>
        <v>46.666666666666671</v>
      </c>
      <c r="H34" s="128">
        <f t="shared" si="2"/>
        <v>0</v>
      </c>
      <c r="I34" s="130">
        <f t="shared" si="7"/>
        <v>46.666666666666671</v>
      </c>
      <c r="J34" s="130">
        <f t="shared" si="8"/>
        <v>132.86000000000001</v>
      </c>
      <c r="K34" s="128">
        <f t="shared" si="3"/>
        <v>132.86000000000001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92.87</v>
      </c>
      <c r="E35" s="128">
        <f t="shared" si="1"/>
        <v>40.81</v>
      </c>
      <c r="F35" s="128">
        <f t="shared" si="5"/>
        <v>2.2400000000000002</v>
      </c>
      <c r="G35" s="130">
        <f t="shared" si="6"/>
        <v>47.74148226203021</v>
      </c>
      <c r="H35" s="128">
        <f t="shared" si="2"/>
        <v>0</v>
      </c>
      <c r="I35" s="130">
        <f t="shared" si="7"/>
        <v>47.74148226203021</v>
      </c>
      <c r="J35" s="130">
        <f t="shared" si="8"/>
        <v>135.91999999999999</v>
      </c>
      <c r="K35" s="128">
        <f t="shared" si="3"/>
        <v>135.92000000000002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95.1</v>
      </c>
      <c r="E36" s="128">
        <f t="shared" si="1"/>
        <v>41.79</v>
      </c>
      <c r="F36" s="128">
        <f t="shared" si="5"/>
        <v>2.29</v>
      </c>
      <c r="G36" s="130">
        <f t="shared" si="6"/>
        <v>48.886547242711622</v>
      </c>
      <c r="H36" s="128">
        <f t="shared" si="2"/>
        <v>0</v>
      </c>
      <c r="I36" s="130">
        <f t="shared" si="7"/>
        <v>48.886547242711622</v>
      </c>
      <c r="J36" s="130">
        <f t="shared" si="8"/>
        <v>139.18</v>
      </c>
      <c r="K36" s="128">
        <f t="shared" si="3"/>
        <v>139.17999999999998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97.38</v>
      </c>
      <c r="E37" s="128">
        <f t="shared" si="1"/>
        <v>42.79</v>
      </c>
      <c r="F37" s="128">
        <f t="shared" si="5"/>
        <v>2.34</v>
      </c>
      <c r="G37" s="130">
        <f t="shared" si="6"/>
        <v>50.056199508254302</v>
      </c>
      <c r="H37" s="128">
        <f t="shared" si="2"/>
        <v>0</v>
      </c>
      <c r="I37" s="130">
        <f t="shared" si="7"/>
        <v>50.056199508254302</v>
      </c>
      <c r="J37" s="130">
        <f t="shared" si="8"/>
        <v>142.51</v>
      </c>
      <c r="K37" s="128">
        <f t="shared" si="3"/>
        <v>142.51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63</v>
      </c>
      <c r="C44" s="140" t="s">
        <v>64</v>
      </c>
      <c r="D44" s="141" t="s">
        <v>102</v>
      </c>
      <c r="AC44" s="277"/>
    </row>
    <row r="45" spans="2:30">
      <c r="C45" s="140" t="str">
        <f>C7</f>
        <v>(a)</v>
      </c>
      <c r="D45" s="117" t="s">
        <v>65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230.8</v>
      </c>
      <c r="P55" s="117" t="s">
        <v>32</v>
      </c>
      <c r="Q55" s="274" t="s">
        <v>107</v>
      </c>
      <c r="R55" s="274" t="s">
        <v>108</v>
      </c>
      <c r="T55" s="274" t="str">
        <f>$Q$55&amp;"Proposed Station Capital Costs"</f>
        <v>L1.US1_PVSProposed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218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27.48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27.48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8"/>
      <c r="AB18" s="378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28.14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28.14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28.84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28.84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29.56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29.56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30.27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30.27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</v>
      </c>
      <c r="F23" s="128"/>
      <c r="G23" s="130"/>
      <c r="H23" s="128">
        <f t="shared" si="2"/>
        <v>0</v>
      </c>
      <c r="I23" s="130"/>
      <c r="J23" s="130"/>
      <c r="K23" s="128">
        <f t="shared" si="3"/>
        <v>31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39">
        <v>1208.8</v>
      </c>
      <c r="D24" s="128">
        <f>C24*$C$62</f>
        <v>81.594000000000008</v>
      </c>
      <c r="E24" s="128">
        <f t="shared" si="1"/>
        <v>31.71</v>
      </c>
      <c r="F24" s="128">
        <f>C60</f>
        <v>21.577297145999619</v>
      </c>
      <c r="G24" s="130">
        <f>(D24+E24+F24)/(8.76*$C$63)</f>
        <v>47.376641076922944</v>
      </c>
      <c r="H24" s="128">
        <f t="shared" si="2"/>
        <v>0</v>
      </c>
      <c r="I24" s="130">
        <f>(G24+H24)</f>
        <v>47.376641076922944</v>
      </c>
      <c r="J24" s="130">
        <f t="shared" ref="J24:J32" si="4">ROUND(I24*$C$63*8.76,2)</f>
        <v>134.88</v>
      </c>
      <c r="K24" s="128">
        <f t="shared" si="3"/>
        <v>134.88129714599961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32.44</v>
      </c>
      <c r="F25" s="128">
        <f t="shared" si="5"/>
        <v>22.07</v>
      </c>
      <c r="G25" s="130">
        <f t="shared" ref="G25:G37" si="6">(D25+E25+F25)/(8.76*$C$63)</f>
        <v>48.465050930804352</v>
      </c>
      <c r="H25" s="128">
        <f t="shared" si="2"/>
        <v>0</v>
      </c>
      <c r="I25" s="130">
        <f t="shared" ref="I25:I37" si="7">(G25+H25)</f>
        <v>48.465050930804352</v>
      </c>
      <c r="J25" s="130">
        <f t="shared" si="4"/>
        <v>137.97999999999999</v>
      </c>
      <c r="K25" s="128">
        <f t="shared" si="3"/>
        <v>137.97999999999999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33.19</v>
      </c>
      <c r="F26" s="128">
        <f t="shared" si="5"/>
        <v>22.58</v>
      </c>
      <c r="G26" s="130">
        <f t="shared" si="6"/>
        <v>49.582016157358623</v>
      </c>
      <c r="H26" s="128">
        <f t="shared" si="2"/>
        <v>0</v>
      </c>
      <c r="I26" s="130">
        <f t="shared" si="7"/>
        <v>49.582016157358623</v>
      </c>
      <c r="J26" s="130">
        <f t="shared" si="4"/>
        <v>141.16</v>
      </c>
      <c r="K26" s="128">
        <f t="shared" si="3"/>
        <v>141.16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33.950000000000003</v>
      </c>
      <c r="F27" s="128">
        <f t="shared" si="5"/>
        <v>23.1</v>
      </c>
      <c r="G27" s="130">
        <f t="shared" si="6"/>
        <v>50.720056199508257</v>
      </c>
      <c r="H27" s="128">
        <f t="shared" si="2"/>
        <v>0</v>
      </c>
      <c r="I27" s="130">
        <f t="shared" si="7"/>
        <v>50.720056199508257</v>
      </c>
      <c r="J27" s="130">
        <f t="shared" si="4"/>
        <v>144.4</v>
      </c>
      <c r="K27" s="128">
        <f t="shared" si="3"/>
        <v>144.4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89.45</v>
      </c>
      <c r="E28" s="128">
        <f t="shared" si="1"/>
        <v>34.76</v>
      </c>
      <c r="F28" s="128">
        <f t="shared" si="5"/>
        <v>23.65</v>
      </c>
      <c r="G28" s="130">
        <f t="shared" si="6"/>
        <v>51.935370565507554</v>
      </c>
      <c r="H28" s="128">
        <f t="shared" si="2"/>
        <v>0</v>
      </c>
      <c r="I28" s="130">
        <f t="shared" si="7"/>
        <v>51.935370565507554</v>
      </c>
      <c r="J28" s="130">
        <f t="shared" si="4"/>
        <v>147.86000000000001</v>
      </c>
      <c r="K28" s="128">
        <f t="shared" si="3"/>
        <v>147.86000000000001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91.6</v>
      </c>
      <c r="E29" s="128">
        <f t="shared" si="1"/>
        <v>35.590000000000003</v>
      </c>
      <c r="F29" s="128">
        <f t="shared" si="5"/>
        <v>24.22</v>
      </c>
      <c r="G29" s="130">
        <f t="shared" si="6"/>
        <v>53.182297154899892</v>
      </c>
      <c r="H29" s="128">
        <f t="shared" si="2"/>
        <v>0</v>
      </c>
      <c r="I29" s="130">
        <f t="shared" si="7"/>
        <v>53.182297154899892</v>
      </c>
      <c r="J29" s="130">
        <f t="shared" si="4"/>
        <v>151.41</v>
      </c>
      <c r="K29" s="128">
        <f t="shared" si="3"/>
        <v>151.41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93.71</v>
      </c>
      <c r="E30" s="128">
        <f t="shared" si="1"/>
        <v>36.409999999999997</v>
      </c>
      <c r="F30" s="128">
        <f t="shared" si="5"/>
        <v>24.78</v>
      </c>
      <c r="G30" s="130">
        <f t="shared" si="6"/>
        <v>54.408148928696875</v>
      </c>
      <c r="H30" s="128">
        <f t="shared" si="2"/>
        <v>0</v>
      </c>
      <c r="I30" s="130">
        <f t="shared" si="7"/>
        <v>54.408148928696875</v>
      </c>
      <c r="J30" s="130">
        <f t="shared" si="4"/>
        <v>154.9</v>
      </c>
      <c r="K30" s="128">
        <f t="shared" si="3"/>
        <v>154.9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95.87</v>
      </c>
      <c r="E31" s="128">
        <f t="shared" si="1"/>
        <v>37.25</v>
      </c>
      <c r="F31" s="128">
        <f t="shared" si="5"/>
        <v>25.35</v>
      </c>
      <c r="G31" s="130">
        <f t="shared" si="6"/>
        <v>55.662100456621005</v>
      </c>
      <c r="H31" s="128">
        <f t="shared" si="2"/>
        <v>0</v>
      </c>
      <c r="I31" s="130">
        <f t="shared" si="7"/>
        <v>55.662100456621005</v>
      </c>
      <c r="J31" s="130">
        <f t="shared" si="4"/>
        <v>158.47</v>
      </c>
      <c r="K31" s="128">
        <f t="shared" si="3"/>
        <v>158.47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98.08</v>
      </c>
      <c r="E32" s="128">
        <f t="shared" si="1"/>
        <v>38.11</v>
      </c>
      <c r="F32" s="128">
        <f t="shared" si="5"/>
        <v>25.93</v>
      </c>
      <c r="G32" s="130">
        <f t="shared" si="6"/>
        <v>56.944151738672289</v>
      </c>
      <c r="H32" s="128">
        <f t="shared" si="2"/>
        <v>0</v>
      </c>
      <c r="I32" s="130">
        <f t="shared" si="7"/>
        <v>56.944151738672289</v>
      </c>
      <c r="J32" s="130">
        <f t="shared" si="4"/>
        <v>162.12</v>
      </c>
      <c r="K32" s="128">
        <f t="shared" si="3"/>
        <v>162.12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100.34</v>
      </c>
      <c r="E33" s="128">
        <f t="shared" si="1"/>
        <v>38.99</v>
      </c>
      <c r="F33" s="128">
        <f t="shared" si="5"/>
        <v>26.53</v>
      </c>
      <c r="G33" s="130">
        <f t="shared" si="6"/>
        <v>58.257815244116621</v>
      </c>
      <c r="H33" s="128">
        <f t="shared" si="2"/>
        <v>0</v>
      </c>
      <c r="I33" s="130">
        <f t="shared" si="7"/>
        <v>58.257815244116621</v>
      </c>
      <c r="J33" s="130">
        <f t="shared" ref="J33:J37" si="8">ROUND(I33*$C$63*8.76,2)</f>
        <v>165.86</v>
      </c>
      <c r="K33" s="128">
        <f t="shared" si="3"/>
        <v>165.86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102.65</v>
      </c>
      <c r="E34" s="128">
        <f t="shared" si="1"/>
        <v>39.89</v>
      </c>
      <c r="F34" s="128">
        <f t="shared" si="5"/>
        <v>27.14</v>
      </c>
      <c r="G34" s="130">
        <f t="shared" si="6"/>
        <v>59.599578503688093</v>
      </c>
      <c r="H34" s="128">
        <f t="shared" si="2"/>
        <v>0</v>
      </c>
      <c r="I34" s="130">
        <f t="shared" si="7"/>
        <v>59.599578503688093</v>
      </c>
      <c r="J34" s="130">
        <f t="shared" si="8"/>
        <v>169.68</v>
      </c>
      <c r="K34" s="128">
        <f t="shared" si="3"/>
        <v>169.68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105.01</v>
      </c>
      <c r="E35" s="128">
        <f t="shared" si="1"/>
        <v>40.81</v>
      </c>
      <c r="F35" s="128">
        <f t="shared" si="5"/>
        <v>27.76</v>
      </c>
      <c r="G35" s="130">
        <f t="shared" si="6"/>
        <v>60.96944151738672</v>
      </c>
      <c r="H35" s="128">
        <f t="shared" si="2"/>
        <v>0</v>
      </c>
      <c r="I35" s="130">
        <f t="shared" si="7"/>
        <v>60.96944151738672</v>
      </c>
      <c r="J35" s="130">
        <f t="shared" si="8"/>
        <v>173.58</v>
      </c>
      <c r="K35" s="128">
        <f t="shared" si="3"/>
        <v>173.57999999999998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107.53</v>
      </c>
      <c r="E36" s="128">
        <f t="shared" si="1"/>
        <v>41.79</v>
      </c>
      <c r="F36" s="128">
        <f t="shared" si="5"/>
        <v>28.43</v>
      </c>
      <c r="G36" s="130">
        <f t="shared" si="6"/>
        <v>62.434141201264488</v>
      </c>
      <c r="H36" s="128">
        <f t="shared" si="2"/>
        <v>0</v>
      </c>
      <c r="I36" s="130">
        <f t="shared" si="7"/>
        <v>62.434141201264488</v>
      </c>
      <c r="J36" s="130">
        <f t="shared" si="8"/>
        <v>177.75</v>
      </c>
      <c r="K36" s="128">
        <f t="shared" si="3"/>
        <v>177.75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110.11</v>
      </c>
      <c r="E37" s="128">
        <f t="shared" si="1"/>
        <v>42.79</v>
      </c>
      <c r="F37" s="128">
        <f t="shared" si="5"/>
        <v>29.11</v>
      </c>
      <c r="G37" s="130">
        <f t="shared" si="6"/>
        <v>63.930453108535296</v>
      </c>
      <c r="H37" s="128">
        <f t="shared" si="2"/>
        <v>0</v>
      </c>
      <c r="I37" s="130">
        <f t="shared" si="7"/>
        <v>63.930453108535296</v>
      </c>
      <c r="J37" s="130">
        <f t="shared" si="8"/>
        <v>182.01</v>
      </c>
      <c r="K37" s="128">
        <f t="shared" si="3"/>
        <v>182.01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500</v>
      </c>
      <c r="P55" s="117" t="s">
        <v>32</v>
      </c>
      <c r="Q55" s="274" t="s">
        <v>174</v>
      </c>
      <c r="R55" s="274" t="s">
        <v>175</v>
      </c>
      <c r="T55" s="274" t="str">
        <f>$Q$55&amp;"Proposed Station Capital Costs"</f>
        <v>L_.US4_PVSProposed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218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I24" sqref="I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39">
        <v>1227.9632768361582</v>
      </c>
      <c r="D18" s="128">
        <f>C18*$C$62</f>
        <v>62.441932627118646</v>
      </c>
      <c r="E18" s="128">
        <f t="shared" si="1"/>
        <v>27.48</v>
      </c>
      <c r="F18" s="128">
        <f>C60</f>
        <v>0</v>
      </c>
      <c r="G18" s="130">
        <f>(D18+E18+F18)/(8.76*$C$63)</f>
        <v>34.10319203382889</v>
      </c>
      <c r="H18" s="128">
        <f t="shared" si="2"/>
        <v>0</v>
      </c>
      <c r="I18" s="130">
        <f>(G18+H18)</f>
        <v>34.10319203382889</v>
      </c>
      <c r="J18" s="130">
        <f t="shared" ref="J18:J32" si="4">ROUND(I18*$C$63*8.76,2)</f>
        <v>89.92</v>
      </c>
      <c r="K18" s="128">
        <f t="shared" si="3"/>
        <v>89.92193262711865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63.94</v>
      </c>
      <c r="E19" s="128">
        <f t="shared" si="1"/>
        <v>28.14</v>
      </c>
      <c r="F19" s="128">
        <f t="shared" si="5"/>
        <v>0</v>
      </c>
      <c r="G19" s="130">
        <f t="shared" ref="G19:G37" si="6">(D19+E19+F19)/(8.76*$C$63)</f>
        <v>34.921646262837726</v>
      </c>
      <c r="H19" s="128">
        <f t="shared" si="2"/>
        <v>0</v>
      </c>
      <c r="I19" s="130">
        <f t="shared" ref="I19:I37" si="7">(G19+H19)</f>
        <v>34.921646262837726</v>
      </c>
      <c r="J19" s="130">
        <f t="shared" si="4"/>
        <v>92.08</v>
      </c>
      <c r="K19" s="128">
        <f t="shared" si="3"/>
        <v>92.08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65.540000000000006</v>
      </c>
      <c r="E20" s="128">
        <f t="shared" si="1"/>
        <v>28.84</v>
      </c>
      <c r="F20" s="128">
        <f t="shared" si="5"/>
        <v>0</v>
      </c>
      <c r="G20" s="130">
        <f t="shared" si="6"/>
        <v>35.79392891275657</v>
      </c>
      <c r="H20" s="128">
        <f t="shared" si="2"/>
        <v>0</v>
      </c>
      <c r="I20" s="130">
        <f t="shared" si="7"/>
        <v>35.79392891275657</v>
      </c>
      <c r="J20" s="130">
        <f t="shared" si="4"/>
        <v>94.38</v>
      </c>
      <c r="K20" s="128">
        <f t="shared" si="3"/>
        <v>94.38000000000001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67.180000000000007</v>
      </c>
      <c r="E21" s="128">
        <f t="shared" si="1"/>
        <v>29.56</v>
      </c>
      <c r="F21" s="128">
        <f t="shared" si="5"/>
        <v>0</v>
      </c>
      <c r="G21" s="130">
        <f t="shared" si="6"/>
        <v>36.688966762238515</v>
      </c>
      <c r="H21" s="128">
        <f t="shared" si="2"/>
        <v>0</v>
      </c>
      <c r="I21" s="130">
        <f t="shared" si="7"/>
        <v>36.688966762238515</v>
      </c>
      <c r="J21" s="130">
        <f t="shared" si="4"/>
        <v>96.74</v>
      </c>
      <c r="K21" s="128">
        <f t="shared" si="3"/>
        <v>96.740000000000009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68.790000000000006</v>
      </c>
      <c r="E22" s="128">
        <f t="shared" si="1"/>
        <v>30.27</v>
      </c>
      <c r="F22" s="128">
        <f t="shared" si="5"/>
        <v>0</v>
      </c>
      <c r="G22" s="130">
        <f t="shared" si="6"/>
        <v>37.568834478678383</v>
      </c>
      <c r="H22" s="128">
        <f t="shared" si="2"/>
        <v>0</v>
      </c>
      <c r="I22" s="130">
        <f t="shared" si="7"/>
        <v>37.568834478678383</v>
      </c>
      <c r="J22" s="130">
        <f t="shared" si="4"/>
        <v>99.06</v>
      </c>
      <c r="K22" s="128">
        <f t="shared" si="3"/>
        <v>99.06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70.44</v>
      </c>
      <c r="E23" s="128">
        <f t="shared" si="1"/>
        <v>31</v>
      </c>
      <c r="F23" s="128">
        <f t="shared" si="5"/>
        <v>0</v>
      </c>
      <c r="G23" s="130">
        <f t="shared" si="6"/>
        <v>38.471457394681352</v>
      </c>
      <c r="H23" s="128">
        <f t="shared" si="2"/>
        <v>0</v>
      </c>
      <c r="I23" s="130">
        <f t="shared" si="7"/>
        <v>38.471457394681352</v>
      </c>
      <c r="J23" s="130">
        <f t="shared" si="4"/>
        <v>101.44</v>
      </c>
      <c r="K23" s="128">
        <f t="shared" si="3"/>
        <v>101.44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72.06</v>
      </c>
      <c r="E24" s="128">
        <f t="shared" si="1"/>
        <v>31.71</v>
      </c>
      <c r="F24" s="128">
        <f t="shared" si="5"/>
        <v>0</v>
      </c>
      <c r="G24" s="130">
        <f t="shared" si="6"/>
        <v>39.35511764438175</v>
      </c>
      <c r="H24" s="128">
        <f t="shared" si="2"/>
        <v>0</v>
      </c>
      <c r="I24" s="130">
        <f t="shared" si="7"/>
        <v>39.35511764438175</v>
      </c>
      <c r="J24" s="130">
        <f t="shared" si="4"/>
        <v>103.77</v>
      </c>
      <c r="K24" s="128">
        <f t="shared" si="3"/>
        <v>103.77000000000001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73.72</v>
      </c>
      <c r="E25" s="128">
        <f t="shared" si="1"/>
        <v>32.44</v>
      </c>
      <c r="F25" s="128">
        <f t="shared" si="5"/>
        <v>0</v>
      </c>
      <c r="G25" s="130">
        <f t="shared" si="6"/>
        <v>40.261533093645234</v>
      </c>
      <c r="H25" s="128">
        <f t="shared" si="2"/>
        <v>0</v>
      </c>
      <c r="I25" s="130">
        <f t="shared" si="7"/>
        <v>40.261533093645234</v>
      </c>
      <c r="J25" s="130">
        <f t="shared" si="4"/>
        <v>106.16</v>
      </c>
      <c r="K25" s="128">
        <f t="shared" si="3"/>
        <v>106.16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75.42</v>
      </c>
      <c r="E26" s="128">
        <f t="shared" si="1"/>
        <v>33.19</v>
      </c>
      <c r="F26" s="128">
        <f t="shared" si="5"/>
        <v>0</v>
      </c>
      <c r="G26" s="130">
        <f t="shared" si="6"/>
        <v>41.190703742471825</v>
      </c>
      <c r="H26" s="128">
        <f t="shared" si="2"/>
        <v>0</v>
      </c>
      <c r="I26" s="130">
        <f t="shared" si="7"/>
        <v>41.190703742471825</v>
      </c>
      <c r="J26" s="130">
        <f t="shared" si="4"/>
        <v>108.61</v>
      </c>
      <c r="K26" s="128">
        <f t="shared" si="3"/>
        <v>108.61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77.150000000000006</v>
      </c>
      <c r="E27" s="128">
        <f t="shared" si="1"/>
        <v>33.950000000000003</v>
      </c>
      <c r="F27" s="128">
        <f t="shared" si="5"/>
        <v>0</v>
      </c>
      <c r="G27" s="130">
        <f t="shared" si="6"/>
        <v>42.135044524340486</v>
      </c>
      <c r="H27" s="128">
        <f t="shared" si="2"/>
        <v>0</v>
      </c>
      <c r="I27" s="130">
        <f t="shared" si="7"/>
        <v>42.135044524340486</v>
      </c>
      <c r="J27" s="130">
        <f t="shared" si="4"/>
        <v>111.1</v>
      </c>
      <c r="K27" s="128">
        <f t="shared" si="3"/>
        <v>111.10000000000001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79</v>
      </c>
      <c r="E28" s="128">
        <f t="shared" si="1"/>
        <v>34.76</v>
      </c>
      <c r="F28" s="128">
        <f t="shared" si="5"/>
        <v>0</v>
      </c>
      <c r="G28" s="130">
        <f t="shared" si="6"/>
        <v>43.143858371637918</v>
      </c>
      <c r="H28" s="128">
        <f t="shared" si="2"/>
        <v>0</v>
      </c>
      <c r="I28" s="130">
        <f t="shared" si="7"/>
        <v>43.143858371637918</v>
      </c>
      <c r="J28" s="130">
        <f t="shared" si="4"/>
        <v>113.76</v>
      </c>
      <c r="K28" s="128">
        <f t="shared" si="3"/>
        <v>113.75999999999999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80.900000000000006</v>
      </c>
      <c r="E29" s="128">
        <f t="shared" si="1"/>
        <v>35.590000000000003</v>
      </c>
      <c r="F29" s="128">
        <f t="shared" si="5"/>
        <v>0</v>
      </c>
      <c r="G29" s="130">
        <f t="shared" si="6"/>
        <v>44.179219951758981</v>
      </c>
      <c r="H29" s="128">
        <f t="shared" si="2"/>
        <v>0</v>
      </c>
      <c r="I29" s="130">
        <f t="shared" si="7"/>
        <v>44.179219951758981</v>
      </c>
      <c r="J29" s="130">
        <f t="shared" si="4"/>
        <v>116.49</v>
      </c>
      <c r="K29" s="128">
        <f t="shared" si="3"/>
        <v>116.49000000000001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82.76</v>
      </c>
      <c r="E30" s="128">
        <f t="shared" si="1"/>
        <v>36.409999999999997</v>
      </c>
      <c r="F30" s="128">
        <f t="shared" si="5"/>
        <v>0</v>
      </c>
      <c r="G30" s="130">
        <f t="shared" si="6"/>
        <v>45.195618865577458</v>
      </c>
      <c r="H30" s="128">
        <f t="shared" si="2"/>
        <v>0</v>
      </c>
      <c r="I30" s="130">
        <f t="shared" si="7"/>
        <v>45.195618865577458</v>
      </c>
      <c r="J30" s="130">
        <f t="shared" si="4"/>
        <v>119.17</v>
      </c>
      <c r="K30" s="128">
        <f t="shared" si="3"/>
        <v>119.17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84.66</v>
      </c>
      <c r="E31" s="128">
        <f t="shared" si="1"/>
        <v>37.25</v>
      </c>
      <c r="F31" s="128">
        <f t="shared" si="5"/>
        <v>0</v>
      </c>
      <c r="G31" s="130">
        <f t="shared" si="6"/>
        <v>46.234772978959029</v>
      </c>
      <c r="H31" s="128">
        <f t="shared" si="2"/>
        <v>0</v>
      </c>
      <c r="I31" s="130">
        <f t="shared" si="7"/>
        <v>46.234772978959029</v>
      </c>
      <c r="J31" s="130">
        <f t="shared" si="4"/>
        <v>121.91</v>
      </c>
      <c r="K31" s="128">
        <f t="shared" si="3"/>
        <v>121.91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86.61</v>
      </c>
      <c r="E32" s="128">
        <f t="shared" si="1"/>
        <v>38.11</v>
      </c>
      <c r="F32" s="128">
        <f t="shared" si="5"/>
        <v>0</v>
      </c>
      <c r="G32" s="130">
        <f t="shared" si="6"/>
        <v>47.300474825164223</v>
      </c>
      <c r="H32" s="128">
        <f t="shared" si="2"/>
        <v>0</v>
      </c>
      <c r="I32" s="130">
        <f t="shared" si="7"/>
        <v>47.300474825164223</v>
      </c>
      <c r="J32" s="130">
        <f t="shared" si="4"/>
        <v>124.72</v>
      </c>
      <c r="K32" s="128">
        <f t="shared" si="3"/>
        <v>124.72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88.6</v>
      </c>
      <c r="E33" s="128">
        <f t="shared" si="1"/>
        <v>38.99</v>
      </c>
      <c r="F33" s="128">
        <f t="shared" si="5"/>
        <v>0</v>
      </c>
      <c r="G33" s="130">
        <f t="shared" si="6"/>
        <v>48.388931870932517</v>
      </c>
      <c r="H33" s="128">
        <f t="shared" si="2"/>
        <v>0</v>
      </c>
      <c r="I33" s="130">
        <f t="shared" si="7"/>
        <v>48.388931870932517</v>
      </c>
      <c r="J33" s="130">
        <f t="shared" ref="J33:J37" si="8">ROUND(I33*$C$63*8.76,2)</f>
        <v>127.59</v>
      </c>
      <c r="K33" s="128">
        <f t="shared" si="3"/>
        <v>127.59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90.64</v>
      </c>
      <c r="E34" s="128">
        <f t="shared" si="1"/>
        <v>39.89</v>
      </c>
      <c r="F34" s="128">
        <f t="shared" si="5"/>
        <v>0</v>
      </c>
      <c r="G34" s="130">
        <f t="shared" si="6"/>
        <v>49.50393664952442</v>
      </c>
      <c r="H34" s="128">
        <f t="shared" si="2"/>
        <v>0</v>
      </c>
      <c r="I34" s="130">
        <f t="shared" si="7"/>
        <v>49.50393664952442</v>
      </c>
      <c r="J34" s="130">
        <f t="shared" si="8"/>
        <v>130.53</v>
      </c>
      <c r="K34" s="128">
        <f t="shared" si="3"/>
        <v>130.53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92.72</v>
      </c>
      <c r="E35" s="128">
        <f t="shared" si="1"/>
        <v>40.81</v>
      </c>
      <c r="F35" s="128">
        <f t="shared" si="5"/>
        <v>0</v>
      </c>
      <c r="G35" s="130">
        <f t="shared" si="6"/>
        <v>50.64169662767943</v>
      </c>
      <c r="H35" s="128">
        <f t="shared" si="2"/>
        <v>0</v>
      </c>
      <c r="I35" s="130">
        <f t="shared" si="7"/>
        <v>50.64169662767943</v>
      </c>
      <c r="J35" s="130">
        <f t="shared" si="8"/>
        <v>133.53</v>
      </c>
      <c r="K35" s="128">
        <f t="shared" si="3"/>
        <v>133.53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94.95</v>
      </c>
      <c r="E36" s="128">
        <f t="shared" si="1"/>
        <v>41.79</v>
      </c>
      <c r="F36" s="128">
        <f t="shared" si="5"/>
        <v>0</v>
      </c>
      <c r="G36" s="130">
        <f t="shared" si="6"/>
        <v>51.859099804305295</v>
      </c>
      <c r="H36" s="128">
        <f t="shared" si="2"/>
        <v>0</v>
      </c>
      <c r="I36" s="130">
        <f t="shared" si="7"/>
        <v>51.859099804305295</v>
      </c>
      <c r="J36" s="130">
        <f t="shared" si="8"/>
        <v>136.74</v>
      </c>
      <c r="K36" s="128">
        <f t="shared" si="3"/>
        <v>136.74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97.23</v>
      </c>
      <c r="E37" s="128">
        <f t="shared" si="1"/>
        <v>42.79</v>
      </c>
      <c r="F37" s="128">
        <f t="shared" si="5"/>
        <v>0</v>
      </c>
      <c r="G37" s="130">
        <f t="shared" si="6"/>
        <v>53.103050713754769</v>
      </c>
      <c r="H37" s="128">
        <f t="shared" si="2"/>
        <v>0</v>
      </c>
      <c r="I37" s="130">
        <f t="shared" si="7"/>
        <v>53.103050713754769</v>
      </c>
      <c r="J37" s="130">
        <f t="shared" si="8"/>
        <v>140.02000000000001</v>
      </c>
      <c r="K37" s="128">
        <f t="shared" si="3"/>
        <v>140.02000000000001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354</v>
      </c>
      <c r="P55" s="117" t="s">
        <v>32</v>
      </c>
      <c r="Q55" s="274" t="s">
        <v>144</v>
      </c>
      <c r="R55" s="274" t="s">
        <v>108</v>
      </c>
      <c r="T55" s="274" t="str">
        <f>$Q$55&amp;"Proposed Station Capital Costs"</f>
        <v>L1.JBB_PVSProposed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218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3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73"/>
      <c r="Z5" s="37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27.48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27.48</v>
      </c>
      <c r="L18" s="119"/>
      <c r="N18" s="117"/>
      <c r="O18" s="341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28.14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28.14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28.84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28.84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29.56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29.56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30.27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30.27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39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</v>
      </c>
      <c r="F23" s="128">
        <f>C60</f>
        <v>0</v>
      </c>
      <c r="G23" s="130">
        <f>(D23+E23+F23)/(8.76*$C$63)</f>
        <v>35.091902356463635</v>
      </c>
      <c r="H23" s="128">
        <f t="shared" si="2"/>
        <v>0</v>
      </c>
      <c r="I23" s="130">
        <f>(G23+H23)</f>
        <v>35.091902356463635</v>
      </c>
      <c r="J23" s="130">
        <f t="shared" ref="J23" si="5">ROUND(I23*$C$63*8.76,2)</f>
        <v>92.53</v>
      </c>
      <c r="K23" s="128">
        <f t="shared" si="3"/>
        <v>92.528924457429042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39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31.71</v>
      </c>
      <c r="F24" s="128">
        <f t="shared" si="6"/>
        <v>0</v>
      </c>
      <c r="G24" s="130">
        <f t="shared" ref="G24:G37" si="7">(D24+E24+F24)/(8.76*$C$63)</f>
        <v>35.896327310790518</v>
      </c>
      <c r="H24" s="128">
        <f t="shared" si="2"/>
        <v>0</v>
      </c>
      <c r="I24" s="130">
        <f t="shared" ref="I24:I37" si="8">(G24+H24)</f>
        <v>35.896327310790518</v>
      </c>
      <c r="J24" s="130">
        <f t="shared" ref="J24:J32" si="9">ROUND(I24*$C$63*8.76,2)</f>
        <v>94.65</v>
      </c>
      <c r="K24" s="128">
        <f t="shared" si="3"/>
        <v>94.65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32.44</v>
      </c>
      <c r="F25" s="128">
        <f t="shared" si="6"/>
        <v>0</v>
      </c>
      <c r="G25" s="130">
        <f t="shared" si="7"/>
        <v>36.723099561583155</v>
      </c>
      <c r="H25" s="128">
        <f t="shared" si="2"/>
        <v>0</v>
      </c>
      <c r="I25" s="130">
        <f t="shared" si="8"/>
        <v>36.723099561583155</v>
      </c>
      <c r="J25" s="130">
        <f t="shared" si="9"/>
        <v>96.83</v>
      </c>
      <c r="K25" s="128">
        <f t="shared" si="3"/>
        <v>96.83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33.19</v>
      </c>
      <c r="F26" s="128">
        <f t="shared" si="6"/>
        <v>0</v>
      </c>
      <c r="G26" s="130">
        <f t="shared" si="7"/>
        <v>37.568834478678383</v>
      </c>
      <c r="H26" s="128">
        <f t="shared" si="2"/>
        <v>0</v>
      </c>
      <c r="I26" s="130">
        <f t="shared" si="8"/>
        <v>37.568834478678383</v>
      </c>
      <c r="J26" s="130">
        <f t="shared" si="9"/>
        <v>99.06</v>
      </c>
      <c r="K26" s="128">
        <f t="shared" si="3"/>
        <v>99.06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33.950000000000003</v>
      </c>
      <c r="F27" s="128">
        <f t="shared" si="6"/>
        <v>0</v>
      </c>
      <c r="G27" s="130">
        <f t="shared" si="7"/>
        <v>38.433532062076189</v>
      </c>
      <c r="H27" s="128">
        <f t="shared" si="2"/>
        <v>0</v>
      </c>
      <c r="I27" s="130">
        <f t="shared" si="8"/>
        <v>38.433532062076189</v>
      </c>
      <c r="J27" s="130">
        <f t="shared" si="9"/>
        <v>101.34</v>
      </c>
      <c r="K27" s="128">
        <f t="shared" si="3"/>
        <v>101.34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69.010000000000005</v>
      </c>
      <c r="E28" s="128">
        <f t="shared" si="4"/>
        <v>34.76</v>
      </c>
      <c r="F28" s="128">
        <f t="shared" si="6"/>
        <v>0</v>
      </c>
      <c r="G28" s="130">
        <f t="shared" si="7"/>
        <v>39.35511764438175</v>
      </c>
      <c r="H28" s="128">
        <f t="shared" si="2"/>
        <v>0</v>
      </c>
      <c r="I28" s="130">
        <f t="shared" si="8"/>
        <v>39.35511764438175</v>
      </c>
      <c r="J28" s="130">
        <f t="shared" si="9"/>
        <v>103.77</v>
      </c>
      <c r="K28" s="128">
        <f t="shared" si="3"/>
        <v>103.77000000000001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70.67</v>
      </c>
      <c r="E29" s="128">
        <f t="shared" si="4"/>
        <v>35.590000000000003</v>
      </c>
      <c r="F29" s="128">
        <f t="shared" si="6"/>
        <v>0</v>
      </c>
      <c r="G29" s="130">
        <f t="shared" si="7"/>
        <v>40.299458426250403</v>
      </c>
      <c r="H29" s="128">
        <f t="shared" si="2"/>
        <v>0</v>
      </c>
      <c r="I29" s="130">
        <f t="shared" si="8"/>
        <v>40.299458426250403</v>
      </c>
      <c r="J29" s="130">
        <f t="shared" si="9"/>
        <v>106.26</v>
      </c>
      <c r="K29" s="128">
        <f t="shared" si="3"/>
        <v>106.26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72.3</v>
      </c>
      <c r="E30" s="128">
        <f t="shared" si="4"/>
        <v>36.409999999999997</v>
      </c>
      <c r="F30" s="128">
        <f t="shared" si="6"/>
        <v>0</v>
      </c>
      <c r="G30" s="130">
        <f t="shared" si="7"/>
        <v>41.228629075076988</v>
      </c>
      <c r="H30" s="128">
        <f t="shared" si="2"/>
        <v>0</v>
      </c>
      <c r="I30" s="130">
        <f t="shared" si="8"/>
        <v>41.228629075076988</v>
      </c>
      <c r="J30" s="130">
        <f t="shared" si="9"/>
        <v>108.71</v>
      </c>
      <c r="K30" s="128">
        <f t="shared" si="3"/>
        <v>108.71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73.959999999999994</v>
      </c>
      <c r="E31" s="128">
        <f t="shared" si="4"/>
        <v>37.25</v>
      </c>
      <c r="F31" s="128">
        <f t="shared" si="6"/>
        <v>0</v>
      </c>
      <c r="G31" s="130">
        <f t="shared" si="7"/>
        <v>42.176762390206164</v>
      </c>
      <c r="H31" s="128">
        <f t="shared" si="2"/>
        <v>0</v>
      </c>
      <c r="I31" s="130">
        <f t="shared" si="8"/>
        <v>42.176762390206164</v>
      </c>
      <c r="J31" s="130">
        <f t="shared" si="9"/>
        <v>111.21</v>
      </c>
      <c r="K31" s="128">
        <f t="shared" si="3"/>
        <v>111.21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75.66</v>
      </c>
      <c r="E32" s="128">
        <f t="shared" si="4"/>
        <v>38.11</v>
      </c>
      <c r="F32" s="128">
        <f t="shared" si="6"/>
        <v>0</v>
      </c>
      <c r="G32" s="130">
        <f t="shared" si="7"/>
        <v>43.147650904898441</v>
      </c>
      <c r="H32" s="128">
        <f t="shared" si="2"/>
        <v>0</v>
      </c>
      <c r="I32" s="130">
        <f t="shared" si="8"/>
        <v>43.147650904898441</v>
      </c>
      <c r="J32" s="130">
        <f t="shared" si="9"/>
        <v>113.77</v>
      </c>
      <c r="K32" s="128">
        <f t="shared" si="3"/>
        <v>113.77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77.400000000000006</v>
      </c>
      <c r="E33" s="128">
        <f t="shared" si="4"/>
        <v>38.99</v>
      </c>
      <c r="F33" s="128">
        <f t="shared" si="6"/>
        <v>0</v>
      </c>
      <c r="G33" s="130">
        <f t="shared" si="7"/>
        <v>44.141294619153818</v>
      </c>
      <c r="H33" s="128">
        <f t="shared" si="2"/>
        <v>0</v>
      </c>
      <c r="I33" s="130">
        <f t="shared" si="8"/>
        <v>44.141294619153818</v>
      </c>
      <c r="J33" s="130">
        <f t="shared" ref="J33:J37" si="10">ROUND(I33*$C$63*8.76,2)</f>
        <v>116.39</v>
      </c>
      <c r="K33" s="128">
        <f t="shared" si="3"/>
        <v>116.39000000000001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79.180000000000007</v>
      </c>
      <c r="E34" s="128">
        <f t="shared" si="4"/>
        <v>39.89</v>
      </c>
      <c r="F34" s="128">
        <f t="shared" si="6"/>
        <v>0</v>
      </c>
      <c r="G34" s="130">
        <f t="shared" si="7"/>
        <v>45.157693532972289</v>
      </c>
      <c r="H34" s="128">
        <f t="shared" si="2"/>
        <v>0</v>
      </c>
      <c r="I34" s="130">
        <f t="shared" si="8"/>
        <v>45.157693532972289</v>
      </c>
      <c r="J34" s="130">
        <f t="shared" si="10"/>
        <v>119.07</v>
      </c>
      <c r="K34" s="128">
        <f t="shared" si="3"/>
        <v>119.07000000000001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81</v>
      </c>
      <c r="E35" s="128">
        <f t="shared" si="4"/>
        <v>40.81</v>
      </c>
      <c r="F35" s="128">
        <f t="shared" si="6"/>
        <v>0</v>
      </c>
      <c r="G35" s="130">
        <f t="shared" si="7"/>
        <v>46.196847646353866</v>
      </c>
      <c r="H35" s="128">
        <f t="shared" si="2"/>
        <v>0</v>
      </c>
      <c r="I35" s="130">
        <f t="shared" si="8"/>
        <v>46.196847646353866</v>
      </c>
      <c r="J35" s="130">
        <f t="shared" si="10"/>
        <v>121.81</v>
      </c>
      <c r="K35" s="128">
        <f t="shared" si="3"/>
        <v>121.81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82.94</v>
      </c>
      <c r="E36" s="128">
        <f t="shared" si="4"/>
        <v>41.79</v>
      </c>
      <c r="F36" s="128">
        <f t="shared" si="6"/>
        <v>0</v>
      </c>
      <c r="G36" s="130">
        <f t="shared" si="7"/>
        <v>47.304267358424731</v>
      </c>
      <c r="H36" s="128">
        <f t="shared" si="2"/>
        <v>0</v>
      </c>
      <c r="I36" s="130">
        <f t="shared" si="8"/>
        <v>47.304267358424731</v>
      </c>
      <c r="J36" s="130">
        <f t="shared" si="10"/>
        <v>124.73</v>
      </c>
      <c r="K36" s="128">
        <f t="shared" si="3"/>
        <v>124.72999999999999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84.93</v>
      </c>
      <c r="E37" s="128">
        <f t="shared" si="4"/>
        <v>42.79</v>
      </c>
      <c r="F37" s="128">
        <f t="shared" si="6"/>
        <v>0</v>
      </c>
      <c r="G37" s="130">
        <f t="shared" si="7"/>
        <v>48.438234803319226</v>
      </c>
      <c r="H37" s="128">
        <f t="shared" si="2"/>
        <v>0</v>
      </c>
      <c r="I37" s="130">
        <f t="shared" si="8"/>
        <v>48.438234803319226</v>
      </c>
      <c r="J37" s="130">
        <f t="shared" si="10"/>
        <v>127.72</v>
      </c>
      <c r="K37" s="128">
        <f t="shared" si="3"/>
        <v>127.72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7"/>
    </row>
    <row r="45" spans="2:32">
      <c r="C45" s="140" t="str">
        <f>C7</f>
        <v>(a)</v>
      </c>
      <c r="D45" s="117" t="s">
        <v>65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359.4</v>
      </c>
      <c r="P55" s="117" t="s">
        <v>32</v>
      </c>
      <c r="Q55" s="274" t="s">
        <v>170</v>
      </c>
      <c r="R55" s="274" t="s">
        <v>108</v>
      </c>
      <c r="T55" s="274" t="str">
        <f>$Q$55&amp;"Proposed Station Capital Costs"</f>
        <v>L_.JBB_PVSProposed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218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2.1999999999999999E-2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1.7000000000000001E-2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2.3E-2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2.4E-2</v>
      </c>
      <c r="N73" s="164"/>
    </row>
    <row r="74" spans="3:14" s="119" customFormat="1">
      <c r="C74" s="87">
        <f t="shared" si="11"/>
        <v>2025</v>
      </c>
      <c r="D74" s="41">
        <v>2.4E-2</v>
      </c>
      <c r="E74" s="86"/>
      <c r="F74" s="87">
        <f t="shared" si="12"/>
        <v>2034</v>
      </c>
      <c r="G74" s="41">
        <v>2.4E-2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view="pageBreakPreview" zoomScale="60" zoomScaleNormal="80" workbookViewId="0">
      <selection activeCell="B18" sqref="B18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363"/>
      <c r="Q14" s="392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364"/>
      <c r="P15" s="363"/>
      <c r="Q15" s="392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136">
        <v>1296.5513342379013</v>
      </c>
      <c r="D18" s="128">
        <f>C18*$C$62</f>
        <v>65.929635345997283</v>
      </c>
      <c r="E18" s="128">
        <f t="shared" si="1"/>
        <v>27.48</v>
      </c>
      <c r="F18" s="198">
        <f>C60</f>
        <v>0</v>
      </c>
      <c r="G18" s="130">
        <f>(D18+E18+F18)/(8.76*$C$63)</f>
        <v>35.903031589101552</v>
      </c>
      <c r="H18" s="128">
        <f t="shared" si="2"/>
        <v>0</v>
      </c>
      <c r="I18" s="130">
        <f>(G18+H18)</f>
        <v>35.903031589101552</v>
      </c>
      <c r="J18" s="130">
        <f t="shared" ref="J18:J32" si="4">ROUND(I18*$C$63*8.76,2)</f>
        <v>93.41</v>
      </c>
      <c r="K18" s="128">
        <f t="shared" si="3"/>
        <v>93.409635345997287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67.510000000000005</v>
      </c>
      <c r="E19" s="128">
        <f t="shared" si="1"/>
        <v>28.14</v>
      </c>
      <c r="F19" s="128">
        <f t="shared" si="5"/>
        <v>0</v>
      </c>
      <c r="G19" s="130">
        <f t="shared" ref="G19:G37" si="6">(D19+E19+F19)/(8.76*$C$63)</f>
        <v>36.764140645419189</v>
      </c>
      <c r="H19" s="128">
        <f t="shared" si="2"/>
        <v>0</v>
      </c>
      <c r="I19" s="130">
        <f t="shared" ref="I19:I37" si="7">(G19+H19)</f>
        <v>36.764140645419189</v>
      </c>
      <c r="J19" s="130">
        <f t="shared" si="4"/>
        <v>95.65</v>
      </c>
      <c r="K19" s="128">
        <f t="shared" si="3"/>
        <v>95.65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69.2</v>
      </c>
      <c r="E20" s="128">
        <f t="shared" si="1"/>
        <v>28.84</v>
      </c>
      <c r="F20" s="128">
        <f t="shared" si="5"/>
        <v>0</v>
      </c>
      <c r="G20" s="130">
        <f t="shared" si="6"/>
        <v>37.682763710160977</v>
      </c>
      <c r="H20" s="128">
        <f t="shared" si="2"/>
        <v>0</v>
      </c>
      <c r="I20" s="130">
        <f t="shared" si="7"/>
        <v>37.682763710160977</v>
      </c>
      <c r="J20" s="130">
        <f t="shared" si="4"/>
        <v>98.04</v>
      </c>
      <c r="K20" s="128">
        <f t="shared" si="3"/>
        <v>98.04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70.930000000000007</v>
      </c>
      <c r="E21" s="128">
        <f t="shared" si="1"/>
        <v>29.56</v>
      </c>
      <c r="F21" s="128">
        <f t="shared" si="5"/>
        <v>0</v>
      </c>
      <c r="G21" s="130">
        <f t="shared" si="6"/>
        <v>38.624448441800048</v>
      </c>
      <c r="H21" s="128">
        <f t="shared" si="2"/>
        <v>0</v>
      </c>
      <c r="I21" s="130">
        <f t="shared" si="7"/>
        <v>38.624448441800048</v>
      </c>
      <c r="J21" s="130">
        <f t="shared" si="4"/>
        <v>100.49</v>
      </c>
      <c r="K21" s="128">
        <f t="shared" si="3"/>
        <v>100.49000000000001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72.63</v>
      </c>
      <c r="E22" s="128">
        <f t="shared" si="1"/>
        <v>30.27</v>
      </c>
      <c r="F22" s="128">
        <f t="shared" si="5"/>
        <v>0</v>
      </c>
      <c r="G22" s="130">
        <f t="shared" si="6"/>
        <v>39.550758728840918</v>
      </c>
      <c r="H22" s="128">
        <f t="shared" si="2"/>
        <v>0</v>
      </c>
      <c r="I22" s="130">
        <f t="shared" si="7"/>
        <v>39.550758728840918</v>
      </c>
      <c r="J22" s="130">
        <f t="shared" si="4"/>
        <v>102.9</v>
      </c>
      <c r="K22" s="128">
        <f t="shared" si="3"/>
        <v>102.89999999999999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74.37</v>
      </c>
      <c r="E23" s="128">
        <f t="shared" si="1"/>
        <v>31</v>
      </c>
      <c r="F23" s="128">
        <f t="shared" si="5"/>
        <v>0</v>
      </c>
      <c r="G23" s="130">
        <f t="shared" si="6"/>
        <v>40.500130682779087</v>
      </c>
      <c r="H23" s="128">
        <f t="shared" si="2"/>
        <v>0</v>
      </c>
      <c r="I23" s="130">
        <f t="shared" si="7"/>
        <v>40.500130682779087</v>
      </c>
      <c r="J23" s="130">
        <f t="shared" si="4"/>
        <v>105.37</v>
      </c>
      <c r="K23" s="128">
        <f t="shared" si="3"/>
        <v>105.37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76.08</v>
      </c>
      <c r="E24" s="128">
        <f t="shared" si="1"/>
        <v>31.71</v>
      </c>
      <c r="F24" s="128">
        <f t="shared" si="5"/>
        <v>0</v>
      </c>
      <c r="G24" s="130">
        <f t="shared" si="6"/>
        <v>41.430284580969513</v>
      </c>
      <c r="H24" s="128">
        <f t="shared" si="2"/>
        <v>0</v>
      </c>
      <c r="I24" s="130">
        <f t="shared" si="7"/>
        <v>41.430284580969513</v>
      </c>
      <c r="J24" s="130">
        <f t="shared" si="4"/>
        <v>107.79</v>
      </c>
      <c r="K24" s="128">
        <f t="shared" si="3"/>
        <v>107.78999999999999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77.83</v>
      </c>
      <c r="E25" s="128">
        <f t="shared" si="1"/>
        <v>32.44</v>
      </c>
      <c r="F25" s="128">
        <f t="shared" si="5"/>
        <v>0</v>
      </c>
      <c r="G25" s="130">
        <f t="shared" si="6"/>
        <v>42.383500146057223</v>
      </c>
      <c r="H25" s="128">
        <f t="shared" si="2"/>
        <v>0</v>
      </c>
      <c r="I25" s="130">
        <f t="shared" si="7"/>
        <v>42.383500146057223</v>
      </c>
      <c r="J25" s="130">
        <f t="shared" si="4"/>
        <v>110.27</v>
      </c>
      <c r="K25" s="128">
        <f t="shared" si="3"/>
        <v>110.27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79.62</v>
      </c>
      <c r="E26" s="128">
        <f t="shared" si="1"/>
        <v>33.19</v>
      </c>
      <c r="F26" s="128">
        <f t="shared" si="5"/>
        <v>0</v>
      </c>
      <c r="G26" s="130">
        <f t="shared" si="6"/>
        <v>43.359777378042224</v>
      </c>
      <c r="H26" s="128">
        <f t="shared" si="2"/>
        <v>0</v>
      </c>
      <c r="I26" s="130">
        <f t="shared" si="7"/>
        <v>43.359777378042224</v>
      </c>
      <c r="J26" s="130">
        <f t="shared" si="4"/>
        <v>112.81</v>
      </c>
      <c r="K26" s="128">
        <f t="shared" si="3"/>
        <v>112.81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81.45</v>
      </c>
      <c r="E27" s="128">
        <f t="shared" si="1"/>
        <v>33.950000000000003</v>
      </c>
      <c r="F27" s="128">
        <f t="shared" si="5"/>
        <v>0</v>
      </c>
      <c r="G27" s="130">
        <f t="shared" si="6"/>
        <v>44.355272665774955</v>
      </c>
      <c r="H27" s="128">
        <f t="shared" si="2"/>
        <v>0</v>
      </c>
      <c r="I27" s="130">
        <f t="shared" si="7"/>
        <v>44.355272665774955</v>
      </c>
      <c r="J27" s="130">
        <f t="shared" si="4"/>
        <v>115.4</v>
      </c>
      <c r="K27" s="128">
        <f t="shared" si="3"/>
        <v>115.4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83.4</v>
      </c>
      <c r="E28" s="128">
        <f t="shared" si="1"/>
        <v>34.76</v>
      </c>
      <c r="F28" s="128">
        <f t="shared" si="5"/>
        <v>0</v>
      </c>
      <c r="G28" s="130">
        <f t="shared" si="6"/>
        <v>45.416109343049982</v>
      </c>
      <c r="H28" s="128">
        <f t="shared" si="2"/>
        <v>0</v>
      </c>
      <c r="I28" s="130">
        <f t="shared" si="7"/>
        <v>45.416109343049982</v>
      </c>
      <c r="J28" s="130">
        <f t="shared" si="4"/>
        <v>118.16</v>
      </c>
      <c r="K28" s="128">
        <f t="shared" si="3"/>
        <v>118.16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85.4</v>
      </c>
      <c r="E29" s="128">
        <f t="shared" si="1"/>
        <v>35.590000000000003</v>
      </c>
      <c r="F29" s="128">
        <f t="shared" si="5"/>
        <v>0</v>
      </c>
      <c r="G29" s="130">
        <f t="shared" si="6"/>
        <v>46.503851298371856</v>
      </c>
      <c r="H29" s="128">
        <f t="shared" si="2"/>
        <v>0</v>
      </c>
      <c r="I29" s="130">
        <f t="shared" si="7"/>
        <v>46.503851298371856</v>
      </c>
      <c r="J29" s="130">
        <f t="shared" si="4"/>
        <v>120.99</v>
      </c>
      <c r="K29" s="128">
        <f t="shared" si="3"/>
        <v>120.99000000000001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87.36</v>
      </c>
      <c r="E30" s="128">
        <f t="shared" si="1"/>
        <v>36.409999999999997</v>
      </c>
      <c r="F30" s="128">
        <f t="shared" si="5"/>
        <v>0</v>
      </c>
      <c r="G30" s="130">
        <f t="shared" si="6"/>
        <v>47.572375197945973</v>
      </c>
      <c r="H30" s="128">
        <f t="shared" si="2"/>
        <v>0</v>
      </c>
      <c r="I30" s="130">
        <f t="shared" si="7"/>
        <v>47.572375197945973</v>
      </c>
      <c r="J30" s="130">
        <f t="shared" si="4"/>
        <v>123.77</v>
      </c>
      <c r="K30" s="128">
        <f t="shared" si="3"/>
        <v>123.77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89.37</v>
      </c>
      <c r="E31" s="128">
        <f t="shared" si="1"/>
        <v>37.25</v>
      </c>
      <c r="F31" s="128">
        <f t="shared" si="5"/>
        <v>0</v>
      </c>
      <c r="G31" s="130">
        <f t="shared" si="6"/>
        <v>48.667804375566938</v>
      </c>
      <c r="H31" s="128">
        <f t="shared" si="2"/>
        <v>0</v>
      </c>
      <c r="I31" s="130">
        <f t="shared" si="7"/>
        <v>48.667804375566938</v>
      </c>
      <c r="J31" s="130">
        <f t="shared" si="4"/>
        <v>126.62</v>
      </c>
      <c r="K31" s="128">
        <f t="shared" si="3"/>
        <v>126.62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91.43</v>
      </c>
      <c r="E32" s="128">
        <f t="shared" si="1"/>
        <v>38.11</v>
      </c>
      <c r="F32" s="128">
        <f t="shared" si="5"/>
        <v>0</v>
      </c>
      <c r="G32" s="130">
        <f t="shared" si="6"/>
        <v>49.790138831234735</v>
      </c>
      <c r="H32" s="128">
        <f t="shared" si="2"/>
        <v>0</v>
      </c>
      <c r="I32" s="130">
        <f t="shared" si="7"/>
        <v>49.790138831234735</v>
      </c>
      <c r="J32" s="130">
        <f t="shared" si="4"/>
        <v>129.54</v>
      </c>
      <c r="K32" s="128">
        <f t="shared" si="3"/>
        <v>129.54000000000002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93.53</v>
      </c>
      <c r="E33" s="128">
        <f t="shared" si="1"/>
        <v>38.99</v>
      </c>
      <c r="F33" s="128">
        <f t="shared" si="5"/>
        <v>0</v>
      </c>
      <c r="G33" s="130">
        <f t="shared" si="6"/>
        <v>50.935534953799802</v>
      </c>
      <c r="H33" s="128">
        <f t="shared" si="2"/>
        <v>0</v>
      </c>
      <c r="I33" s="130">
        <f t="shared" si="7"/>
        <v>50.935534953799802</v>
      </c>
      <c r="J33" s="130">
        <f t="shared" ref="J33:J37" si="8">ROUND(I33*$C$63*8.76,2)</f>
        <v>132.52000000000001</v>
      </c>
      <c r="K33" s="128">
        <f t="shared" si="3"/>
        <v>132.52000000000001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95.68</v>
      </c>
      <c r="E34" s="128">
        <f t="shared" si="1"/>
        <v>39.89</v>
      </c>
      <c r="F34" s="128">
        <f t="shared" si="5"/>
        <v>0</v>
      </c>
      <c r="G34" s="130">
        <f t="shared" si="6"/>
        <v>52.107836354411695</v>
      </c>
      <c r="H34" s="128">
        <f t="shared" si="2"/>
        <v>0</v>
      </c>
      <c r="I34" s="130">
        <f t="shared" si="7"/>
        <v>52.107836354411695</v>
      </c>
      <c r="J34" s="130">
        <f t="shared" si="8"/>
        <v>135.57</v>
      </c>
      <c r="K34" s="128">
        <f t="shared" si="3"/>
        <v>135.57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97.88</v>
      </c>
      <c r="E35" s="128">
        <f t="shared" si="1"/>
        <v>40.81</v>
      </c>
      <c r="F35" s="128">
        <f t="shared" si="5"/>
        <v>0</v>
      </c>
      <c r="G35" s="130">
        <f t="shared" si="6"/>
        <v>53.307043033070435</v>
      </c>
      <c r="H35" s="128">
        <f t="shared" si="2"/>
        <v>0</v>
      </c>
      <c r="I35" s="130">
        <f t="shared" si="7"/>
        <v>53.307043033070435</v>
      </c>
      <c r="J35" s="130">
        <f t="shared" si="8"/>
        <v>138.69</v>
      </c>
      <c r="K35" s="128">
        <f t="shared" si="3"/>
        <v>138.69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100.23</v>
      </c>
      <c r="E36" s="128">
        <f t="shared" si="1"/>
        <v>41.79</v>
      </c>
      <c r="F36" s="128">
        <f t="shared" si="5"/>
        <v>0</v>
      </c>
      <c r="G36" s="130">
        <f t="shared" si="6"/>
        <v>54.58696554586966</v>
      </c>
      <c r="H36" s="128">
        <f t="shared" si="2"/>
        <v>0</v>
      </c>
      <c r="I36" s="130">
        <f t="shared" si="7"/>
        <v>54.58696554586966</v>
      </c>
      <c r="J36" s="130">
        <f t="shared" si="8"/>
        <v>142.02000000000001</v>
      </c>
      <c r="K36" s="128">
        <f t="shared" si="3"/>
        <v>142.02000000000001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102.64</v>
      </c>
      <c r="E37" s="128">
        <f t="shared" si="1"/>
        <v>42.79</v>
      </c>
      <c r="F37" s="128">
        <f t="shared" si="5"/>
        <v>0</v>
      </c>
      <c r="G37" s="130">
        <f t="shared" si="6"/>
        <v>55.897636947865266</v>
      </c>
      <c r="H37" s="128">
        <f t="shared" si="2"/>
        <v>0</v>
      </c>
      <c r="I37" s="130">
        <f t="shared" si="7"/>
        <v>55.897636947865266</v>
      </c>
      <c r="J37" s="130">
        <f t="shared" si="8"/>
        <v>145.43</v>
      </c>
      <c r="K37" s="128">
        <f t="shared" si="3"/>
        <v>145.43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117">
        <v>2024</v>
      </c>
    </row>
    <row r="55" spans="2:25">
      <c r="B55" s="85" t="s">
        <v>101</v>
      </c>
      <c r="C55" s="366">
        <v>1698.6767295711138</v>
      </c>
      <c r="D55" s="117" t="s">
        <v>65</v>
      </c>
      <c r="O55" s="393">
        <v>442.2</v>
      </c>
      <c r="P55" s="117" t="s">
        <v>32</v>
      </c>
      <c r="Q55" s="117" t="s">
        <v>145</v>
      </c>
      <c r="R55" s="117" t="s">
        <v>108</v>
      </c>
      <c r="T55" s="117" t="str">
        <f>$Q$55&amp;"Proposed Station Capital Costs"</f>
        <v>H1.SO1_PVSProposed Station Capital Costs</v>
      </c>
    </row>
    <row r="56" spans="2:25">
      <c r="B56" s="85" t="s">
        <v>101</v>
      </c>
      <c r="C56" s="148">
        <v>24.570618817436728</v>
      </c>
      <c r="D56" s="117" t="s">
        <v>68</v>
      </c>
      <c r="O56" s="393">
        <v>57.8</v>
      </c>
      <c r="P56" s="117" t="s">
        <v>32</v>
      </c>
      <c r="Q56" s="117" t="s">
        <v>146</v>
      </c>
      <c r="R56" s="119"/>
      <c r="T56" s="117" t="str">
        <f>$Q$55&amp;"Proposed Station Fixed Costs"</f>
        <v>H1.SO1_PVSProposed Station Fixed Costs</v>
      </c>
    </row>
    <row r="57" spans="2:25" ht="24" customHeight="1">
      <c r="B57" s="85"/>
      <c r="C57" s="153"/>
      <c r="D57" s="117" t="s">
        <v>105</v>
      </c>
      <c r="Q57" s="338" t="str">
        <f>Q55&amp;Q54</f>
        <v>H1.SO1_PVS2024</v>
      </c>
      <c r="T57" s="117" t="str">
        <f>$Q$55&amp;"Proposed Station Variable O&amp;M Costs"</f>
        <v>H1.SO1_PVSProposed Station Variable O&amp;M Costs</v>
      </c>
    </row>
    <row r="58" spans="2:25">
      <c r="B58" s="85" t="s">
        <v>101</v>
      </c>
      <c r="C58" s="148">
        <v>0</v>
      </c>
      <c r="D58" s="117" t="s">
        <v>69</v>
      </c>
      <c r="K58" s="119"/>
      <c r="L58" s="367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368" t="s">
        <v>91</v>
      </c>
      <c r="L59" s="369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IFERROR(LEFT(RIGHT(INDEX('Table 3 TransCost'!$39:$39,1,MATCH(F60,'Table 3 TransCost'!$4:$4,0)),6),5),"-")</f>
        <v>-</v>
      </c>
      <c r="C60" s="153">
        <f>IFERROR(INDEX('Table 3 TransCost'!$39:$39,1,MATCH(F60,'Table 3 TransCost'!$4:$4,0)+2),0)</f>
        <v>0</v>
      </c>
      <c r="D60" s="117" t="s">
        <v>218</v>
      </c>
      <c r="F60" s="117" t="s">
        <v>223</v>
      </c>
      <c r="K60" s="369"/>
      <c r="L60" s="369"/>
      <c r="M60" s="369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369"/>
      <c r="L61" s="369"/>
      <c r="M61" s="369"/>
      <c r="N61" s="164"/>
      <c r="O61" s="369"/>
      <c r="R61" s="119"/>
      <c r="T61" s="119"/>
      <c r="U61" s="119"/>
      <c r="V61" s="119"/>
      <c r="W61" s="119"/>
      <c r="X61" s="119"/>
      <c r="Y61" s="119"/>
    </row>
    <row r="62" spans="2:25">
      <c r="C62" s="370">
        <v>5.0849999999999999E-2</v>
      </c>
      <c r="D62" s="117" t="s">
        <v>36</v>
      </c>
      <c r="E62" s="117" t="s">
        <v>109</v>
      </c>
      <c r="K62" s="289"/>
      <c r="L62" s="156"/>
      <c r="M62" s="156"/>
      <c r="O62" s="157"/>
    </row>
    <row r="63" spans="2:25">
      <c r="C63" s="371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39">
        <v>1295.0860323886641</v>
      </c>
      <c r="D18" s="128">
        <f>C18*$C$62</f>
        <v>65.855124746963568</v>
      </c>
      <c r="E18" s="128">
        <f t="shared" si="1"/>
        <v>27.48</v>
      </c>
      <c r="F18" s="128">
        <f>C60</f>
        <v>0.39132049215213044</v>
      </c>
      <c r="G18" s="130">
        <f>(D18+E18+F18)/(8.76*$C$63)</f>
        <v>41.151407287985471</v>
      </c>
      <c r="H18" s="128">
        <f t="shared" si="2"/>
        <v>0</v>
      </c>
      <c r="I18" s="130">
        <f>(G18+H18)</f>
        <v>41.151407287985471</v>
      </c>
      <c r="J18" s="130">
        <f t="shared" ref="J18:J32" si="4">ROUND(I18*$C$63*8.76,2)</f>
        <v>93.73</v>
      </c>
      <c r="K18" s="128">
        <f t="shared" si="3"/>
        <v>93.726445239115705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67.44</v>
      </c>
      <c r="E19" s="128">
        <f t="shared" si="1"/>
        <v>28.14</v>
      </c>
      <c r="F19" s="128">
        <f t="shared" si="5"/>
        <v>0.4</v>
      </c>
      <c r="G19" s="130">
        <f t="shared" ref="G19:G37" si="6">(D19+E19+F19)/(8.76*$C$63)</f>
        <v>42.14085001756235</v>
      </c>
      <c r="H19" s="128">
        <f t="shared" si="2"/>
        <v>0</v>
      </c>
      <c r="I19" s="130">
        <f t="shared" ref="I19:I37" si="7">(G19+H19)</f>
        <v>42.14085001756235</v>
      </c>
      <c r="J19" s="130">
        <f t="shared" si="4"/>
        <v>95.98</v>
      </c>
      <c r="K19" s="128">
        <f t="shared" si="3"/>
        <v>95.98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69.13</v>
      </c>
      <c r="E20" s="128">
        <f t="shared" si="1"/>
        <v>28.84</v>
      </c>
      <c r="F20" s="128">
        <f t="shared" si="5"/>
        <v>0.41</v>
      </c>
      <c r="G20" s="130">
        <f t="shared" si="6"/>
        <v>43.19459079733052</v>
      </c>
      <c r="H20" s="128">
        <f t="shared" si="2"/>
        <v>0</v>
      </c>
      <c r="I20" s="130">
        <f t="shared" si="7"/>
        <v>43.19459079733052</v>
      </c>
      <c r="J20" s="130">
        <f t="shared" si="4"/>
        <v>98.38</v>
      </c>
      <c r="K20" s="128">
        <f t="shared" si="3"/>
        <v>98.38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70.86</v>
      </c>
      <c r="E21" s="128">
        <f t="shared" si="1"/>
        <v>29.56</v>
      </c>
      <c r="F21" s="128">
        <f t="shared" si="5"/>
        <v>0.42</v>
      </c>
      <c r="G21" s="130">
        <f t="shared" si="6"/>
        <v>44.274675096592908</v>
      </c>
      <c r="H21" s="128">
        <f t="shared" si="2"/>
        <v>0</v>
      </c>
      <c r="I21" s="130">
        <f t="shared" si="7"/>
        <v>44.274675096592908</v>
      </c>
      <c r="J21" s="130">
        <f t="shared" si="4"/>
        <v>100.84</v>
      </c>
      <c r="K21" s="128">
        <f t="shared" si="3"/>
        <v>100.84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72.56</v>
      </c>
      <c r="E22" s="128">
        <f t="shared" si="1"/>
        <v>30.27</v>
      </c>
      <c r="F22" s="128">
        <f t="shared" si="5"/>
        <v>0.43</v>
      </c>
      <c r="G22" s="130">
        <f t="shared" si="6"/>
        <v>45.33719704952582</v>
      </c>
      <c r="H22" s="128">
        <f t="shared" si="2"/>
        <v>0</v>
      </c>
      <c r="I22" s="130">
        <f t="shared" si="7"/>
        <v>45.33719704952582</v>
      </c>
      <c r="J22" s="130">
        <f t="shared" si="4"/>
        <v>103.26</v>
      </c>
      <c r="K22" s="128">
        <f t="shared" si="3"/>
        <v>103.26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74.3</v>
      </c>
      <c r="E23" s="128">
        <f t="shared" si="1"/>
        <v>31</v>
      </c>
      <c r="F23" s="128">
        <f t="shared" si="5"/>
        <v>0.44</v>
      </c>
      <c r="G23" s="130">
        <f t="shared" si="6"/>
        <v>46.426062521952929</v>
      </c>
      <c r="H23" s="128">
        <f t="shared" si="2"/>
        <v>0</v>
      </c>
      <c r="I23" s="130">
        <f t="shared" si="7"/>
        <v>46.426062521952929</v>
      </c>
      <c r="J23" s="130">
        <f t="shared" si="4"/>
        <v>105.74</v>
      </c>
      <c r="K23" s="128">
        <f t="shared" si="3"/>
        <v>105.74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76.010000000000005</v>
      </c>
      <c r="E24" s="128">
        <f t="shared" si="1"/>
        <v>31.71</v>
      </c>
      <c r="F24" s="128">
        <f t="shared" si="5"/>
        <v>0.45</v>
      </c>
      <c r="G24" s="130">
        <f t="shared" si="6"/>
        <v>47.492975061468215</v>
      </c>
      <c r="H24" s="128">
        <f t="shared" si="2"/>
        <v>0</v>
      </c>
      <c r="I24" s="130">
        <f t="shared" si="7"/>
        <v>47.492975061468215</v>
      </c>
      <c r="J24" s="130">
        <f t="shared" si="4"/>
        <v>108.17</v>
      </c>
      <c r="K24" s="128">
        <f t="shared" si="3"/>
        <v>108.17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77.760000000000005</v>
      </c>
      <c r="E25" s="128">
        <f t="shared" si="1"/>
        <v>32.44</v>
      </c>
      <c r="F25" s="128">
        <f t="shared" si="5"/>
        <v>0.46</v>
      </c>
      <c r="G25" s="130">
        <f t="shared" si="6"/>
        <v>48.586231120477692</v>
      </c>
      <c r="H25" s="128">
        <f t="shared" si="2"/>
        <v>0</v>
      </c>
      <c r="I25" s="130">
        <f t="shared" si="7"/>
        <v>48.586231120477692</v>
      </c>
      <c r="J25" s="130">
        <f t="shared" si="4"/>
        <v>110.66</v>
      </c>
      <c r="K25" s="128">
        <f t="shared" si="3"/>
        <v>110.66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79.55</v>
      </c>
      <c r="E26" s="128">
        <f t="shared" si="1"/>
        <v>33.19</v>
      </c>
      <c r="F26" s="128">
        <f t="shared" si="5"/>
        <v>0.47</v>
      </c>
      <c r="G26" s="130">
        <f t="shared" si="6"/>
        <v>49.70583069898138</v>
      </c>
      <c r="H26" s="128">
        <f t="shared" si="2"/>
        <v>0</v>
      </c>
      <c r="I26" s="130">
        <f t="shared" si="7"/>
        <v>49.70583069898138</v>
      </c>
      <c r="J26" s="130">
        <f t="shared" si="4"/>
        <v>113.21</v>
      </c>
      <c r="K26" s="128">
        <f t="shared" si="3"/>
        <v>113.21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81.38</v>
      </c>
      <c r="E27" s="128">
        <f t="shared" si="1"/>
        <v>33.950000000000003</v>
      </c>
      <c r="F27" s="128">
        <f t="shared" si="5"/>
        <v>0.48</v>
      </c>
      <c r="G27" s="130">
        <f t="shared" si="6"/>
        <v>50.847383210396906</v>
      </c>
      <c r="H27" s="128">
        <f t="shared" si="2"/>
        <v>0</v>
      </c>
      <c r="I27" s="130">
        <f t="shared" si="7"/>
        <v>50.847383210396906</v>
      </c>
      <c r="J27" s="130">
        <f t="shared" si="4"/>
        <v>115.81</v>
      </c>
      <c r="K27" s="128">
        <f t="shared" si="3"/>
        <v>115.81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83.33</v>
      </c>
      <c r="E28" s="128">
        <f t="shared" si="1"/>
        <v>34.76</v>
      </c>
      <c r="F28" s="128">
        <f t="shared" si="5"/>
        <v>0.49</v>
      </c>
      <c r="G28" s="130">
        <f t="shared" si="6"/>
        <v>52.063575693712679</v>
      </c>
      <c r="H28" s="128">
        <f t="shared" si="2"/>
        <v>0</v>
      </c>
      <c r="I28" s="130">
        <f t="shared" si="7"/>
        <v>52.063575693712679</v>
      </c>
      <c r="J28" s="130">
        <f t="shared" si="4"/>
        <v>118.58</v>
      </c>
      <c r="K28" s="128">
        <f t="shared" si="3"/>
        <v>118.58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85.33</v>
      </c>
      <c r="E29" s="128">
        <f t="shared" si="1"/>
        <v>35.590000000000003</v>
      </c>
      <c r="F29" s="128">
        <f t="shared" si="5"/>
        <v>0.5</v>
      </c>
      <c r="G29" s="130">
        <f t="shared" si="6"/>
        <v>53.310502283105023</v>
      </c>
      <c r="H29" s="128">
        <f t="shared" si="2"/>
        <v>0</v>
      </c>
      <c r="I29" s="130">
        <f t="shared" si="7"/>
        <v>53.310502283105023</v>
      </c>
      <c r="J29" s="130">
        <f t="shared" si="4"/>
        <v>121.42</v>
      </c>
      <c r="K29" s="128">
        <f t="shared" si="3"/>
        <v>121.42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87.29</v>
      </c>
      <c r="E30" s="128">
        <f t="shared" si="1"/>
        <v>36.409999999999997</v>
      </c>
      <c r="F30" s="128">
        <f t="shared" si="5"/>
        <v>0.51</v>
      </c>
      <c r="G30" s="130">
        <f t="shared" si="6"/>
        <v>54.535475939585531</v>
      </c>
      <c r="H30" s="128">
        <f t="shared" si="2"/>
        <v>0</v>
      </c>
      <c r="I30" s="130">
        <f t="shared" si="7"/>
        <v>54.535475939585531</v>
      </c>
      <c r="J30" s="130">
        <f t="shared" si="4"/>
        <v>124.21</v>
      </c>
      <c r="K30" s="128">
        <f t="shared" si="3"/>
        <v>124.21000000000001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89.3</v>
      </c>
      <c r="E31" s="128">
        <f t="shared" si="1"/>
        <v>37.25</v>
      </c>
      <c r="F31" s="128">
        <f t="shared" si="5"/>
        <v>0.52</v>
      </c>
      <c r="G31" s="130">
        <f t="shared" si="6"/>
        <v>55.791183702142604</v>
      </c>
      <c r="H31" s="128">
        <f t="shared" si="2"/>
        <v>0</v>
      </c>
      <c r="I31" s="130">
        <f t="shared" si="7"/>
        <v>55.791183702142604</v>
      </c>
      <c r="J31" s="130">
        <f t="shared" si="4"/>
        <v>127.07</v>
      </c>
      <c r="K31" s="128">
        <f t="shared" si="3"/>
        <v>127.07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91.35</v>
      </c>
      <c r="E32" s="128">
        <f t="shared" si="1"/>
        <v>38.11</v>
      </c>
      <c r="F32" s="128">
        <f t="shared" si="5"/>
        <v>0.53</v>
      </c>
      <c r="G32" s="130">
        <f t="shared" si="6"/>
        <v>57.073234984193881</v>
      </c>
      <c r="H32" s="128">
        <f t="shared" si="2"/>
        <v>0</v>
      </c>
      <c r="I32" s="130">
        <f t="shared" si="7"/>
        <v>57.073234984193881</v>
      </c>
      <c r="J32" s="130">
        <f t="shared" si="4"/>
        <v>129.99</v>
      </c>
      <c r="K32" s="128">
        <f t="shared" si="3"/>
        <v>129.98999999999998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93.45</v>
      </c>
      <c r="E33" s="128">
        <f t="shared" si="1"/>
        <v>38.99</v>
      </c>
      <c r="F33" s="128">
        <f t="shared" si="5"/>
        <v>0.54</v>
      </c>
      <c r="G33" s="130">
        <f t="shared" si="6"/>
        <v>58.386020372321738</v>
      </c>
      <c r="H33" s="128">
        <f t="shared" si="2"/>
        <v>0</v>
      </c>
      <c r="I33" s="130">
        <f t="shared" si="7"/>
        <v>58.386020372321738</v>
      </c>
      <c r="J33" s="130">
        <f t="shared" ref="J33:J37" si="8">ROUND(I33*$C$63*8.76,2)</f>
        <v>132.97999999999999</v>
      </c>
      <c r="K33" s="128">
        <f t="shared" si="3"/>
        <v>132.97999999999999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95.6</v>
      </c>
      <c r="E34" s="128">
        <f t="shared" si="1"/>
        <v>39.89</v>
      </c>
      <c r="F34" s="128">
        <f t="shared" si="5"/>
        <v>0.55000000000000004</v>
      </c>
      <c r="G34" s="130">
        <f t="shared" si="6"/>
        <v>59.729539866526174</v>
      </c>
      <c r="H34" s="128">
        <f t="shared" si="2"/>
        <v>0</v>
      </c>
      <c r="I34" s="130">
        <f t="shared" si="7"/>
        <v>59.729539866526174</v>
      </c>
      <c r="J34" s="130">
        <f t="shared" si="8"/>
        <v>136.04</v>
      </c>
      <c r="K34" s="128">
        <f t="shared" si="3"/>
        <v>136.04000000000002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97.8</v>
      </c>
      <c r="E35" s="128">
        <f t="shared" si="1"/>
        <v>40.81</v>
      </c>
      <c r="F35" s="128">
        <f t="shared" si="5"/>
        <v>0.56000000000000005</v>
      </c>
      <c r="G35" s="130">
        <f t="shared" si="6"/>
        <v>61.103793466807168</v>
      </c>
      <c r="H35" s="128">
        <f t="shared" si="2"/>
        <v>0</v>
      </c>
      <c r="I35" s="130">
        <f t="shared" si="7"/>
        <v>61.103793466807168</v>
      </c>
      <c r="J35" s="130">
        <f t="shared" si="8"/>
        <v>139.16999999999999</v>
      </c>
      <c r="K35" s="128">
        <f t="shared" si="3"/>
        <v>139.17000000000002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100.15</v>
      </c>
      <c r="E36" s="128">
        <f t="shared" si="1"/>
        <v>41.79</v>
      </c>
      <c r="F36" s="128">
        <f t="shared" si="5"/>
        <v>0.56999999999999995</v>
      </c>
      <c r="G36" s="130">
        <f t="shared" si="6"/>
        <v>62.570249385317872</v>
      </c>
      <c r="H36" s="128">
        <f t="shared" si="2"/>
        <v>0</v>
      </c>
      <c r="I36" s="130">
        <f t="shared" si="7"/>
        <v>62.570249385317872</v>
      </c>
      <c r="J36" s="130">
        <f t="shared" si="8"/>
        <v>142.51</v>
      </c>
      <c r="K36" s="128">
        <f t="shared" si="3"/>
        <v>142.51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102.55</v>
      </c>
      <c r="E37" s="128">
        <f t="shared" si="1"/>
        <v>42.79</v>
      </c>
      <c r="F37" s="128">
        <f t="shared" si="5"/>
        <v>0.57999999999999996</v>
      </c>
      <c r="G37" s="130">
        <f t="shared" si="6"/>
        <v>64.067439409905163</v>
      </c>
      <c r="H37" s="128">
        <f t="shared" si="2"/>
        <v>0</v>
      </c>
      <c r="I37" s="130">
        <f t="shared" si="7"/>
        <v>64.067439409905163</v>
      </c>
      <c r="J37" s="130">
        <f t="shared" si="8"/>
        <v>145.91999999999999</v>
      </c>
      <c r="K37" s="128">
        <f t="shared" si="3"/>
        <v>145.92000000000002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42">
        <v>395.2</v>
      </c>
      <c r="P55" s="117" t="s">
        <v>32</v>
      </c>
      <c r="Q55" s="274" t="s">
        <v>150</v>
      </c>
      <c r="R55" s="274" t="s">
        <v>108</v>
      </c>
      <c r="T55" s="274" t="str">
        <f>$Q$55&amp;"Proposed Station Capital Costs"</f>
        <v>L1.YK1_PVSProposed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42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39">
        <v>1230.020455873758</v>
      </c>
      <c r="D18" s="128">
        <f>C18*$C$65</f>
        <v>62.546540181180596</v>
      </c>
      <c r="E18" s="128">
        <f t="shared" si="1"/>
        <v>27.48</v>
      </c>
      <c r="F18" s="128">
        <f>C63</f>
        <v>2.5818101631996475</v>
      </c>
      <c r="G18" s="130">
        <f t="shared" ref="G18:G37" si="4">(D18+E18+F18)/(8.76*$C$66)</f>
        <v>35.122024888264477</v>
      </c>
      <c r="H18" s="128">
        <f t="shared" si="2"/>
        <v>0</v>
      </c>
      <c r="I18" s="130">
        <f>(G18+H18)</f>
        <v>35.122024888264477</v>
      </c>
      <c r="J18" s="130">
        <f t="shared" ref="J18:J37" si="5">ROUND(I18*$C$66*8.76,2)</f>
        <v>92.61</v>
      </c>
      <c r="K18" s="128">
        <f t="shared" si="3"/>
        <v>92.608350344380241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64.05</v>
      </c>
      <c r="E19" s="128">
        <f t="shared" si="1"/>
        <v>28.14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35.964592909479819</v>
      </c>
      <c r="H19" s="128">
        <f t="shared" si="2"/>
        <v>0</v>
      </c>
      <c r="I19" s="130">
        <f t="shared" ref="I19:I37" si="8">(G19+H19)</f>
        <v>35.964592909479819</v>
      </c>
      <c r="J19" s="130">
        <f t="shared" si="5"/>
        <v>94.83</v>
      </c>
      <c r="K19" s="128">
        <f t="shared" si="3"/>
        <v>94.83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65.650000000000006</v>
      </c>
      <c r="E20" s="128">
        <f t="shared" si="1"/>
        <v>28.84</v>
      </c>
      <c r="F20" s="128">
        <f t="shared" si="7"/>
        <v>2.71</v>
      </c>
      <c r="G20" s="130">
        <f t="shared" si="4"/>
        <v>36.863423292222279</v>
      </c>
      <c r="H20" s="128">
        <f t="shared" si="2"/>
        <v>0</v>
      </c>
      <c r="I20" s="130">
        <f t="shared" si="8"/>
        <v>36.863423292222279</v>
      </c>
      <c r="J20" s="130">
        <f t="shared" si="5"/>
        <v>97.2</v>
      </c>
      <c r="K20" s="128">
        <f t="shared" si="3"/>
        <v>97.2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67.290000000000006</v>
      </c>
      <c r="E21" s="128">
        <f t="shared" si="1"/>
        <v>29.56</v>
      </c>
      <c r="F21" s="128">
        <f t="shared" si="7"/>
        <v>2.78</v>
      </c>
      <c r="G21" s="130">
        <f t="shared" si="4"/>
        <v>37.78500887452784</v>
      </c>
      <c r="H21" s="128">
        <f t="shared" si="2"/>
        <v>0</v>
      </c>
      <c r="I21" s="130">
        <f t="shared" si="8"/>
        <v>37.78500887452784</v>
      </c>
      <c r="J21" s="130">
        <f t="shared" si="5"/>
        <v>99.63</v>
      </c>
      <c r="K21" s="128">
        <f t="shared" si="3"/>
        <v>99.63000000000001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68.900000000000006</v>
      </c>
      <c r="E22" s="128">
        <f t="shared" si="1"/>
        <v>30.27</v>
      </c>
      <c r="F22" s="128">
        <f t="shared" si="7"/>
        <v>2.85</v>
      </c>
      <c r="G22" s="130">
        <f t="shared" si="4"/>
        <v>38.691424323791324</v>
      </c>
      <c r="H22" s="128">
        <f t="shared" si="2"/>
        <v>0</v>
      </c>
      <c r="I22" s="130">
        <f t="shared" si="8"/>
        <v>38.691424323791324</v>
      </c>
      <c r="J22" s="130">
        <f t="shared" si="5"/>
        <v>102.02</v>
      </c>
      <c r="K22" s="128">
        <f t="shared" si="3"/>
        <v>102.02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70.55</v>
      </c>
      <c r="E23" s="128">
        <f t="shared" si="1"/>
        <v>31</v>
      </c>
      <c r="F23" s="128">
        <f t="shared" si="7"/>
        <v>2.92</v>
      </c>
      <c r="G23" s="130">
        <f t="shared" si="4"/>
        <v>39.620594972617916</v>
      </c>
      <c r="H23" s="128">
        <f t="shared" si="2"/>
        <v>0</v>
      </c>
      <c r="I23" s="130">
        <f t="shared" si="8"/>
        <v>39.620594972617916</v>
      </c>
      <c r="J23" s="130">
        <f t="shared" si="5"/>
        <v>104.47</v>
      </c>
      <c r="K23" s="128">
        <f t="shared" si="3"/>
        <v>104.47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72.17</v>
      </c>
      <c r="E24" s="128">
        <f t="shared" si="1"/>
        <v>31.71</v>
      </c>
      <c r="F24" s="128">
        <f t="shared" si="7"/>
        <v>2.99</v>
      </c>
      <c r="G24" s="130">
        <f t="shared" si="4"/>
        <v>40.530802955141915</v>
      </c>
      <c r="H24" s="128">
        <f t="shared" si="2"/>
        <v>0</v>
      </c>
      <c r="I24" s="130">
        <f t="shared" si="8"/>
        <v>40.530802955141915</v>
      </c>
      <c r="J24" s="130">
        <f t="shared" si="5"/>
        <v>106.87</v>
      </c>
      <c r="K24" s="128">
        <f t="shared" si="3"/>
        <v>106.86999999999999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73.83</v>
      </c>
      <c r="E25" s="128">
        <f t="shared" si="1"/>
        <v>32.44</v>
      </c>
      <c r="F25" s="128">
        <f t="shared" si="7"/>
        <v>3.06</v>
      </c>
      <c r="G25" s="130">
        <f t="shared" si="4"/>
        <v>41.46376613722903</v>
      </c>
      <c r="H25" s="128">
        <f t="shared" si="2"/>
        <v>0</v>
      </c>
      <c r="I25" s="130">
        <f t="shared" si="8"/>
        <v>41.46376613722903</v>
      </c>
      <c r="J25" s="130">
        <f t="shared" si="5"/>
        <v>109.33</v>
      </c>
      <c r="K25" s="128">
        <f t="shared" si="3"/>
        <v>109.33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75.53</v>
      </c>
      <c r="E26" s="128">
        <f t="shared" si="1"/>
        <v>33.19</v>
      </c>
      <c r="F26" s="128">
        <f t="shared" si="7"/>
        <v>3.13</v>
      </c>
      <c r="G26" s="130">
        <f t="shared" si="4"/>
        <v>42.41948451887923</v>
      </c>
      <c r="H26" s="128">
        <f t="shared" si="2"/>
        <v>0</v>
      </c>
      <c r="I26" s="130">
        <f t="shared" si="8"/>
        <v>42.41948451887923</v>
      </c>
      <c r="J26" s="130">
        <f t="shared" si="5"/>
        <v>111.85</v>
      </c>
      <c r="K26" s="128">
        <f t="shared" si="3"/>
        <v>111.85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77.27</v>
      </c>
      <c r="E27" s="128">
        <f t="shared" si="1"/>
        <v>33.950000000000003</v>
      </c>
      <c r="F27" s="128">
        <f t="shared" si="7"/>
        <v>3.2</v>
      </c>
      <c r="G27" s="130">
        <f t="shared" si="4"/>
        <v>43.394165566832022</v>
      </c>
      <c r="H27" s="128">
        <f t="shared" si="2"/>
        <v>0</v>
      </c>
      <c r="I27" s="130">
        <f t="shared" si="8"/>
        <v>43.394165566832022</v>
      </c>
      <c r="J27" s="130">
        <f t="shared" si="5"/>
        <v>114.42</v>
      </c>
      <c r="K27" s="128">
        <f t="shared" si="3"/>
        <v>114.42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79.12</v>
      </c>
      <c r="E28" s="128">
        <f t="shared" si="1"/>
        <v>34.76</v>
      </c>
      <c r="F28" s="128">
        <f t="shared" si="7"/>
        <v>3.28</v>
      </c>
      <c r="G28" s="130">
        <f t="shared" si="4"/>
        <v>44.4333196802136</v>
      </c>
      <c r="H28" s="128">
        <f t="shared" si="2"/>
        <v>0</v>
      </c>
      <c r="I28" s="130">
        <f t="shared" si="8"/>
        <v>44.4333196802136</v>
      </c>
      <c r="J28" s="130">
        <f t="shared" si="5"/>
        <v>117.16</v>
      </c>
      <c r="K28" s="128">
        <f t="shared" si="3"/>
        <v>117.16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81.02</v>
      </c>
      <c r="E29" s="128">
        <f t="shared" si="1"/>
        <v>35.590000000000003</v>
      </c>
      <c r="F29" s="128">
        <f t="shared" si="7"/>
        <v>3.36</v>
      </c>
      <c r="G29" s="130">
        <f t="shared" si="4"/>
        <v>45.499021526418787</v>
      </c>
      <c r="H29" s="128">
        <f t="shared" si="2"/>
        <v>0</v>
      </c>
      <c r="I29" s="130">
        <f t="shared" si="8"/>
        <v>45.499021526418787</v>
      </c>
      <c r="J29" s="130">
        <f t="shared" si="5"/>
        <v>119.97</v>
      </c>
      <c r="K29" s="128">
        <f t="shared" si="3"/>
        <v>119.97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82.88</v>
      </c>
      <c r="E30" s="128">
        <f t="shared" si="1"/>
        <v>36.409999999999997</v>
      </c>
      <c r="F30" s="128">
        <f t="shared" si="7"/>
        <v>3.44</v>
      </c>
      <c r="G30" s="130">
        <f t="shared" si="4"/>
        <v>46.545760706321396</v>
      </c>
      <c r="H30" s="128">
        <f t="shared" si="2"/>
        <v>0</v>
      </c>
      <c r="I30" s="130">
        <f t="shared" si="8"/>
        <v>46.545760706321396</v>
      </c>
      <c r="J30" s="130">
        <f t="shared" si="5"/>
        <v>122.73</v>
      </c>
      <c r="K30" s="128">
        <f t="shared" si="3"/>
        <v>122.72999999999999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84.79</v>
      </c>
      <c r="E31" s="128">
        <f t="shared" si="1"/>
        <v>37.25</v>
      </c>
      <c r="F31" s="128">
        <f t="shared" si="7"/>
        <v>3.52</v>
      </c>
      <c r="G31" s="130">
        <f t="shared" si="4"/>
        <v>47.619047619047628</v>
      </c>
      <c r="H31" s="128">
        <f t="shared" si="2"/>
        <v>0</v>
      </c>
      <c r="I31" s="130">
        <f t="shared" si="8"/>
        <v>47.619047619047628</v>
      </c>
      <c r="J31" s="130">
        <f t="shared" si="5"/>
        <v>125.56</v>
      </c>
      <c r="K31" s="128">
        <f t="shared" si="3"/>
        <v>125.56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86.74</v>
      </c>
      <c r="E32" s="128">
        <f t="shared" si="1"/>
        <v>38.11</v>
      </c>
      <c r="F32" s="128">
        <f t="shared" si="7"/>
        <v>3.6</v>
      </c>
      <c r="G32" s="130">
        <f t="shared" si="4"/>
        <v>48.715089731336946</v>
      </c>
      <c r="H32" s="128">
        <f t="shared" si="2"/>
        <v>0</v>
      </c>
      <c r="I32" s="130">
        <f t="shared" si="8"/>
        <v>48.715089731336946</v>
      </c>
      <c r="J32" s="130">
        <f t="shared" si="5"/>
        <v>128.44999999999999</v>
      </c>
      <c r="K32" s="128">
        <f t="shared" si="3"/>
        <v>128.44999999999999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88.74</v>
      </c>
      <c r="E33" s="128">
        <f t="shared" si="1"/>
        <v>38.99</v>
      </c>
      <c r="F33" s="128">
        <f t="shared" si="7"/>
        <v>3.68</v>
      </c>
      <c r="G33" s="130">
        <f t="shared" si="4"/>
        <v>49.837679576449887</v>
      </c>
      <c r="H33" s="128">
        <f t="shared" si="2"/>
        <v>0</v>
      </c>
      <c r="I33" s="130">
        <f t="shared" si="8"/>
        <v>49.837679576449887</v>
      </c>
      <c r="J33" s="130">
        <f t="shared" si="5"/>
        <v>131.41</v>
      </c>
      <c r="K33" s="128">
        <f t="shared" si="3"/>
        <v>131.41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90.78</v>
      </c>
      <c r="E34" s="128">
        <f t="shared" si="1"/>
        <v>39.89</v>
      </c>
      <c r="F34" s="128">
        <f t="shared" si="7"/>
        <v>3.76</v>
      </c>
      <c r="G34" s="130">
        <f t="shared" si="4"/>
        <v>50.983024621125935</v>
      </c>
      <c r="H34" s="128">
        <f t="shared" si="2"/>
        <v>0</v>
      </c>
      <c r="I34" s="130">
        <f t="shared" si="8"/>
        <v>50.983024621125935</v>
      </c>
      <c r="J34" s="130">
        <f t="shared" si="5"/>
        <v>134.43</v>
      </c>
      <c r="K34" s="128">
        <f t="shared" si="3"/>
        <v>134.43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92.87</v>
      </c>
      <c r="E35" s="128">
        <f t="shared" si="1"/>
        <v>40.81</v>
      </c>
      <c r="F35" s="128">
        <f t="shared" si="7"/>
        <v>3.85</v>
      </c>
      <c r="G35" s="130">
        <f t="shared" si="4"/>
        <v>52.158709931886108</v>
      </c>
      <c r="H35" s="128">
        <f t="shared" si="2"/>
        <v>0</v>
      </c>
      <c r="I35" s="130">
        <f t="shared" si="8"/>
        <v>52.158709931886108</v>
      </c>
      <c r="J35" s="130">
        <f t="shared" si="5"/>
        <v>137.53</v>
      </c>
      <c r="K35" s="128">
        <f t="shared" si="3"/>
        <v>137.53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95.1</v>
      </c>
      <c r="E36" s="128">
        <f t="shared" si="1"/>
        <v>41.79</v>
      </c>
      <c r="F36" s="128">
        <f t="shared" si="7"/>
        <v>3.94</v>
      </c>
      <c r="G36" s="130">
        <f t="shared" si="4"/>
        <v>53.410245907856613</v>
      </c>
      <c r="H36" s="128">
        <f t="shared" si="2"/>
        <v>0</v>
      </c>
      <c r="I36" s="130">
        <f t="shared" si="8"/>
        <v>53.410245907856613</v>
      </c>
      <c r="J36" s="130">
        <f t="shared" si="5"/>
        <v>140.83000000000001</v>
      </c>
      <c r="K36" s="128">
        <f t="shared" si="3"/>
        <v>140.82999999999998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97.38</v>
      </c>
      <c r="E37" s="128">
        <f t="shared" si="1"/>
        <v>42.79</v>
      </c>
      <c r="F37" s="128">
        <f t="shared" si="7"/>
        <v>4.03</v>
      </c>
      <c r="G37" s="130">
        <f t="shared" si="4"/>
        <v>54.688329616650741</v>
      </c>
      <c r="H37" s="128">
        <f t="shared" si="2"/>
        <v>0</v>
      </c>
      <c r="I37" s="130">
        <f t="shared" si="8"/>
        <v>54.688329616650741</v>
      </c>
      <c r="J37" s="130">
        <f t="shared" si="5"/>
        <v>144.19999999999999</v>
      </c>
      <c r="K37" s="128">
        <f t="shared" si="3"/>
        <v>144.19999999999999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97.38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42.79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4.03</v>
      </c>
      <c r="G38" s="130">
        <f t="shared" ref="G38:G40" si="12">(D38+E38+F38)/(8.76*$C$66)</f>
        <v>54.688329616650741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54.688329616650741</v>
      </c>
      <c r="J38" s="130">
        <f t="shared" ref="J38:J41" si="15">ROUND(I38*$C$66*8.76,2)</f>
        <v>144.19999999999999</v>
      </c>
      <c r="K38" s="128">
        <f t="shared" ref="K38:K40" si="16">(D38+E38+F38)</f>
        <v>144.19999999999999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97.38</v>
      </c>
      <c r="E39" s="128">
        <f t="shared" si="10"/>
        <v>42.79</v>
      </c>
      <c r="F39" s="128">
        <f t="shared" si="11"/>
        <v>4.03</v>
      </c>
      <c r="G39" s="130">
        <f t="shared" si="12"/>
        <v>54.688329616650741</v>
      </c>
      <c r="H39" s="128">
        <f t="shared" si="13"/>
        <v>0</v>
      </c>
      <c r="I39" s="130">
        <f t="shared" si="14"/>
        <v>54.688329616650741</v>
      </c>
      <c r="J39" s="130">
        <f t="shared" si="15"/>
        <v>144.19999999999999</v>
      </c>
      <c r="K39" s="128">
        <f t="shared" si="16"/>
        <v>144.19999999999999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97.38</v>
      </c>
      <c r="E40" s="128">
        <f t="shared" si="10"/>
        <v>42.79</v>
      </c>
      <c r="F40" s="128">
        <f t="shared" si="11"/>
        <v>4.03</v>
      </c>
      <c r="G40" s="130">
        <f t="shared" si="12"/>
        <v>54.688329616650741</v>
      </c>
      <c r="H40" s="128">
        <f t="shared" si="13"/>
        <v>0</v>
      </c>
      <c r="I40" s="130">
        <f t="shared" si="14"/>
        <v>54.688329616650741</v>
      </c>
      <c r="J40" s="130">
        <f t="shared" si="15"/>
        <v>144.19999999999999</v>
      </c>
      <c r="K40" s="128">
        <f t="shared" si="16"/>
        <v>144.19999999999999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97.38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42.79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4.03</v>
      </c>
      <c r="G41" s="130">
        <f t="shared" ref="G41" si="20">(D41+E41+F41)/(8.76*$C$66)</f>
        <v>54.688329616650741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54.688329616650741</v>
      </c>
      <c r="J41" s="130">
        <f t="shared" si="15"/>
        <v>144.19999999999999</v>
      </c>
      <c r="K41" s="128">
        <f t="shared" ref="K41" si="23">(D41+E41+F41)</f>
        <v>144.19999999999999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4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2">
        <v>342.2</v>
      </c>
      <c r="P58" s="117" t="s">
        <v>32</v>
      </c>
      <c r="Q58" s="274" t="s">
        <v>142</v>
      </c>
      <c r="R58" s="274" t="s">
        <v>108</v>
      </c>
      <c r="T58" s="274" t="str">
        <f>$Q$58&amp;"Proposed Station Capital Costs"</f>
        <v>L1.UN1_PVSProposed Station Capital Costs</v>
      </c>
    </row>
    <row r="59" spans="2:25">
      <c r="B59" s="85" t="s">
        <v>101</v>
      </c>
      <c r="C59" s="268">
        <v>24.570618817436728</v>
      </c>
      <c r="D59" s="117" t="s">
        <v>68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105</v>
      </c>
      <c r="Q60" s="338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101</v>
      </c>
      <c r="C61" s="268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250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6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1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218</v>
      </c>
      <c r="F63" s="274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March 31,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2.5000000000000001E-2</v>
      </c>
      <c r="H69" s="41"/>
      <c r="I69" s="87">
        <f>F77+1</f>
        <v>2035</v>
      </c>
      <c r="J69" s="41">
        <v>2.4E-2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2.5000000000000001E-2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2.4E-2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2.1999999999999999E-2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1.7000000000000001E-2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2.3E-2</v>
      </c>
      <c r="N75" s="164"/>
    </row>
    <row r="76" spans="3:15" s="119" customFormat="1">
      <c r="C76" s="87">
        <f t="shared" si="24"/>
        <v>2024</v>
      </c>
      <c r="D76" s="41">
        <v>2.3E-2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2.4E-2</v>
      </c>
      <c r="N76" s="164"/>
    </row>
    <row r="77" spans="3:15" s="119" customFormat="1">
      <c r="C77" s="87">
        <f t="shared" si="24"/>
        <v>2025</v>
      </c>
      <c r="D77" s="41">
        <v>2.4E-2</v>
      </c>
      <c r="E77" s="86"/>
      <c r="F77" s="87">
        <f t="shared" si="25"/>
        <v>2034</v>
      </c>
      <c r="G77" s="41">
        <v>2.4E-2</v>
      </c>
      <c r="H77" s="41"/>
      <c r="I77" s="87">
        <f t="shared" si="26"/>
        <v>2043</v>
      </c>
      <c r="J77" s="41">
        <v>2.4E-2</v>
      </c>
      <c r="N77" s="164"/>
    </row>
    <row r="78" spans="3:15" s="119" customFormat="1">
      <c r="I78" s="87">
        <f t="shared" si="26"/>
        <v>2044</v>
      </c>
      <c r="J78" s="41">
        <v>2.4E-2</v>
      </c>
      <c r="N78" s="164"/>
    </row>
    <row r="79" spans="3:15" s="119" customFormat="1">
      <c r="I79" s="87">
        <f t="shared" si="26"/>
        <v>2045</v>
      </c>
      <c r="J79" s="41">
        <v>2.4E-2</v>
      </c>
      <c r="N79" s="164"/>
    </row>
    <row r="80" spans="3:15">
      <c r="I80" s="87">
        <f t="shared" si="26"/>
        <v>2046</v>
      </c>
      <c r="J80" s="41">
        <v>2.4E-2</v>
      </c>
    </row>
    <row r="81" spans="3:10">
      <c r="I81" s="87">
        <f t="shared" si="26"/>
        <v>2047</v>
      </c>
      <c r="J81" s="41">
        <v>2.4E-2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2" zoomScale="8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33203125" style="85" customWidth="1"/>
    <col min="7" max="7" width="10.3320312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3320312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6" t="s">
        <v>21</v>
      </c>
      <c r="J8" s="286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73"/>
      <c r="AA9" s="373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74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74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74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8.17</v>
      </c>
      <c r="G19" s="293"/>
      <c r="H19" s="293"/>
      <c r="I19" s="293"/>
      <c r="J19" s="293"/>
      <c r="K19" s="293"/>
      <c r="L19" s="128">
        <f t="shared" si="1"/>
        <v>8.17</v>
      </c>
      <c r="M19" s="41"/>
      <c r="U19" s="164"/>
      <c r="V19" s="160"/>
      <c r="W19" s="160"/>
      <c r="X19" s="374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8.31</v>
      </c>
      <c r="G20" s="293"/>
      <c r="H20" s="293"/>
      <c r="I20" s="293"/>
      <c r="J20" s="293"/>
      <c r="K20" s="293"/>
      <c r="L20" s="128">
        <f t="shared" si="1"/>
        <v>8.31</v>
      </c>
      <c r="M20" s="41"/>
      <c r="U20" s="164"/>
      <c r="V20" s="160"/>
      <c r="W20" s="160"/>
      <c r="X20" s="374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8.48</v>
      </c>
      <c r="G21" s="293"/>
      <c r="H21" s="293"/>
      <c r="I21" s="293"/>
      <c r="J21" s="293"/>
      <c r="K21" s="293"/>
      <c r="L21" s="128">
        <f t="shared" si="1"/>
        <v>8.48</v>
      </c>
      <c r="M21" s="41"/>
      <c r="U21" s="164"/>
      <c r="V21" s="160"/>
      <c r="W21" s="160"/>
      <c r="X21" s="374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8.68</v>
      </c>
      <c r="G22" s="293"/>
      <c r="H22" s="293"/>
      <c r="I22" s="293"/>
      <c r="J22" s="293"/>
      <c r="K22" s="293"/>
      <c r="L22" s="128">
        <f t="shared" si="1"/>
        <v>8.68</v>
      </c>
      <c r="M22" s="41"/>
      <c r="U22" s="164"/>
      <c r="V22" s="160"/>
      <c r="W22" s="160"/>
      <c r="X22" s="374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8.89</v>
      </c>
      <c r="G23" s="293"/>
      <c r="H23" s="293"/>
      <c r="I23" s="293"/>
      <c r="J23" s="293"/>
      <c r="K23" s="293"/>
      <c r="L23" s="128">
        <f t="shared" si="1"/>
        <v>8.89</v>
      </c>
      <c r="M23" s="41"/>
      <c r="U23" s="164"/>
      <c r="V23" s="160"/>
      <c r="W23" s="160"/>
      <c r="X23" s="374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136">
        <v>718.66414277988076</v>
      </c>
      <c r="D24" s="291">
        <f>ROUND(C24*$C$74,2)</f>
        <v>50.01</v>
      </c>
      <c r="E24" s="148">
        <v>38.05330989724176</v>
      </c>
      <c r="F24" s="128">
        <f t="shared" si="2"/>
        <v>9.11</v>
      </c>
      <c r="G24" s="293">
        <f t="shared" ref="G24:G36" si="3">ROUND(F24*(8.76*$G$63)+E24,2)</f>
        <v>64.39</v>
      </c>
      <c r="H24" s="293">
        <f t="shared" ref="H24:H36" si="4">ROUND(D24+G24,2)</f>
        <v>114.4</v>
      </c>
      <c r="I24" s="293">
        <f>VLOOKUP(B24,'Table 4'!$B$13:$D$43,3,FALSE)</f>
        <v>3.38</v>
      </c>
      <c r="J24" s="293">
        <f t="shared" ref="J24:J36" si="5">ROUND($K$63*I24/1000,2)</f>
        <v>33.08</v>
      </c>
      <c r="K24" s="293">
        <f t="shared" ref="K24:K36" si="6">ROUND(H24*1000/8760/$G$63+J24,2)</f>
        <v>72.650000000000006</v>
      </c>
      <c r="L24" s="128">
        <f t="shared" si="1"/>
        <v>111.55330989724176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51.26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39</v>
      </c>
      <c r="F25" s="128">
        <f t="shared" si="2"/>
        <v>9.34</v>
      </c>
      <c r="G25" s="293">
        <f t="shared" si="3"/>
        <v>66</v>
      </c>
      <c r="H25" s="293">
        <f t="shared" si="4"/>
        <v>117.26</v>
      </c>
      <c r="I25" s="293">
        <f>VLOOKUP(B25,'Table 4'!$B$13:$D$43,3,FALSE)</f>
        <v>3.48</v>
      </c>
      <c r="J25" s="293">
        <f t="shared" si="5"/>
        <v>34.06</v>
      </c>
      <c r="K25" s="293">
        <f t="shared" si="6"/>
        <v>74.62</v>
      </c>
      <c r="L25" s="128">
        <f t="shared" si="1"/>
        <v>114.34</v>
      </c>
      <c r="M25" s="41"/>
      <c r="P25" s="343"/>
      <c r="U25" s="375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52.49</v>
      </c>
      <c r="E26" s="128">
        <f t="shared" si="8"/>
        <v>39.94</v>
      </c>
      <c r="F26" s="128">
        <f t="shared" si="2"/>
        <v>9.56</v>
      </c>
      <c r="G26" s="293">
        <f t="shared" si="3"/>
        <v>67.58</v>
      </c>
      <c r="H26" s="293">
        <f t="shared" si="4"/>
        <v>120.07</v>
      </c>
      <c r="I26" s="293">
        <f>VLOOKUP(B26,'Table 4'!$B$13:$D$43,3,FALSE)</f>
        <v>3.73</v>
      </c>
      <c r="J26" s="293">
        <f t="shared" si="5"/>
        <v>36.5</v>
      </c>
      <c r="K26" s="293">
        <f t="shared" si="6"/>
        <v>78.040000000000006</v>
      </c>
      <c r="L26" s="128">
        <f t="shared" si="1"/>
        <v>117.08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53.75</v>
      </c>
      <c r="E27" s="128">
        <f t="shared" si="8"/>
        <v>40.9</v>
      </c>
      <c r="F27" s="128">
        <f t="shared" si="2"/>
        <v>9.7899999999999991</v>
      </c>
      <c r="G27" s="293">
        <f t="shared" si="3"/>
        <v>69.2</v>
      </c>
      <c r="H27" s="293">
        <f t="shared" si="4"/>
        <v>122.95</v>
      </c>
      <c r="I27" s="293">
        <f>VLOOKUP(B27,'Table 4'!$B$13:$D$43,3,FALSE)</f>
        <v>4.08</v>
      </c>
      <c r="J27" s="293">
        <f t="shared" si="5"/>
        <v>39.93</v>
      </c>
      <c r="K27" s="293">
        <f t="shared" si="6"/>
        <v>82.46</v>
      </c>
      <c r="L27" s="128">
        <f t="shared" si="1"/>
        <v>119.89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54.99</v>
      </c>
      <c r="E28" s="128">
        <f t="shared" si="8"/>
        <v>41.84</v>
      </c>
      <c r="F28" s="128">
        <f t="shared" si="2"/>
        <v>10.02</v>
      </c>
      <c r="G28" s="293">
        <f t="shared" si="3"/>
        <v>70.81</v>
      </c>
      <c r="H28" s="293">
        <f t="shared" si="4"/>
        <v>125.8</v>
      </c>
      <c r="I28" s="293">
        <f>VLOOKUP(B28,'Table 4'!$B$13:$D$43,3,FALSE)</f>
        <v>4.2300000000000004</v>
      </c>
      <c r="J28" s="293">
        <f t="shared" si="5"/>
        <v>41.39</v>
      </c>
      <c r="K28" s="293">
        <f t="shared" si="6"/>
        <v>84.91</v>
      </c>
      <c r="L28" s="128">
        <f t="shared" si="1"/>
        <v>122.67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76"/>
      <c r="AE28" s="376"/>
    </row>
    <row r="29" spans="2:31" s="298" customFormat="1">
      <c r="B29" s="296">
        <f t="shared" si="0"/>
        <v>2031</v>
      </c>
      <c r="C29" s="297"/>
      <c r="D29" s="128">
        <f t="shared" si="7"/>
        <v>56.25</v>
      </c>
      <c r="E29" s="128">
        <f t="shared" si="8"/>
        <v>42.8</v>
      </c>
      <c r="F29" s="128">
        <f t="shared" si="2"/>
        <v>10.25</v>
      </c>
      <c r="G29" s="293">
        <f t="shared" si="3"/>
        <v>72.430000000000007</v>
      </c>
      <c r="H29" s="293">
        <f t="shared" si="4"/>
        <v>128.68</v>
      </c>
      <c r="I29" s="293">
        <f>VLOOKUP(B29,'Table 4'!$B$13:$D$43,3,FALSE)</f>
        <v>4.3499999999999996</v>
      </c>
      <c r="J29" s="293">
        <f t="shared" si="5"/>
        <v>42.57</v>
      </c>
      <c r="K29" s="293">
        <f t="shared" si="6"/>
        <v>87.08</v>
      </c>
      <c r="L29" s="128">
        <f t="shared" si="1"/>
        <v>125.48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76"/>
      <c r="AE29" s="376"/>
    </row>
    <row r="30" spans="2:31" s="298" customFormat="1">
      <c r="B30" s="296">
        <f t="shared" si="0"/>
        <v>2032</v>
      </c>
      <c r="C30" s="297"/>
      <c r="D30" s="128">
        <f t="shared" si="7"/>
        <v>57.54</v>
      </c>
      <c r="E30" s="128">
        <f t="shared" si="8"/>
        <v>43.78</v>
      </c>
      <c r="F30" s="128">
        <f t="shared" si="2"/>
        <v>10.49</v>
      </c>
      <c r="G30" s="293">
        <f t="shared" si="3"/>
        <v>74.099999999999994</v>
      </c>
      <c r="H30" s="293">
        <f t="shared" si="4"/>
        <v>131.63999999999999</v>
      </c>
      <c r="I30" s="293">
        <f>VLOOKUP(B30,'Table 4'!$B$13:$D$43,3,FALSE)</f>
        <v>4.43</v>
      </c>
      <c r="J30" s="293">
        <f t="shared" si="5"/>
        <v>43.35</v>
      </c>
      <c r="K30" s="293">
        <f t="shared" si="6"/>
        <v>88.89</v>
      </c>
      <c r="L30" s="128">
        <f t="shared" si="1"/>
        <v>128.37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76"/>
      <c r="AE30" s="376"/>
    </row>
    <row r="31" spans="2:31" s="298" customFormat="1">
      <c r="B31" s="296">
        <f t="shared" si="0"/>
        <v>2033</v>
      </c>
      <c r="C31" s="297"/>
      <c r="D31" s="128">
        <f t="shared" si="7"/>
        <v>58.86</v>
      </c>
      <c r="E31" s="128">
        <f t="shared" si="8"/>
        <v>44.79</v>
      </c>
      <c r="F31" s="128">
        <f t="shared" si="2"/>
        <v>10.73</v>
      </c>
      <c r="G31" s="293">
        <f t="shared" si="3"/>
        <v>75.81</v>
      </c>
      <c r="H31" s="293">
        <f t="shared" si="4"/>
        <v>134.66999999999999</v>
      </c>
      <c r="I31" s="293">
        <f>VLOOKUP(B31,'Table 4'!$B$13:$D$43,3,FALSE)</f>
        <v>4.68</v>
      </c>
      <c r="J31" s="293">
        <f t="shared" si="5"/>
        <v>45.8</v>
      </c>
      <c r="K31" s="293">
        <f t="shared" si="6"/>
        <v>92.39</v>
      </c>
      <c r="L31" s="128">
        <f t="shared" si="1"/>
        <v>131.32999999999998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76"/>
      <c r="AE31" s="376"/>
    </row>
    <row r="32" spans="2:31" s="298" customFormat="1">
      <c r="B32" s="296">
        <f t="shared" si="0"/>
        <v>2034</v>
      </c>
      <c r="C32" s="297"/>
      <c r="D32" s="128">
        <f t="shared" si="7"/>
        <v>60.27</v>
      </c>
      <c r="E32" s="128">
        <f t="shared" si="8"/>
        <v>45.86</v>
      </c>
      <c r="F32" s="128">
        <f t="shared" si="2"/>
        <v>10.99</v>
      </c>
      <c r="G32" s="293">
        <f t="shared" si="3"/>
        <v>77.63</v>
      </c>
      <c r="H32" s="293">
        <f t="shared" si="4"/>
        <v>137.9</v>
      </c>
      <c r="I32" s="293">
        <f>VLOOKUP(B32,'Table 4'!$B$13:$D$43,3,FALSE)</f>
        <v>4.74</v>
      </c>
      <c r="J32" s="293">
        <f t="shared" si="5"/>
        <v>46.39</v>
      </c>
      <c r="K32" s="293">
        <f t="shared" si="6"/>
        <v>94.09</v>
      </c>
      <c r="L32" s="128">
        <f t="shared" si="1"/>
        <v>134.47999999999999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76"/>
      <c r="AE32" s="376"/>
    </row>
    <row r="33" spans="2:31">
      <c r="B33" s="289">
        <f t="shared" si="0"/>
        <v>2035</v>
      </c>
      <c r="C33" s="294"/>
      <c r="D33" s="128">
        <f t="shared" si="7"/>
        <v>61.72</v>
      </c>
      <c r="E33" s="128">
        <f t="shared" si="8"/>
        <v>46.96</v>
      </c>
      <c r="F33" s="128">
        <f t="shared" si="2"/>
        <v>11.25</v>
      </c>
      <c r="G33" s="293">
        <f t="shared" si="3"/>
        <v>79.48</v>
      </c>
      <c r="H33" s="293">
        <f t="shared" si="4"/>
        <v>141.19999999999999</v>
      </c>
      <c r="I33" s="293">
        <f>VLOOKUP(B33,'Table 4'!$B$13:$D$43,3,FALSE)</f>
        <v>4.82</v>
      </c>
      <c r="J33" s="293">
        <f t="shared" si="5"/>
        <v>47.17</v>
      </c>
      <c r="K33" s="293">
        <f t="shared" si="6"/>
        <v>96.01</v>
      </c>
      <c r="L33" s="128">
        <f t="shared" si="1"/>
        <v>137.69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63.14</v>
      </c>
      <c r="E34" s="128">
        <f t="shared" si="8"/>
        <v>48.04</v>
      </c>
      <c r="F34" s="128">
        <f t="shared" si="2"/>
        <v>11.51</v>
      </c>
      <c r="G34" s="293">
        <f t="shared" si="3"/>
        <v>81.31</v>
      </c>
      <c r="H34" s="293">
        <f t="shared" si="4"/>
        <v>144.44999999999999</v>
      </c>
      <c r="I34" s="293">
        <f>VLOOKUP(B34,'Table 4'!$B$13:$D$43,3,FALSE)</f>
        <v>4.93</v>
      </c>
      <c r="J34" s="293">
        <f t="shared" si="5"/>
        <v>48.24</v>
      </c>
      <c r="K34" s="293">
        <f t="shared" si="6"/>
        <v>98.21</v>
      </c>
      <c r="L34" s="128">
        <f t="shared" si="1"/>
        <v>140.86000000000001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64.59</v>
      </c>
      <c r="E35" s="128">
        <f t="shared" si="8"/>
        <v>49.14</v>
      </c>
      <c r="F35" s="128">
        <f t="shared" si="2"/>
        <v>11.77</v>
      </c>
      <c r="G35" s="293">
        <f t="shared" si="3"/>
        <v>83.16</v>
      </c>
      <c r="H35" s="293">
        <f t="shared" si="4"/>
        <v>147.75</v>
      </c>
      <c r="I35" s="293">
        <f>VLOOKUP(B35,'Table 4'!$B$13:$D$43,3,FALSE)</f>
        <v>5.03</v>
      </c>
      <c r="J35" s="293">
        <f t="shared" si="5"/>
        <v>49.22</v>
      </c>
      <c r="K35" s="293">
        <f t="shared" si="6"/>
        <v>100.33</v>
      </c>
      <c r="L35" s="128">
        <f t="shared" si="1"/>
        <v>144.07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66.08</v>
      </c>
      <c r="E36" s="128">
        <f t="shared" si="8"/>
        <v>50.27</v>
      </c>
      <c r="F36" s="128">
        <f t="shared" si="2"/>
        <v>12.04</v>
      </c>
      <c r="G36" s="293">
        <f t="shared" si="3"/>
        <v>85.08</v>
      </c>
      <c r="H36" s="293">
        <f t="shared" si="4"/>
        <v>151.16</v>
      </c>
      <c r="I36" s="293">
        <f>VLOOKUP(B36,'Table 4'!$B$13:$D$43,3,FALSE)</f>
        <v>5.21</v>
      </c>
      <c r="J36" s="293">
        <f t="shared" si="5"/>
        <v>50.99</v>
      </c>
      <c r="K36" s="293">
        <f t="shared" si="6"/>
        <v>103.28</v>
      </c>
      <c r="L36" s="128">
        <f t="shared" si="1"/>
        <v>147.38999999999999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67.599999999999994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51.43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12.32</v>
      </c>
      <c r="G37" s="293">
        <f t="shared" ref="G37:G40" si="12">ROUND(F37*(8.76*$G$63)+E37,2)</f>
        <v>87.04</v>
      </c>
      <c r="H37" s="293">
        <f t="shared" ref="H37:H40" si="13">ROUND(D37+G37,2)</f>
        <v>154.63999999999999</v>
      </c>
      <c r="I37" s="293">
        <f>VLOOKUP(B37,'Table 4'!$B$13:$D$43,3,FALSE)</f>
        <v>5.51</v>
      </c>
      <c r="J37" s="293">
        <f t="shared" ref="J37:J40" si="14">ROUND($K$63*I37/1000,2)</f>
        <v>53.92</v>
      </c>
      <c r="K37" s="293">
        <f t="shared" ref="K37:K40" si="15">ROUND(H37*1000/8760/$G$63+J37,2)</f>
        <v>107.41</v>
      </c>
      <c r="L37" s="128">
        <f t="shared" si="1"/>
        <v>150.79000000000002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69.150000000000006</v>
      </c>
      <c r="E38" s="128">
        <f t="shared" si="10"/>
        <v>52.61</v>
      </c>
      <c r="F38" s="128">
        <f t="shared" si="11"/>
        <v>12.6</v>
      </c>
      <c r="G38" s="293">
        <f t="shared" si="12"/>
        <v>89.03</v>
      </c>
      <c r="H38" s="293">
        <f t="shared" si="13"/>
        <v>158.18</v>
      </c>
      <c r="I38" s="293">
        <f>VLOOKUP(B38,'Table 4'!$B$13:$D$43,3,FALSE)</f>
        <v>5.85</v>
      </c>
      <c r="J38" s="293">
        <f t="shared" si="14"/>
        <v>57.25</v>
      </c>
      <c r="K38" s="293">
        <f t="shared" si="15"/>
        <v>111.97</v>
      </c>
      <c r="L38" s="128">
        <f t="shared" si="1"/>
        <v>154.24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70.739999999999995</v>
      </c>
      <c r="E39" s="128">
        <f t="shared" si="10"/>
        <v>53.82</v>
      </c>
      <c r="F39" s="128">
        <f t="shared" si="11"/>
        <v>12.89</v>
      </c>
      <c r="G39" s="293">
        <f t="shared" si="12"/>
        <v>91.08</v>
      </c>
      <c r="H39" s="293">
        <f t="shared" si="13"/>
        <v>161.82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5.98</v>
      </c>
      <c r="J39" s="293">
        <f t="shared" si="14"/>
        <v>58.52</v>
      </c>
      <c r="K39" s="293">
        <f t="shared" si="15"/>
        <v>114.5</v>
      </c>
      <c r="L39" s="128">
        <f t="shared" si="1"/>
        <v>157.79000000000002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72.44</v>
      </c>
      <c r="E40" s="128">
        <f t="shared" si="10"/>
        <v>55.11</v>
      </c>
      <c r="F40" s="128">
        <f t="shared" si="11"/>
        <v>13.2</v>
      </c>
      <c r="G40" s="293">
        <f t="shared" si="12"/>
        <v>93.27</v>
      </c>
      <c r="H40" s="293">
        <f t="shared" si="13"/>
        <v>165.71</v>
      </c>
      <c r="I40" s="128">
        <f t="shared" si="16"/>
        <v>6.12</v>
      </c>
      <c r="J40" s="293">
        <f t="shared" si="14"/>
        <v>59.89</v>
      </c>
      <c r="K40" s="293">
        <f t="shared" si="15"/>
        <v>117.21</v>
      </c>
      <c r="L40" s="128">
        <f t="shared" si="1"/>
        <v>161.57999999999998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0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118</v>
      </c>
      <c r="D55" s="307"/>
      <c r="E55" s="306"/>
      <c r="F55" s="308" t="s">
        <v>32</v>
      </c>
      <c r="G55" s="308" t="s">
        <v>119</v>
      </c>
      <c r="H55" s="308" t="s">
        <v>120</v>
      </c>
      <c r="I55" s="308" t="s">
        <v>33</v>
      </c>
    </row>
    <row r="56" spans="3:31">
      <c r="C56" s="298" t="s">
        <v>121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103</v>
      </c>
      <c r="R56" s="117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393">
        <v>184.90000000000006</v>
      </c>
      <c r="Q57" s="117" t="s">
        <v>32</v>
      </c>
      <c r="R57" s="117" t="s">
        <v>151</v>
      </c>
      <c r="S57" s="117"/>
      <c r="T57" s="117"/>
      <c r="U57" s="117" t="str">
        <f>$R$57&amp;"Proposed Station Capital Costs"</f>
        <v>I_NTN_SC_FRMProposed Station Capital Costs</v>
      </c>
    </row>
    <row r="58" spans="3:31">
      <c r="C58" s="298" t="s">
        <v>122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393"/>
      <c r="Q58" s="117" t="s">
        <v>32</v>
      </c>
      <c r="R58" s="117"/>
      <c r="S58" s="119"/>
      <c r="T58" s="117"/>
      <c r="U58" s="117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38" t="str">
        <f>R57&amp;R56</f>
        <v>I_NTN_SC_FRM2026</v>
      </c>
      <c r="S59" s="117"/>
      <c r="T59" s="117"/>
      <c r="U59" s="117" t="str">
        <f>$R$57&amp;"Proposed Station Variable O&amp;M Costs"</f>
        <v>I_NTN_SC_FRMProposed Station Variable O&amp;M Costs</v>
      </c>
    </row>
    <row r="60" spans="3:31">
      <c r="C60" s="318" t="s">
        <v>118</v>
      </c>
      <c r="D60" s="307"/>
      <c r="E60" s="306"/>
      <c r="F60" s="308" t="s">
        <v>32</v>
      </c>
      <c r="G60" s="308" t="s">
        <v>34</v>
      </c>
      <c r="H60" s="308" t="s">
        <v>123</v>
      </c>
      <c r="I60" s="308" t="s">
        <v>119</v>
      </c>
      <c r="J60" s="308" t="s">
        <v>124</v>
      </c>
      <c r="K60" s="308" t="s">
        <v>125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126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127</v>
      </c>
    </row>
    <row r="66" spans="2:29">
      <c r="C66" s="308" t="s">
        <v>128</v>
      </c>
      <c r="D66" s="308" t="s">
        <v>129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85">
        <v>185</v>
      </c>
      <c r="E67" s="85" t="s">
        <v>130</v>
      </c>
      <c r="H67" s="333"/>
    </row>
    <row r="68" spans="2:29">
      <c r="B68" s="85" t="s">
        <v>101</v>
      </c>
      <c r="C68" s="316">
        <v>745.12812495389073</v>
      </c>
      <c r="D68" s="316"/>
      <c r="E68" s="85" t="s">
        <v>131</v>
      </c>
      <c r="M68" s="426"/>
    </row>
    <row r="69" spans="2:29">
      <c r="B69" s="85" t="s">
        <v>101</v>
      </c>
      <c r="C69" s="317">
        <v>17.005460468665991</v>
      </c>
      <c r="D69" s="317"/>
      <c r="E69" s="85" t="s">
        <v>132</v>
      </c>
    </row>
    <row r="70" spans="2:29">
      <c r="B70" s="85" t="s">
        <v>101</v>
      </c>
      <c r="C70" s="334">
        <v>14.903353836000001</v>
      </c>
      <c r="D70" s="334"/>
      <c r="E70" s="85" t="s">
        <v>133</v>
      </c>
    </row>
    <row r="71" spans="2:29">
      <c r="B71" s="85" t="s">
        <v>101</v>
      </c>
      <c r="C71" s="317">
        <f>C69+C70</f>
        <v>31.908814304665992</v>
      </c>
      <c r="D71" s="317"/>
      <c r="E71" s="85" t="s">
        <v>134</v>
      </c>
    </row>
    <row r="72" spans="2:29">
      <c r="B72" s="85" t="s">
        <v>101</v>
      </c>
      <c r="C72" s="317">
        <v>7.7612665227267676</v>
      </c>
      <c r="D72" s="317"/>
      <c r="E72" s="85" t="s">
        <v>135</v>
      </c>
    </row>
    <row r="73" spans="2:29">
      <c r="C73" s="328">
        <v>9786.4587359536672</v>
      </c>
      <c r="D73" s="328"/>
      <c r="E73" s="85" t="s">
        <v>136</v>
      </c>
    </row>
    <row r="74" spans="2:29">
      <c r="C74" s="335">
        <v>6.9588491515316389E-2</v>
      </c>
      <c r="D74" s="335"/>
      <c r="E74" s="85" t="s">
        <v>36</v>
      </c>
      <c r="AB74" s="119"/>
      <c r="AC74" s="119"/>
    </row>
    <row r="75" spans="2:29">
      <c r="C75" s="336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7"/>
      <c r="E77" s="50"/>
      <c r="AB77" s="119"/>
      <c r="AC77" s="119"/>
    </row>
    <row r="78" spans="2:29">
      <c r="B78" s="49"/>
      <c r="C78" s="49"/>
      <c r="D78" s="49"/>
      <c r="E78" s="49"/>
      <c r="F78" s="49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March 31,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2.5000000000000001E-2</v>
      </c>
      <c r="H81" s="41"/>
      <c r="I81" s="87">
        <f>F89+1</f>
        <v>2035</v>
      </c>
      <c r="J81" s="41">
        <v>2.4E-2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2.5000000000000001E-2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2.4E-2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2.1999999999999999E-2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1.7000000000000001E-2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2.3E-2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2.3E-2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2.4E-2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2.4E-2</v>
      </c>
      <c r="F89" s="87">
        <f t="shared" si="18"/>
        <v>2034</v>
      </c>
      <c r="G89" s="41">
        <v>2.4E-2</v>
      </c>
      <c r="H89" s="41"/>
      <c r="I89" s="87">
        <f t="shared" si="19"/>
        <v>2043</v>
      </c>
      <c r="J89" s="41">
        <v>2.4E-2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79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10.53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10.71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10.93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11.18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11.45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11.74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12.03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12.32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39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12.62</v>
      </c>
      <c r="I23" s="130">
        <f>(G23+H23)</f>
        <v>56.738924791790218</v>
      </c>
      <c r="J23" s="130">
        <f t="shared" ref="J23" si="2">ROUND(I23*$C$63*8.76,2)</f>
        <v>184.4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12.91</v>
      </c>
      <c r="I24" s="130">
        <f t="shared" ref="I24:I37" si="5">(G24+H24)</f>
        <v>58.024464203138706</v>
      </c>
      <c r="J24" s="130">
        <f t="shared" ref="J24:J32" si="6">ROUND(I24*$C$63*8.76,2)</f>
        <v>188.58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13.21</v>
      </c>
      <c r="I25" s="130">
        <f t="shared" si="5"/>
        <v>59.371321671525763</v>
      </c>
      <c r="J25" s="130">
        <f t="shared" si="6"/>
        <v>192.95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13.51</v>
      </c>
      <c r="I26" s="130">
        <f t="shared" si="5"/>
        <v>60.736640905596076</v>
      </c>
      <c r="J26" s="130">
        <f t="shared" si="6"/>
        <v>197.39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13.82</v>
      </c>
      <c r="I27" s="130">
        <f t="shared" si="5"/>
        <v>62.130421905349671</v>
      </c>
      <c r="J27" s="130">
        <f t="shared" si="6"/>
        <v>201.92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132.28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49.455742124047504</v>
      </c>
      <c r="H28" s="128">
        <f>ROUND(H27*(1+(IFERROR(INDEX($D$66:$D$74,MATCH($B28,$C$66:$C$74,0),1),0)+IFERROR(INDEX($G$66:$G$74,MATCH($B28,$F$66:$F$74,0),1),0)+IFERROR(INDEX(#REF!,MATCH($B28,$I$66:$I$74,0),1),0))),2)</f>
        <v>14.15</v>
      </c>
      <c r="I28" s="130">
        <f t="shared" si="5"/>
        <v>63.605742124047502</v>
      </c>
      <c r="J28" s="130">
        <f t="shared" si="6"/>
        <v>206.72</v>
      </c>
      <c r="K28" s="128">
        <f t="shared" si="1"/>
        <v>160.72918367346941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135.44999999999999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50.622601069375804</v>
      </c>
      <c r="H29" s="128">
        <f>ROUND(H28*(1+(IFERROR(INDEX($D$66:$D$74,MATCH($B29,$C$66:$C$74,0),1),0)+IFERROR(INDEX($G$66:$G$74,MATCH($B29,$F$66:$F$74,0),1),0)+IFERROR(INDEX(#REF!,MATCH($B29,$I$66:$I$74,0),1),0))),2)</f>
        <v>14.15</v>
      </c>
      <c r="I29" s="130">
        <f t="shared" si="5"/>
        <v>64.77260106937581</v>
      </c>
      <c r="J29" s="130">
        <f t="shared" si="6"/>
        <v>210.51</v>
      </c>
      <c r="K29" s="128">
        <f t="shared" si="1"/>
        <v>164.52142857142857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138.57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51.774075209968053</v>
      </c>
      <c r="H30" s="128">
        <f>ROUND(H29*(1+(IFERROR(INDEX($D$66:$D$74,MATCH($B30,$C$66:$C$74,0),1),0)+IFERROR(INDEX($G$66:$G$74,MATCH($B30,$F$66:$F$74,0),1),0)+IFERROR(INDEX(#REF!,MATCH($B30,$I$66:$I$74,0),1),0))),2)</f>
        <v>14.15</v>
      </c>
      <c r="I30" s="130">
        <f t="shared" si="5"/>
        <v>65.924075209968052</v>
      </c>
      <c r="J30" s="130">
        <f t="shared" si="6"/>
        <v>214.25</v>
      </c>
      <c r="K30" s="128">
        <f t="shared" si="1"/>
        <v>168.26367346938775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141.76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52.978485637876616</v>
      </c>
      <c r="H31" s="128">
        <f>ROUND(H30*(1+(IFERROR(INDEX($D$66:$D$74,MATCH($B31,$C$66:$C$74,0),1),0)+IFERROR(INDEX($G$66:$G$74,MATCH($B31,$F$66:$F$74,0),1),0)+IFERROR(INDEX(#REF!,MATCH($B31,$I$66:$I$74,0),1),0))),2)</f>
        <v>14.15</v>
      </c>
      <c r="I31" s="130">
        <f t="shared" si="5"/>
        <v>67.128485637876622</v>
      </c>
      <c r="J31" s="130">
        <f t="shared" si="6"/>
        <v>218.16</v>
      </c>
      <c r="K31" s="128">
        <f t="shared" si="1"/>
        <v>172.17795918367347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145.02000000000001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54.204434792415661</v>
      </c>
      <c r="H32" s="128">
        <f>ROUND(H31*(1+(IFERROR(INDEX($D$66:$D$74,MATCH($B32,$C$66:$C$74,0),1),0)+IFERROR(INDEX($G$66:$G$74,MATCH($B32,$F$66:$F$74,0),1),0)+IFERROR(INDEX(#REF!,MATCH($B32,$I$66:$I$74,0),1),0))),2)</f>
        <v>14.15</v>
      </c>
      <c r="I32" s="130">
        <f t="shared" si="5"/>
        <v>68.35443479241566</v>
      </c>
      <c r="J32" s="130">
        <f t="shared" si="6"/>
        <v>222.15</v>
      </c>
      <c r="K32" s="128">
        <f t="shared" si="1"/>
        <v>176.1622448979592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148.36000000000001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55.452990190648507</v>
      </c>
      <c r="H33" s="128">
        <f>ROUND(H32*(1+(IFERROR(INDEX($D$66:$D$74,MATCH($B33,$C$66:$C$74,0),1),0)+IFERROR(INDEX($G$66:$G$74,MATCH($B33,$F$66:$F$74,0),1),0)+IFERROR(INDEX(#REF!,MATCH($B33,$I$66:$I$74,0),1),0))),2)</f>
        <v>14.15</v>
      </c>
      <c r="I33" s="130">
        <f t="shared" si="5"/>
        <v>69.602990190648512</v>
      </c>
      <c r="J33" s="130">
        <f t="shared" ref="J33:J37" si="7">ROUND(I33*$C$63*8.76,2)</f>
        <v>226.21</v>
      </c>
      <c r="K33" s="128">
        <f t="shared" si="1"/>
        <v>180.22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151.77000000000001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56.726852022794134</v>
      </c>
      <c r="H34" s="128">
        <f>ROUND(H33*(1+(IFERROR(INDEX($D$66:$D$74,MATCH($B34,$C$66:$C$74,0),1),0)+IFERROR(INDEX($G$66:$G$74,MATCH($B34,$F$66:$F$74,0),1),0)+IFERROR(INDEX(#REF!,MATCH($B34,$I$66:$I$74,0),1),0))),2)</f>
        <v>14.15</v>
      </c>
      <c r="I34" s="130">
        <f t="shared" si="5"/>
        <v>70.876852022794139</v>
      </c>
      <c r="J34" s="130">
        <f t="shared" si="7"/>
        <v>230.35</v>
      </c>
      <c r="K34" s="128">
        <f t="shared" si="1"/>
        <v>184.36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155.26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32.78</v>
      </c>
      <c r="F35" s="128">
        <f>INDEX('Table 3 PV wS YK_2024'!$F$10:$F$38,MATCH(B35,'Table 3 PV wS YK_2024'!$B$10:$B$38,0),1)</f>
        <v>0.56000000000000005</v>
      </c>
      <c r="G35" s="130">
        <f t="shared" si="4"/>
        <v>58.03148346441187</v>
      </c>
      <c r="H35" s="128">
        <f>ROUND(H34*(1+(IFERROR(INDEX($D$66:$D$74,MATCH($B35,$C$66:$C$74,0),1),0)+IFERROR(INDEX($G$66:$G$74,MATCH($B35,$F$66:$F$74,0),1),0)+IFERROR(INDEX(#REF!,MATCH($B35,$I$66:$I$74,0),1),0))),2)</f>
        <v>14.15</v>
      </c>
      <c r="I35" s="130">
        <f t="shared" si="5"/>
        <v>72.181483464411869</v>
      </c>
      <c r="J35" s="130">
        <f t="shared" si="7"/>
        <v>234.59</v>
      </c>
      <c r="K35" s="128">
        <f t="shared" si="1"/>
        <v>188.6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158.99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33.57</v>
      </c>
      <c r="F36" s="128">
        <f>INDEX('Table 3 PV wS YK_2024'!$F$10:$F$38,MATCH(B36,'Table 3 PV wS YK_2024'!$B$10:$B$38,0),1)</f>
        <v>0.56999999999999995</v>
      </c>
      <c r="G36" s="130">
        <f t="shared" si="4"/>
        <v>59.425346773498752</v>
      </c>
      <c r="H36" s="128">
        <f>ROUND(H35*(1+(IFERROR(INDEX($D$66:$D$74,MATCH($B36,$C$66:$C$74,0),1),0)+IFERROR(INDEX($G$66:$G$74,MATCH($B36,$F$66:$F$74,0),1),0)+IFERROR(INDEX(#REF!,MATCH($B36,$I$66:$I$74,0),1),0))),2)</f>
        <v>14.15</v>
      </c>
      <c r="I36" s="130">
        <f t="shared" si="5"/>
        <v>73.575346773498751</v>
      </c>
      <c r="J36" s="130">
        <f t="shared" si="7"/>
        <v>239.12</v>
      </c>
      <c r="K36" s="128">
        <f t="shared" si="1"/>
        <v>193.13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162.81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34.380000000000003</v>
      </c>
      <c r="F37" s="128">
        <f>INDEX('Table 3 PV wS YK_2024'!$F$10:$F$38,MATCH(B37,'Table 3 PV wS YK_2024'!$B$10:$B$38,0),1)</f>
        <v>0.57999999999999996</v>
      </c>
      <c r="G37" s="130">
        <f t="shared" si="4"/>
        <v>60.85305665300497</v>
      </c>
      <c r="H37" s="128">
        <f>ROUND(H36*(1+(IFERROR(INDEX($D$66:$D$74,MATCH($B37,$C$66:$C$74,0),1),0)+IFERROR(INDEX($G$66:$G$74,MATCH($B37,$F$66:$F$74,0),1),0)+IFERROR(INDEX(#REF!,MATCH($B37,$I$66:$I$74,0),1),0))),2)</f>
        <v>14.15</v>
      </c>
      <c r="I37" s="130">
        <f t="shared" si="5"/>
        <v>75.003056653004975</v>
      </c>
      <c r="J37" s="130">
        <f t="shared" si="7"/>
        <v>243.76</v>
      </c>
      <c r="K37" s="128">
        <f t="shared" si="1"/>
        <v>197.77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2.1999999999999999E-2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1.7000000000000001E-2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2.3E-2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2.4E-2</v>
      </c>
      <c r="N73" s="164"/>
    </row>
    <row r="74" spans="3:14" s="119" customFormat="1">
      <c r="C74" s="87">
        <f t="shared" si="12"/>
        <v>2025</v>
      </c>
      <c r="D74" s="41">
        <v>2.4E-2</v>
      </c>
      <c r="E74" s="86"/>
      <c r="F74" s="87">
        <f t="shared" si="13"/>
        <v>2034</v>
      </c>
      <c r="G74" s="41">
        <v>2.4E-2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79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39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120.84</v>
      </c>
      <c r="E28" s="268">
        <v>27.94701986754967</v>
      </c>
      <c r="F28" s="128">
        <f>INDEX('Table 3 ID Wind_2030'!$F$10:$F$38,MATCH(B28,'Table 3 ID Wind_2030'!$B$10:$B$38,0),1)</f>
        <v>13.26</v>
      </c>
      <c r="G28" s="130">
        <f t="shared" si="4"/>
        <v>49.861235174448204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49.861235174448204</v>
      </c>
      <c r="J28" s="130">
        <f t="shared" si="2"/>
        <v>162.05000000000001</v>
      </c>
      <c r="K28" s="128">
        <f t="shared" si="1"/>
        <v>162.04701986754966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123.74</v>
      </c>
      <c r="E29" s="268">
        <v>28.576158940397352</v>
      </c>
      <c r="F29" s="128">
        <f>INDEX('Table 3 ID Wind_2030'!$F$10:$F$38,MATCH(B29,'Table 3 ID Wind_2030'!$B$10:$B$38,0),1)</f>
        <v>13.58</v>
      </c>
      <c r="G29" s="130">
        <f t="shared" si="4"/>
        <v>51.045600235202087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51.045600235202087</v>
      </c>
      <c r="J29" s="130">
        <f t="shared" si="2"/>
        <v>165.9</v>
      </c>
      <c r="K29" s="128">
        <f t="shared" si="1"/>
        <v>165.89615894039736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126.59</v>
      </c>
      <c r="E30" s="268">
        <v>29.221854304635762</v>
      </c>
      <c r="F30" s="128">
        <f>INDEX('Table 3 ID Wind_2030'!$F$10:$F$38,MATCH(B30,'Table 3 ID Wind_2030'!$B$10:$B$38,0),1)</f>
        <v>13.89</v>
      </c>
      <c r="G30" s="130">
        <f t="shared" si="4"/>
        <v>52.216597836476694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52.216597836476694</v>
      </c>
      <c r="J30" s="130">
        <f t="shared" si="2"/>
        <v>169.7</v>
      </c>
      <c r="K30" s="128">
        <f t="shared" si="1"/>
        <v>169.70185430463579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129.5</v>
      </c>
      <c r="E31" s="268">
        <v>29.900662251655628</v>
      </c>
      <c r="F31" s="128">
        <f>INDEX('Table 3 ID Wind_2030'!$F$10:$F$38,MATCH(B31,'Table 3 ID Wind_2030'!$B$10:$B$38,0),1)</f>
        <v>14.21</v>
      </c>
      <c r="G31" s="130">
        <f t="shared" si="4"/>
        <v>53.419322776789762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53.419322776789762</v>
      </c>
      <c r="J31" s="130">
        <f t="shared" si="2"/>
        <v>173.61</v>
      </c>
      <c r="K31" s="128">
        <f t="shared" si="1"/>
        <v>173.61066225165564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132.47999999999999</v>
      </c>
      <c r="E32" s="268">
        <v>30.579470198675498</v>
      </c>
      <c r="F32" s="128">
        <f>INDEX('Table 3 ID Wind_2030'!$F$10:$F$38,MATCH(B32,'Table 3 ID Wind_2030'!$B$10:$B$38,0),1)</f>
        <v>14.54</v>
      </c>
      <c r="G32" s="130">
        <f t="shared" si="4"/>
        <v>54.646663404680517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54.646663404680517</v>
      </c>
      <c r="J32" s="130">
        <f t="shared" si="2"/>
        <v>177.6</v>
      </c>
      <c r="K32" s="128">
        <f t="shared" si="1"/>
        <v>177.59947019867548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135.53</v>
      </c>
      <c r="E33" s="128">
        <f t="shared" si="3"/>
        <v>31.28</v>
      </c>
      <c r="F33" s="128">
        <f>INDEX('Table 3 ID Wind_2030'!$F$10:$F$38,MATCH(B33,'Table 3 ID Wind_2030'!$B$10:$B$38,0),1)</f>
        <v>14.87</v>
      </c>
      <c r="G33" s="130">
        <f t="shared" si="4"/>
        <v>55.902226488941409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55.902226488941409</v>
      </c>
      <c r="J33" s="130">
        <f t="shared" ref="J33:J37" si="6">ROUND(I33*$C$63*8.76,2)</f>
        <v>181.68</v>
      </c>
      <c r="K33" s="128">
        <f t="shared" si="1"/>
        <v>181.68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138.65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15.21</v>
      </c>
      <c r="G34" s="130">
        <f t="shared" si="4"/>
        <v>57.188396164875883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57.188396164875883</v>
      </c>
      <c r="J34" s="130">
        <f t="shared" si="6"/>
        <v>185.86</v>
      </c>
      <c r="K34" s="128">
        <f t="shared" si="1"/>
        <v>185.86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141.84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ID Wind_2030'!$F$10:$F$38,MATCH(B35,'Table 3 ID Wind_2030'!$B$10:$B$38,0),1)</f>
        <v>15.56</v>
      </c>
      <c r="G35" s="130">
        <f t="shared" si="4"/>
        <v>58.505335450282473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58.505335450282473</v>
      </c>
      <c r="J35" s="130">
        <f t="shared" si="6"/>
        <v>190.14</v>
      </c>
      <c r="K35" s="128">
        <f t="shared" si="1"/>
        <v>190.14000000000001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145.24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33.53</v>
      </c>
      <c r="F36" s="128">
        <f>INDEX('Table 3 ID Wind_2030'!$F$10:$F$38,MATCH(B36,'Table 3 ID Wind_2030'!$B$10:$B$38,0),1)</f>
        <v>15.93</v>
      </c>
      <c r="G36" s="130">
        <f t="shared" si="4"/>
        <v>59.90842964221099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59.90842964221099</v>
      </c>
      <c r="J36" s="130">
        <f t="shared" si="6"/>
        <v>194.7</v>
      </c>
      <c r="K36" s="128">
        <f t="shared" si="1"/>
        <v>194.70000000000002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148.72999999999999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34.33</v>
      </c>
      <c r="F37" s="128">
        <f>INDEX('Table 3 ID Wind_2030'!$F$10:$F$38,MATCH(B37,'Table 3 ID Wind_2030'!$B$10:$B$38,0),1)</f>
        <v>16.309999999999999</v>
      </c>
      <c r="G37" s="130">
        <f t="shared" si="4"/>
        <v>61.345370404558828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61.345370404558828</v>
      </c>
      <c r="J37" s="130">
        <f t="shared" si="6"/>
        <v>199.37</v>
      </c>
      <c r="K37" s="128">
        <f t="shared" si="1"/>
        <v>199.37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2.1999999999999999E-2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1.7000000000000001E-2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2.3E-2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2.4E-2</v>
      </c>
      <c r="N73" s="164"/>
    </row>
    <row r="74" spans="3:14" s="119" customFormat="1">
      <c r="C74" s="87">
        <f t="shared" si="11"/>
        <v>2025</v>
      </c>
      <c r="D74" s="41">
        <v>2.4E-2</v>
      </c>
      <c r="E74" s="86"/>
      <c r="F74" s="87">
        <f t="shared" si="12"/>
        <v>2034</v>
      </c>
      <c r="G74" s="41">
        <v>2.4E-2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C41" sqref="C41"/>
    </sheetView>
  </sheetViews>
  <sheetFormatPr defaultRowHeight="12.75"/>
  <cols>
    <col min="1" max="1" width="12.33203125" style="3" customWidth="1"/>
    <col min="2" max="2" width="10.83203125" style="3" customWidth="1"/>
    <col min="3" max="3" width="14.1640625" style="3" customWidth="1"/>
    <col min="4" max="4" width="6.33203125" style="3" customWidth="1"/>
    <col min="5" max="5" width="18.83203125" style="3" customWidth="1"/>
    <col min="6" max="6" width="3.3320312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3320312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33203125" customWidth="1"/>
    <col min="34" max="34" width="10.83203125" customWidth="1"/>
    <col min="35" max="35" width="14" customWidth="1"/>
    <col min="36" max="36" width="12.3320312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2021.Q1_Solar - 80.0 MW and 32.2%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74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201</v>
      </c>
      <c r="T8" s="217" t="s">
        <v>202</v>
      </c>
      <c r="U8" s="214"/>
      <c r="V8" s="217" t="s">
        <v>203</v>
      </c>
      <c r="W8" s="217" t="s">
        <v>204</v>
      </c>
      <c r="X8" s="217" t="s">
        <v>206</v>
      </c>
      <c r="Y8" s="217" t="s">
        <v>207</v>
      </c>
      <c r="Z8" s="214" t="s">
        <v>209</v>
      </c>
      <c r="AA8" s="209" t="s">
        <v>211</v>
      </c>
      <c r="AB8" s="217" t="s">
        <v>212</v>
      </c>
      <c r="AC8" s="217" t="s">
        <v>213</v>
      </c>
      <c r="AD8" s="209" t="s">
        <v>215</v>
      </c>
      <c r="AE8" s="217" t="s">
        <v>216</v>
      </c>
      <c r="AF8" s="217" t="s">
        <v>217</v>
      </c>
      <c r="AG8" s="217" t="s">
        <v>168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75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76</v>
      </c>
      <c r="CE8" s="212"/>
      <c r="CF8" s="212"/>
      <c r="CI8" s="217"/>
      <c r="CN8" s="217"/>
      <c r="DB8" s="186" t="s">
        <v>75</v>
      </c>
      <c r="DC8" s="187" t="s">
        <v>76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0.32188227488944637</v>
      </c>
      <c r="H9" s="205"/>
      <c r="I9" s="206"/>
      <c r="K9"/>
      <c r="L9"/>
      <c r="M9"/>
      <c r="P9" s="195" t="s">
        <v>196</v>
      </c>
      <c r="Q9" s="217" t="s">
        <v>230</v>
      </c>
      <c r="R9" s="195" t="s">
        <v>197</v>
      </c>
      <c r="S9" s="195" t="s">
        <v>198</v>
      </c>
      <c r="T9" s="217" t="s">
        <v>198</v>
      </c>
      <c r="U9" s="214" t="s">
        <v>199</v>
      </c>
      <c r="V9" s="195" t="s">
        <v>200</v>
      </c>
      <c r="W9" s="217" t="s">
        <v>200</v>
      </c>
      <c r="X9" s="195" t="s">
        <v>205</v>
      </c>
      <c r="Y9" s="217" t="s">
        <v>205</v>
      </c>
      <c r="Z9" s="214" t="s">
        <v>208</v>
      </c>
      <c r="AA9" s="195" t="s">
        <v>210</v>
      </c>
      <c r="AB9" s="217" t="s">
        <v>210</v>
      </c>
      <c r="AC9" s="217" t="s">
        <v>210</v>
      </c>
      <c r="AD9" s="195" t="s">
        <v>214</v>
      </c>
      <c r="AE9" s="217" t="s">
        <v>214</v>
      </c>
      <c r="AF9" s="217" t="s">
        <v>214</v>
      </c>
      <c r="AG9" s="209" t="s">
        <v>168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77</v>
      </c>
      <c r="DB9" s="195" t="s">
        <v>86</v>
      </c>
      <c r="DC9" s="195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59"/>
    </row>
    <row r="13" spans="2:107" customFormat="1">
      <c r="B13" s="15">
        <f>'Table 5'!J13</f>
        <v>2021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19.020281372549011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19.020281372549011</v>
      </c>
      <c r="H13" s="36"/>
      <c r="I13" s="174"/>
      <c r="J13" s="174"/>
      <c r="O13">
        <f t="shared" ref="O13:O32" si="18">B13</f>
        <v>2021</v>
      </c>
      <c r="P13">
        <v>0</v>
      </c>
      <c r="Q13">
        <v>0</v>
      </c>
      <c r="R13">
        <v>0</v>
      </c>
      <c r="S13" s="358">
        <v>0</v>
      </c>
      <c r="T13" s="358">
        <v>0</v>
      </c>
      <c r="U13" s="174">
        <v>0</v>
      </c>
      <c r="V13" s="358">
        <v>0</v>
      </c>
      <c r="W13" s="358">
        <v>0</v>
      </c>
      <c r="X13" s="358">
        <v>0</v>
      </c>
      <c r="Y13" s="358">
        <v>0</v>
      </c>
      <c r="Z13" s="358">
        <v>0</v>
      </c>
      <c r="AA13" s="358">
        <v>0</v>
      </c>
      <c r="AB13" s="358">
        <v>0</v>
      </c>
      <c r="AC13" s="358">
        <v>0</v>
      </c>
      <c r="AD13" s="358">
        <v>0</v>
      </c>
      <c r="AE13" s="358">
        <v>0</v>
      </c>
      <c r="AF13" s="358">
        <v>0</v>
      </c>
      <c r="AG13" s="358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2021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0"/>
      <c r="BM13" s="130">
        <f>IFERROR(VLOOKUP($O13,'Table 3 ID Wind wS_2032'!$B$10:$K$38,10,FALSE),0)</f>
        <v>0</v>
      </c>
      <c r="BN13" s="130">
        <f>IFERROR(VLOOKUP($O13,'Table 3 PV wS YK_2024'!$B$10:$K$40,10,FALSE),0)</f>
        <v>25.87</v>
      </c>
      <c r="BO13" s="360"/>
      <c r="BP13" s="130">
        <f>IFERROR(VLOOKUP($O13,'Table 3 PV wS SO_2024'!$B$10:$K$40,10,FALSE),0)</f>
        <v>25.87</v>
      </c>
      <c r="BQ13" s="360"/>
      <c r="BR13" s="130">
        <f>IFERROR(VLOOKUP($O13,'Table 3 PV wS UTN_2024'!$B$10:$K$43,10,FALSE),0)</f>
        <v>25.87</v>
      </c>
      <c r="BS13" s="130">
        <f>IFERROR(VLOOKUP($O13,'Table 3 PV wS JB_2024'!$B$10:$K$40,10,FALSE),0)</f>
        <v>25.87</v>
      </c>
      <c r="BT13" s="130">
        <f>IFERROR(VLOOKUP($O13,'Table 3 PV wS JB_2029'!$B$10:$K$40,10,FALSE),0)</f>
        <v>25.87</v>
      </c>
      <c r="BU13" s="360"/>
      <c r="BV13" s="130">
        <f>IFERROR(VLOOKUP($O13,'Table 3 PV wS UTS_2024'!$B$10:$K$38,10,FALSE),0)</f>
        <v>25.87</v>
      </c>
      <c r="BW13" s="130">
        <f>IFERROR(VLOOKUP($O13,'Table 3 PV wS UTS_2030'!$B$10:$K$38,10,FALSE),0)</f>
        <v>25.87</v>
      </c>
      <c r="BX13" s="359"/>
      <c r="BY13" s="130">
        <f>IFERROR(VLOOKUP($O13,'Table 3 185 MW (NTN) 2026)'!$B$13:$L$40,11,FALSE),0)</f>
        <v>8.17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2021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>
      <c r="B14" s="15">
        <f t="shared" ref="B14:B38" si="38">B13+1</f>
        <v>2022</v>
      </c>
      <c r="C14" s="9">
        <f t="shared" si="17"/>
        <v>0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18.23854809278378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18.23854809278378</v>
      </c>
      <c r="H14" s="36"/>
      <c r="I14" s="174"/>
      <c r="J14" s="174"/>
      <c r="O14">
        <f t="shared" si="18"/>
        <v>2022</v>
      </c>
      <c r="P14">
        <v>0</v>
      </c>
      <c r="Q14">
        <v>0</v>
      </c>
      <c r="R14">
        <v>0</v>
      </c>
      <c r="S14" s="358">
        <v>0</v>
      </c>
      <c r="T14" s="358">
        <v>0</v>
      </c>
      <c r="U14" s="174">
        <v>0</v>
      </c>
      <c r="V14" s="358">
        <v>0</v>
      </c>
      <c r="W14" s="358">
        <v>0</v>
      </c>
      <c r="X14" s="358">
        <v>0</v>
      </c>
      <c r="Y14" s="358">
        <v>0</v>
      </c>
      <c r="Z14" s="358">
        <v>0</v>
      </c>
      <c r="AA14" s="358">
        <v>0</v>
      </c>
      <c r="AB14" s="358">
        <v>0</v>
      </c>
      <c r="AC14" s="358">
        <v>0</v>
      </c>
      <c r="AD14" s="358">
        <v>0</v>
      </c>
      <c r="AE14" s="358">
        <v>0</v>
      </c>
      <c r="AF14" s="358">
        <v>0</v>
      </c>
      <c r="AG14" s="358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2022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0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60"/>
      <c r="BM14" s="130">
        <f>IFERROR(VLOOKUP($O14,'Table 3 ID Wind wS_2032'!$B$10:$K$38,10,FALSE),0)</f>
        <v>0</v>
      </c>
      <c r="BN14" s="130">
        <f>IFERROR(VLOOKUP($O14,'Table 3 PV wS YK_2024'!$B$10:$K$40,10,FALSE),0)</f>
        <v>26.31</v>
      </c>
      <c r="BO14" s="360"/>
      <c r="BP14" s="130">
        <f>IFERROR(VLOOKUP($O14,'Table 3 PV wS SO_2024'!$B$10:$K$40,10,FALSE),0)</f>
        <v>26.31</v>
      </c>
      <c r="BQ14" s="360"/>
      <c r="BR14" s="130">
        <f>IFERROR(VLOOKUP($O14,'Table 3 PV wS UTN_2024'!$B$10:$K$43,10,FALSE),0)</f>
        <v>26.31</v>
      </c>
      <c r="BS14" s="130">
        <f>IFERROR(VLOOKUP($O14,'Table 3 PV wS JB_2024'!$B$10:$K$40,10,FALSE),0)</f>
        <v>26.31</v>
      </c>
      <c r="BT14" s="130">
        <f>IFERROR(VLOOKUP($O14,'Table 3 PV wS JB_2029'!$B$10:$K$40,10,FALSE),0)</f>
        <v>26.31</v>
      </c>
      <c r="BU14" s="360"/>
      <c r="BV14" s="130">
        <f>IFERROR(VLOOKUP($O14,'Table 3 PV wS UTS_2024'!$B$10:$K$38,10,FALSE),0)</f>
        <v>26.31</v>
      </c>
      <c r="BW14" s="130">
        <f>IFERROR(VLOOKUP($O14,'Table 3 PV wS UTS_2030'!$B$10:$K$38,10,FALSE),0)</f>
        <v>26.31</v>
      </c>
      <c r="BX14" s="359"/>
      <c r="BY14" s="130">
        <f>IFERROR(VLOOKUP($O14,'Table 3 185 MW (NTN) 2026)'!$B$13:$L$40,11,FALSE),0)</f>
        <v>8.31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2022</v>
      </c>
      <c r="DB14" s="89">
        <f>IFERROR(VLOOKUP($DA14,'Table 3 TransCost'!$B$10:$E$40,4,FALSE),0)</f>
        <v>0</v>
      </c>
      <c r="DC14" s="174">
        <f t="shared" ref="DC14:DC30" si="41">$DB$5*DB14/1000</f>
        <v>0</v>
      </c>
    </row>
    <row r="15" spans="2:107" customFormat="1">
      <c r="B15" s="15">
        <f t="shared" si="38"/>
        <v>2023</v>
      </c>
      <c r="C15" s="9">
        <f t="shared" si="17"/>
        <v>0</v>
      </c>
      <c r="D15" s="45"/>
      <c r="E15" s="9">
        <f t="shared" ca="1" si="39"/>
        <v>18.522079840584112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18.522079840584112</v>
      </c>
      <c r="H15" s="36"/>
      <c r="I15" s="174"/>
      <c r="J15" s="174"/>
      <c r="N15" s="89"/>
      <c r="O15">
        <f t="shared" si="18"/>
        <v>2023</v>
      </c>
      <c r="P15">
        <v>0</v>
      </c>
      <c r="Q15">
        <v>0</v>
      </c>
      <c r="R15">
        <v>0</v>
      </c>
      <c r="S15" s="358">
        <v>0</v>
      </c>
      <c r="T15" s="358">
        <v>0</v>
      </c>
      <c r="U15" s="174">
        <v>0</v>
      </c>
      <c r="V15" s="358">
        <v>0</v>
      </c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358">
        <v>0</v>
      </c>
      <c r="AE15" s="358">
        <v>0</v>
      </c>
      <c r="AF15" s="358">
        <v>0</v>
      </c>
      <c r="AG15" s="358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2023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121.1121219836666</v>
      </c>
      <c r="BJ15" s="130">
        <f>IFERROR(VLOOKUP($O15,'Table 3 WYAE Wind_2024'!$B$10:$L$37,11,FALSE),0)</f>
        <v>0</v>
      </c>
      <c r="BK15" s="130">
        <f>IFERROR(VLOOKUP($O15,'Table 3 YK Wind wS_2029'!$B$10:$K$37,10,FALSE),0)</f>
        <v>0</v>
      </c>
      <c r="BL15" s="360"/>
      <c r="BM15" s="130">
        <f>IFERROR(VLOOKUP($O15,'Table 3 ID Wind wS_2032'!$B$10:$K$38,10,FALSE),0)</f>
        <v>0</v>
      </c>
      <c r="BN15" s="130">
        <f>IFERROR(VLOOKUP($O15,'Table 3 PV wS YK_2024'!$B$10:$K$40,10,FALSE),0)</f>
        <v>26.86</v>
      </c>
      <c r="BO15" s="360"/>
      <c r="BP15" s="130">
        <f>IFERROR(VLOOKUP($O15,'Table 3 PV wS SO_2024'!$B$10:$K$40,10,FALSE),0)</f>
        <v>26.86</v>
      </c>
      <c r="BQ15" s="360"/>
      <c r="BR15" s="130">
        <f>IFERROR(VLOOKUP($O15,'Table 3 PV wS UTN_2024'!$B$10:$K$43,10,FALSE),0)</f>
        <v>26.86</v>
      </c>
      <c r="BS15" s="130">
        <f>IFERROR(VLOOKUP($O15,'Table 3 PV wS JB_2024'!$B$10:$K$40,10,FALSE),0)</f>
        <v>26.86</v>
      </c>
      <c r="BT15" s="130">
        <f>IFERROR(VLOOKUP($O15,'Table 3 PV wS JB_2029'!$B$10:$K$40,10,FALSE),0)</f>
        <v>26.86</v>
      </c>
      <c r="BU15" s="360"/>
      <c r="BV15" s="130">
        <f>IFERROR(VLOOKUP($O15,'Table 3 PV wS UTS_2024'!$B$10:$K$38,10,FALSE),0)</f>
        <v>26.86</v>
      </c>
      <c r="BW15" s="130">
        <f>IFERROR(VLOOKUP($O15,'Table 3 PV wS UTS_2030'!$B$10:$K$38,10,FALSE),0)</f>
        <v>26.86</v>
      </c>
      <c r="BX15" s="359"/>
      <c r="BY15" s="130">
        <f>IFERROR(VLOOKUP($O15,'Table 3 185 MW (NTN) 2026)'!$B$13:$L$40,11,FALSE),0)</f>
        <v>8.48</v>
      </c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37"/>
        <v>2023</v>
      </c>
      <c r="DB15" s="89">
        <f>IFERROR(VLOOKUP($DA15,'Table 3 TransCost'!$B$10:$E$40,4,FALSE),0)</f>
        <v>0</v>
      </c>
      <c r="DC15" s="174">
        <f t="shared" si="41"/>
        <v>0</v>
      </c>
    </row>
    <row r="16" spans="2:107" customFormat="1">
      <c r="B16" s="15">
        <f t="shared" si="38"/>
        <v>2024</v>
      </c>
      <c r="C16" s="9">
        <f t="shared" si="17"/>
        <v>28.786548091666351</v>
      </c>
      <c r="D16" s="45"/>
      <c r="E16" s="9">
        <f t="shared" ca="1" si="39"/>
        <v>2.4252127210028775</v>
      </c>
      <c r="F16" s="37"/>
      <c r="G16" s="14">
        <f t="shared" ca="1" si="42"/>
        <v>12.761178871433291</v>
      </c>
      <c r="H16" s="36"/>
      <c r="I16" s="174"/>
      <c r="J16" s="174"/>
      <c r="M16" s="111"/>
      <c r="O16">
        <f t="shared" si="18"/>
        <v>2024</v>
      </c>
      <c r="P16">
        <v>0</v>
      </c>
      <c r="Q16">
        <v>0</v>
      </c>
      <c r="R16">
        <v>0</v>
      </c>
      <c r="S16" s="358">
        <v>0</v>
      </c>
      <c r="T16" s="358">
        <v>0</v>
      </c>
      <c r="U16" s="174">
        <v>0</v>
      </c>
      <c r="V16" s="358">
        <v>0</v>
      </c>
      <c r="W16" s="358">
        <v>0</v>
      </c>
      <c r="X16" s="358">
        <v>8.6686588999999969</v>
      </c>
      <c r="Y16" s="358">
        <v>0</v>
      </c>
      <c r="Z16" s="358">
        <v>0</v>
      </c>
      <c r="AA16" s="358">
        <v>0</v>
      </c>
      <c r="AB16" s="358">
        <v>0</v>
      </c>
      <c r="AC16" s="358">
        <v>0</v>
      </c>
      <c r="AD16" s="358">
        <v>0</v>
      </c>
      <c r="AE16" s="358">
        <v>0</v>
      </c>
      <c r="AF16" s="358">
        <v>0</v>
      </c>
      <c r="AG16" s="358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24.654028878317327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2024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123.89246376811593</v>
      </c>
      <c r="BJ16" s="130">
        <f>IFERROR(VLOOKUP($O16,'Table 3 WYAE Wind_2024'!$B$10:$L$37,11,FALSE),0)</f>
        <v>167.27126747278072</v>
      </c>
      <c r="BK16" s="130">
        <f>IFERROR(VLOOKUP($O16,'Table 3 YK Wind wS_2029'!$B$10:$K$37,10,FALSE),0)</f>
        <v>0</v>
      </c>
      <c r="BL16" s="360"/>
      <c r="BM16" s="130">
        <f>IFERROR(VLOOKUP($O16,'Table 3 ID Wind wS_2032'!$B$10:$K$38,10,FALSE),0)</f>
        <v>0</v>
      </c>
      <c r="BN16" s="130">
        <f>IFERROR(VLOOKUP($O16,'Table 3 PV wS YK_2024'!$B$10:$K$40,10,FALSE),0)</f>
        <v>93.726445239115705</v>
      </c>
      <c r="BO16" s="360"/>
      <c r="BP16" s="130">
        <f>IFERROR(VLOOKUP($O16,'Table 3 PV wS SO_2024'!$B$10:$K$40,10,FALSE),0)</f>
        <v>93.409635345997287</v>
      </c>
      <c r="BQ16" s="360"/>
      <c r="BR16" s="130">
        <f>IFERROR(VLOOKUP($O16,'Table 3 PV wS UTN_2024'!$B$10:$K$43,10,FALSE),0)</f>
        <v>92.608350344380241</v>
      </c>
      <c r="BS16" s="130">
        <f>IFERROR(VLOOKUP($O16,'Table 3 PV wS JB_2024'!$B$10:$K$40,10,FALSE),0)</f>
        <v>89.92193262711865</v>
      </c>
      <c r="BT16" s="130">
        <f>IFERROR(VLOOKUP($O16,'Table 3 PV wS JB_2029'!$B$10:$K$40,10,FALSE),0)</f>
        <v>27.48</v>
      </c>
      <c r="BU16" s="360"/>
      <c r="BV16" s="130">
        <f>IFERROR(VLOOKUP($O16,'Table 3 PV wS UTS_2024'!$B$10:$K$38,10,FALSE),0)</f>
        <v>91.528391998478384</v>
      </c>
      <c r="BW16" s="130">
        <f>IFERROR(VLOOKUP($O16,'Table 3 PV wS UTS_2030'!$B$10:$K$38,10,FALSE),0)</f>
        <v>27.48</v>
      </c>
      <c r="BX16" s="359"/>
      <c r="BY16" s="130">
        <f>IFERROR(VLOOKUP($O16,'Table 3 185 MW (NTN) 2026)'!$B$13:$L$40,11,FALSE),0)</f>
        <v>8.68</v>
      </c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2.3029238473333078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2.3029238473333078</v>
      </c>
      <c r="DA16">
        <f t="shared" si="37"/>
        <v>2024</v>
      </c>
      <c r="DB16" s="89">
        <f>IFERROR(VLOOKUP($DA16,'Table 3 TransCost'!$B$10:$E$40,4,FALSE),0)</f>
        <v>47.870308055404145</v>
      </c>
      <c r="DC16" s="174">
        <f t="shared" si="41"/>
        <v>0</v>
      </c>
    </row>
    <row r="17" spans="2:107">
      <c r="B17" s="15">
        <f t="shared" si="38"/>
        <v>2025</v>
      </c>
      <c r="C17" s="9">
        <f t="shared" si="17"/>
        <v>29.476973277638155</v>
      </c>
      <c r="D17" s="45"/>
      <c r="E17" s="9">
        <f t="shared" ca="1" si="39"/>
        <v>2.6097547003763371</v>
      </c>
      <c r="F17" s="37"/>
      <c r="G17" s="14">
        <f t="shared" ca="1" si="42"/>
        <v>13.275455504287828</v>
      </c>
      <c r="H17" s="36"/>
      <c r="I17" s="174"/>
      <c r="J17" s="174"/>
      <c r="M17" s="112"/>
      <c r="O17">
        <f t="shared" si="18"/>
        <v>2025</v>
      </c>
      <c r="P17">
        <v>0</v>
      </c>
      <c r="Q17">
        <v>0</v>
      </c>
      <c r="R17">
        <v>0</v>
      </c>
      <c r="S17" s="358">
        <v>0</v>
      </c>
      <c r="T17" s="358">
        <v>0</v>
      </c>
      <c r="U17" s="174">
        <v>0</v>
      </c>
      <c r="V17" s="358">
        <v>0</v>
      </c>
      <c r="W17" s="358">
        <v>0</v>
      </c>
      <c r="X17" s="358">
        <v>0</v>
      </c>
      <c r="Y17" s="358">
        <v>0</v>
      </c>
      <c r="Z17" s="358">
        <v>0</v>
      </c>
      <c r="AA17" s="358">
        <v>0</v>
      </c>
      <c r="AB17" s="358">
        <v>0</v>
      </c>
      <c r="AC17" s="358">
        <v>0</v>
      </c>
      <c r="AD17" s="358">
        <v>0</v>
      </c>
      <c r="AE17" s="358">
        <v>0</v>
      </c>
      <c r="AF17" s="358">
        <v>0</v>
      </c>
      <c r="AG17" s="358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2025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126.82608695652173</v>
      </c>
      <c r="BJ17" s="130">
        <f>IFERROR(VLOOKUP($O17,'Table 3 WYAE Wind_2024'!$B$10:$L$37,11,FALSE),0)</f>
        <v>171.26020833333334</v>
      </c>
      <c r="BK17" s="130">
        <f>IFERROR(VLOOKUP($O17,'Table 3 YK Wind wS_2029'!$B$10:$K$37,10,FALSE),0)</f>
        <v>0</v>
      </c>
      <c r="BL17" s="360"/>
      <c r="BM17" s="130">
        <f>IFERROR(VLOOKUP($O17,'Table 3 ID Wind wS_2032'!$B$10:$K$38,10,FALSE),0)</f>
        <v>0</v>
      </c>
      <c r="BN17" s="130">
        <f>IFERROR(VLOOKUP($O17,'Table 3 PV wS YK_2024'!$B$10:$K$40,10,FALSE),0)</f>
        <v>95.98</v>
      </c>
      <c r="BO17" s="360"/>
      <c r="BP17" s="130">
        <f>IFERROR(VLOOKUP($O17,'Table 3 PV wS SO_2024'!$B$10:$K$40,10,FALSE),0)</f>
        <v>95.65</v>
      </c>
      <c r="BQ17" s="360"/>
      <c r="BR17" s="130">
        <f>IFERROR(VLOOKUP($O17,'Table 3 PV wS UTN_2024'!$B$10:$K$43,10,FALSE),0)</f>
        <v>94.83</v>
      </c>
      <c r="BS17" s="130">
        <f>IFERROR(VLOOKUP($O17,'Table 3 PV wS JB_2024'!$B$10:$K$40,10,FALSE),0)</f>
        <v>92.08</v>
      </c>
      <c r="BT17" s="130">
        <f>IFERROR(VLOOKUP($O17,'Table 3 PV wS JB_2029'!$B$10:$K$40,10,FALSE),0)</f>
        <v>28.14</v>
      </c>
      <c r="BU17" s="360"/>
      <c r="BV17" s="130">
        <f>IFERROR(VLOOKUP($O17,'Table 3 PV wS UTS_2024'!$B$10:$K$38,10,FALSE),0)</f>
        <v>93.73</v>
      </c>
      <c r="BW17" s="130">
        <f>IFERROR(VLOOKUP($O17,'Table 3 PV wS UTS_2030'!$B$10:$K$38,10,FALSE),0)</f>
        <v>28.14</v>
      </c>
      <c r="BX17" s="359"/>
      <c r="BY17" s="130">
        <f>IFERROR(VLOOKUP($O17,'Table 3 185 MW (NTN) 2026)'!$B$13:$L$40,11,FALSE),0)</f>
        <v>8.89</v>
      </c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2.3581578622110522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2.3581578622110522</v>
      </c>
      <c r="DA17">
        <f t="shared" si="37"/>
        <v>2025</v>
      </c>
      <c r="DB17" s="89">
        <f>IFERROR(VLOOKUP($DA17,'Table 3 TransCost'!$B$10:$E$40,4,FALSE),0)</f>
        <v>49.02</v>
      </c>
      <c r="DC17" s="174">
        <f t="shared" si="41"/>
        <v>0</v>
      </c>
    </row>
    <row r="18" spans="2:107">
      <c r="B18" s="15">
        <f t="shared" si="38"/>
        <v>2026</v>
      </c>
      <c r="C18" s="9">
        <f t="shared" si="17"/>
        <v>30.213512390377883</v>
      </c>
      <c r="D18" s="45"/>
      <c r="E18" s="9">
        <f t="shared" ca="1" si="39"/>
        <v>3.0897503813432068</v>
      </c>
      <c r="F18" s="37"/>
      <c r="G18" s="14">
        <f t="shared" ca="1" si="42"/>
        <v>14.076890020601358</v>
      </c>
      <c r="H18" s="36"/>
      <c r="I18" s="174"/>
      <c r="J18" s="174"/>
      <c r="M18" s="112"/>
      <c r="O18">
        <f t="shared" si="18"/>
        <v>2026</v>
      </c>
      <c r="P18">
        <v>0</v>
      </c>
      <c r="Q18">
        <v>0</v>
      </c>
      <c r="R18">
        <v>0</v>
      </c>
      <c r="S18" s="358">
        <v>0</v>
      </c>
      <c r="T18" s="358">
        <v>0</v>
      </c>
      <c r="U18" s="174">
        <v>0</v>
      </c>
      <c r="V18" s="358">
        <v>0</v>
      </c>
      <c r="W18" s="358">
        <v>0</v>
      </c>
      <c r="X18" s="358">
        <v>0</v>
      </c>
      <c r="Y18" s="358">
        <v>0</v>
      </c>
      <c r="Z18" s="358">
        <v>0</v>
      </c>
      <c r="AA18" s="358">
        <v>0</v>
      </c>
      <c r="AB18" s="358">
        <v>0</v>
      </c>
      <c r="AC18" s="358">
        <v>0</v>
      </c>
      <c r="AD18" s="358">
        <v>0</v>
      </c>
      <c r="AE18" s="358">
        <v>0</v>
      </c>
      <c r="AF18" s="358">
        <v>0</v>
      </c>
      <c r="AG18" s="358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2026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129.92420289855073</v>
      </c>
      <c r="BJ18" s="130">
        <f>IFERROR(VLOOKUP($O18,'Table 3 WYAE Wind_2024'!$B$10:$L$37,11,FALSE),0)</f>
        <v>175.46010416666667</v>
      </c>
      <c r="BK18" s="130">
        <f>IFERROR(VLOOKUP($O18,'Table 3 YK Wind wS_2029'!$B$10:$K$37,10,FALSE),0)</f>
        <v>0</v>
      </c>
      <c r="BL18" s="360"/>
      <c r="BM18" s="130">
        <f>IFERROR(VLOOKUP($O18,'Table 3 ID Wind wS_2032'!$B$10:$K$38,10,FALSE),0)</f>
        <v>0</v>
      </c>
      <c r="BN18" s="130">
        <f>IFERROR(VLOOKUP($O18,'Table 3 PV wS YK_2024'!$B$10:$K$40,10,FALSE),0)</f>
        <v>98.38</v>
      </c>
      <c r="BO18" s="360"/>
      <c r="BP18" s="130">
        <f>IFERROR(VLOOKUP($O18,'Table 3 PV wS SO_2024'!$B$10:$K$40,10,FALSE),0)</f>
        <v>98.04</v>
      </c>
      <c r="BQ18" s="360"/>
      <c r="BR18" s="130">
        <f>IFERROR(VLOOKUP($O18,'Table 3 PV wS UTN_2024'!$B$10:$K$43,10,FALSE),0)</f>
        <v>97.2</v>
      </c>
      <c r="BS18" s="130">
        <f>IFERROR(VLOOKUP($O18,'Table 3 PV wS JB_2024'!$B$10:$K$40,10,FALSE),0)</f>
        <v>94.38000000000001</v>
      </c>
      <c r="BT18" s="130">
        <f>IFERROR(VLOOKUP($O18,'Table 3 PV wS JB_2029'!$B$10:$K$40,10,FALSE),0)</f>
        <v>28.84</v>
      </c>
      <c r="BU18" s="360"/>
      <c r="BV18" s="130">
        <f>IFERROR(VLOOKUP($O18,'Table 3 PV wS UTS_2024'!$B$10:$K$38,10,FALSE),0)</f>
        <v>96.070000000000007</v>
      </c>
      <c r="BW18" s="130">
        <f>IFERROR(VLOOKUP($O18,'Table 3 PV wS UTS_2030'!$B$10:$K$38,10,FALSE),0)</f>
        <v>28.84</v>
      </c>
      <c r="BX18" s="359"/>
      <c r="BY18" s="130">
        <f>IFERROR(VLOOKUP($O18,'Table 3 185 MW (NTN) 2026)'!$B$13:$L$40,11,FALSE),0)</f>
        <v>111.55330989724176</v>
      </c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2.4170809912302307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2.4170809912302307</v>
      </c>
      <c r="DA18">
        <f t="shared" si="37"/>
        <v>2026</v>
      </c>
      <c r="DB18" s="89">
        <f>IFERROR(VLOOKUP($DA18,'Table 3 TransCost'!$B$10:$E$40,4,FALSE),0)</f>
        <v>50.25</v>
      </c>
      <c r="DC18" s="174">
        <f t="shared" si="41"/>
        <v>0</v>
      </c>
    </row>
    <row r="19" spans="2:107">
      <c r="B19" s="15">
        <f t="shared" si="38"/>
        <v>2027</v>
      </c>
      <c r="C19" s="9">
        <f t="shared" si="17"/>
        <v>30.968542024776355</v>
      </c>
      <c r="D19" s="45"/>
      <c r="E19" s="9">
        <f t="shared" ca="1" si="39"/>
        <v>3.7688118417494656</v>
      </c>
      <c r="F19" s="37"/>
      <c r="G19" s="14">
        <f t="shared" ca="1" si="42"/>
        <v>15.087109423841234</v>
      </c>
      <c r="H19" s="36"/>
      <c r="I19" s="174"/>
      <c r="J19" s="174"/>
      <c r="M19" s="112"/>
      <c r="O19">
        <f t="shared" si="18"/>
        <v>2027</v>
      </c>
      <c r="P19">
        <v>0</v>
      </c>
      <c r="Q19">
        <v>0</v>
      </c>
      <c r="R19">
        <v>0</v>
      </c>
      <c r="S19" s="358">
        <v>0</v>
      </c>
      <c r="T19" s="358">
        <v>0</v>
      </c>
      <c r="U19" s="174"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58">
        <v>0</v>
      </c>
      <c r="AC19" s="358">
        <v>0</v>
      </c>
      <c r="AD19" s="358">
        <v>0</v>
      </c>
      <c r="AE19" s="358">
        <v>0</v>
      </c>
      <c r="AF19" s="358">
        <v>0</v>
      </c>
      <c r="AG19" s="358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2027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133.08681159420291</v>
      </c>
      <c r="BJ19" s="130">
        <f>IFERROR(VLOOKUP($O19,'Table 3 WYAE Wind_2024'!$B$10:$L$37,11,FALSE),0)</f>
        <v>179.78020833333332</v>
      </c>
      <c r="BK19" s="130">
        <f>IFERROR(VLOOKUP($O19,'Table 3 YK Wind wS_2029'!$B$10:$K$37,10,FALSE),0)</f>
        <v>0</v>
      </c>
      <c r="BL19" s="360"/>
      <c r="BM19" s="130">
        <f>IFERROR(VLOOKUP($O19,'Table 3 ID Wind wS_2032'!$B$10:$K$38,10,FALSE),0)</f>
        <v>0</v>
      </c>
      <c r="BN19" s="130">
        <f>IFERROR(VLOOKUP($O19,'Table 3 PV wS YK_2024'!$B$10:$K$40,10,FALSE),0)</f>
        <v>100.84</v>
      </c>
      <c r="BO19" s="360"/>
      <c r="BP19" s="130">
        <f>IFERROR(VLOOKUP($O19,'Table 3 PV wS SO_2024'!$B$10:$K$40,10,FALSE),0)</f>
        <v>100.49000000000001</v>
      </c>
      <c r="BQ19" s="360"/>
      <c r="BR19" s="130">
        <f>IFERROR(VLOOKUP($O19,'Table 3 PV wS UTN_2024'!$B$10:$K$43,10,FALSE),0)</f>
        <v>99.63000000000001</v>
      </c>
      <c r="BS19" s="130">
        <f>IFERROR(VLOOKUP($O19,'Table 3 PV wS JB_2024'!$B$10:$K$40,10,FALSE),0)</f>
        <v>96.740000000000009</v>
      </c>
      <c r="BT19" s="130">
        <f>IFERROR(VLOOKUP($O19,'Table 3 PV wS JB_2029'!$B$10:$K$40,10,FALSE),0)</f>
        <v>29.56</v>
      </c>
      <c r="BU19" s="360"/>
      <c r="BV19" s="130">
        <f>IFERROR(VLOOKUP($O19,'Table 3 PV wS UTS_2024'!$B$10:$K$38,10,FALSE),0)</f>
        <v>98.470000000000013</v>
      </c>
      <c r="BW19" s="130">
        <f>IFERROR(VLOOKUP($O19,'Table 3 PV wS UTS_2030'!$B$10:$K$38,10,FALSE),0)</f>
        <v>29.56</v>
      </c>
      <c r="BX19" s="359"/>
      <c r="BY19" s="130">
        <f>IFERROR(VLOOKUP($O19,'Table 3 185 MW (NTN) 2026)'!$B$13:$L$40,11,FALSE),0)</f>
        <v>114.34</v>
      </c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2.4774833619821082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2.4774833619821082</v>
      </c>
      <c r="DA19">
        <f t="shared" si="37"/>
        <v>2027</v>
      </c>
      <c r="DB19" s="89">
        <f>IFERROR(VLOOKUP($DA19,'Table 3 TransCost'!$B$10:$E$40,4,FALSE),0)</f>
        <v>51.51</v>
      </c>
      <c r="DC19" s="174">
        <f t="shared" si="41"/>
        <v>0</v>
      </c>
    </row>
    <row r="20" spans="2:107">
      <c r="B20" s="15">
        <f t="shared" si="38"/>
        <v>2028</v>
      </c>
      <c r="C20" s="9">
        <f t="shared" si="17"/>
        <v>31.711244644735661</v>
      </c>
      <c r="D20" s="45"/>
      <c r="E20" s="9">
        <f t="shared" ca="1" si="39"/>
        <v>8.3666169547001381</v>
      </c>
      <c r="F20" s="37"/>
      <c r="G20" s="14">
        <f t="shared" ca="1" si="42"/>
        <v>19.983308433869169</v>
      </c>
      <c r="H20" s="36"/>
      <c r="I20" s="174"/>
      <c r="J20" s="174"/>
      <c r="M20" s="112"/>
      <c r="O20">
        <f t="shared" si="18"/>
        <v>2028</v>
      </c>
      <c r="P20">
        <v>0</v>
      </c>
      <c r="Q20">
        <v>0</v>
      </c>
      <c r="R20">
        <v>0</v>
      </c>
      <c r="S20" s="358">
        <v>0</v>
      </c>
      <c r="T20" s="358">
        <v>0</v>
      </c>
      <c r="U20" s="174">
        <v>0</v>
      </c>
      <c r="V20" s="358">
        <v>0</v>
      </c>
      <c r="W20" s="358">
        <v>0</v>
      </c>
      <c r="X20" s="358">
        <v>0</v>
      </c>
      <c r="Y20" s="358">
        <v>0</v>
      </c>
      <c r="Z20" s="358">
        <v>0</v>
      </c>
      <c r="AA20" s="358">
        <v>0</v>
      </c>
      <c r="AB20" s="358">
        <v>0</v>
      </c>
      <c r="AC20" s="358">
        <v>0</v>
      </c>
      <c r="AD20" s="358">
        <v>0</v>
      </c>
      <c r="AE20" s="358">
        <v>0</v>
      </c>
      <c r="AF20" s="358">
        <v>0</v>
      </c>
      <c r="AG20" s="358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2028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136.24840579710147</v>
      </c>
      <c r="BJ20" s="130">
        <f>IFERROR(VLOOKUP($O20,'Table 3 WYAE Wind_2024'!$B$10:$L$37,11,FALSE),0)</f>
        <v>184.06010416666666</v>
      </c>
      <c r="BK20" s="130">
        <f>IFERROR(VLOOKUP($O20,'Table 3 YK Wind wS_2029'!$B$10:$K$37,10,FALSE),0)</f>
        <v>0</v>
      </c>
      <c r="BL20" s="360"/>
      <c r="BM20" s="130">
        <f>IFERROR(VLOOKUP($O20,'Table 3 ID Wind wS_2032'!$B$10:$K$38,10,FALSE),0)</f>
        <v>0</v>
      </c>
      <c r="BN20" s="130">
        <f>IFERROR(VLOOKUP($O20,'Table 3 PV wS YK_2024'!$B$10:$K$40,10,FALSE),0)</f>
        <v>103.26</v>
      </c>
      <c r="BO20" s="360"/>
      <c r="BP20" s="130">
        <f>IFERROR(VLOOKUP($O20,'Table 3 PV wS SO_2024'!$B$10:$K$40,10,FALSE),0)</f>
        <v>102.89999999999999</v>
      </c>
      <c r="BQ20" s="360"/>
      <c r="BR20" s="130">
        <f>IFERROR(VLOOKUP($O20,'Table 3 PV wS UTN_2024'!$B$10:$K$43,10,FALSE),0)</f>
        <v>102.02</v>
      </c>
      <c r="BS20" s="130">
        <f>IFERROR(VLOOKUP($O20,'Table 3 PV wS JB_2024'!$B$10:$K$40,10,FALSE),0)</f>
        <v>99.06</v>
      </c>
      <c r="BT20" s="130">
        <f>IFERROR(VLOOKUP($O20,'Table 3 PV wS JB_2029'!$B$10:$K$40,10,FALSE),0)</f>
        <v>30.27</v>
      </c>
      <c r="BU20" s="360"/>
      <c r="BV20" s="130">
        <f>IFERROR(VLOOKUP($O20,'Table 3 PV wS UTS_2024'!$B$10:$K$38,10,FALSE),0)</f>
        <v>100.83</v>
      </c>
      <c r="BW20" s="130">
        <f>IFERROR(VLOOKUP($O20,'Table 3 PV wS UTS_2030'!$B$10:$K$38,10,FALSE),0)</f>
        <v>30.27</v>
      </c>
      <c r="BX20" s="359"/>
      <c r="BY20" s="130">
        <f>IFERROR(VLOOKUP($O20,'Table 3 185 MW (NTN) 2026)'!$B$13:$L$40,11,FALSE),0)</f>
        <v>117.08</v>
      </c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2.5368995715788527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2.5368995715788527</v>
      </c>
      <c r="DA20">
        <f t="shared" si="37"/>
        <v>2028</v>
      </c>
      <c r="DB20" s="89">
        <f>IFERROR(VLOOKUP($DA20,'Table 3 TransCost'!$B$10:$E$40,4,FALSE),0)</f>
        <v>52.75</v>
      </c>
      <c r="DC20" s="174">
        <f t="shared" si="41"/>
        <v>0</v>
      </c>
    </row>
    <row r="21" spans="2:107">
      <c r="B21" s="15">
        <f t="shared" si="38"/>
        <v>2029</v>
      </c>
      <c r="C21" s="9">
        <f t="shared" si="17"/>
        <v>32.472437786353709</v>
      </c>
      <c r="D21" s="45"/>
      <c r="E21" s="9">
        <f t="shared" ca="1" si="39"/>
        <v>9.3794674962449278</v>
      </c>
      <c r="F21" s="37"/>
      <c r="G21" s="14">
        <f t="shared" ca="1" si="42"/>
        <v>21.36698014813626</v>
      </c>
      <c r="H21" s="36"/>
      <c r="I21" s="174"/>
      <c r="J21" s="174"/>
      <c r="M21" s="112"/>
      <c r="O21">
        <f t="shared" si="18"/>
        <v>2029</v>
      </c>
      <c r="P21">
        <v>0</v>
      </c>
      <c r="Q21">
        <v>0</v>
      </c>
      <c r="R21">
        <v>0</v>
      </c>
      <c r="S21" s="358">
        <v>0</v>
      </c>
      <c r="T21" s="358">
        <v>0</v>
      </c>
      <c r="U21" s="174"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58">
        <v>0</v>
      </c>
      <c r="AC21" s="358">
        <v>0</v>
      </c>
      <c r="AD21" s="358">
        <v>0</v>
      </c>
      <c r="AE21" s="358">
        <v>0</v>
      </c>
      <c r="AF21" s="358">
        <v>0</v>
      </c>
      <c r="AG21" s="358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2029</v>
      </c>
      <c r="BH21" s="130">
        <f>IFERROR(VLOOKUP($O21,'Table 3 ID Wind_2030'!$B$10:$K$37,10,FALSE),0)</f>
        <v>0</v>
      </c>
      <c r="BI21" s="130">
        <f>IFERROR(VLOOKUP($O21,'Table 3 UT CP Wind_2023'!$B$10:$K$37,10,FALSE),0)</f>
        <v>139.47449275362317</v>
      </c>
      <c r="BJ21" s="130">
        <f>IFERROR(VLOOKUP($O21,'Table 3 WYAE Wind_2024'!$B$10:$L$37,11,FALSE),0)</f>
        <v>188.43989583333334</v>
      </c>
      <c r="BK21" s="130">
        <f>IFERROR(VLOOKUP($O21,'Table 3 YK Wind wS_2029'!$B$10:$K$37,10,FALSE),0)</f>
        <v>143.38474081632654</v>
      </c>
      <c r="BL21" s="360"/>
      <c r="BM21" s="130">
        <f>IFERROR(VLOOKUP($O21,'Table 3 ID Wind wS_2032'!$B$10:$K$38,10,FALSE),0)</f>
        <v>0</v>
      </c>
      <c r="BN21" s="130">
        <f>IFERROR(VLOOKUP($O21,'Table 3 PV wS YK_2024'!$B$10:$K$40,10,FALSE),0)</f>
        <v>105.74</v>
      </c>
      <c r="BO21" s="360"/>
      <c r="BP21" s="130">
        <f>IFERROR(VLOOKUP($O21,'Table 3 PV wS SO_2024'!$B$10:$K$40,10,FALSE),0)</f>
        <v>105.37</v>
      </c>
      <c r="BQ21" s="360"/>
      <c r="BR21" s="130">
        <f>IFERROR(VLOOKUP($O21,'Table 3 PV wS UTN_2024'!$B$10:$K$43,10,FALSE),0)</f>
        <v>104.47</v>
      </c>
      <c r="BS21" s="130">
        <f>IFERROR(VLOOKUP($O21,'Table 3 PV wS JB_2024'!$B$10:$K$40,10,FALSE),0)</f>
        <v>101.44</v>
      </c>
      <c r="BT21" s="130">
        <f>IFERROR(VLOOKUP($O21,'Table 3 PV wS JB_2029'!$B$10:$K$40,10,FALSE),0)</f>
        <v>92.528924457429042</v>
      </c>
      <c r="BU21" s="360"/>
      <c r="BV21" s="130">
        <f>IFERROR(VLOOKUP($O21,'Table 3 PV wS UTS_2024'!$B$10:$K$38,10,FALSE),0)</f>
        <v>103.25</v>
      </c>
      <c r="BW21" s="130">
        <f>IFERROR(VLOOKUP($O21,'Table 3 PV wS UTS_2030'!$B$10:$K$38,10,FALSE),0)</f>
        <v>31</v>
      </c>
      <c r="BX21" s="359"/>
      <c r="BY21" s="130">
        <f>IFERROR(VLOOKUP($O21,'Table 3 185 MW (NTN) 2026)'!$B$13:$L$40,11,FALSE),0)</f>
        <v>119.89</v>
      </c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2.5977950229082967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2.5977950229082967</v>
      </c>
      <c r="DA21">
        <f t="shared" si="37"/>
        <v>2029</v>
      </c>
      <c r="DB21" s="89">
        <f>IFERROR(VLOOKUP($DA21,'Table 3 TransCost'!$B$10:$E$40,4,FALSE),0)</f>
        <v>54.02</v>
      </c>
      <c r="DC21" s="174">
        <f t="shared" si="41"/>
        <v>0</v>
      </c>
    </row>
    <row r="22" spans="2:107">
      <c r="B22" s="15">
        <f t="shared" si="38"/>
        <v>2030</v>
      </c>
      <c r="C22" s="9">
        <f t="shared" si="17"/>
        <v>33.218222159922803</v>
      </c>
      <c r="D22" s="45"/>
      <c r="E22" s="9">
        <f t="shared" ca="1" si="39"/>
        <v>6.7645073801346873</v>
      </c>
      <c r="F22" s="37"/>
      <c r="G22" s="14">
        <f t="shared" ca="1" si="42"/>
        <v>19.088955728612074</v>
      </c>
      <c r="H22" s="36"/>
      <c r="I22" s="174"/>
      <c r="J22" s="174"/>
      <c r="M22" s="112"/>
      <c r="O22">
        <f t="shared" si="18"/>
        <v>2030</v>
      </c>
      <c r="P22">
        <v>0</v>
      </c>
      <c r="Q22">
        <v>0</v>
      </c>
      <c r="R22">
        <v>0</v>
      </c>
      <c r="S22" s="358">
        <v>0</v>
      </c>
      <c r="T22" s="358">
        <v>0</v>
      </c>
      <c r="U22" s="174">
        <v>0</v>
      </c>
      <c r="V22" s="358">
        <v>0</v>
      </c>
      <c r="W22" s="358">
        <v>0</v>
      </c>
      <c r="X22" s="358">
        <v>0</v>
      </c>
      <c r="Y22" s="358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358">
        <v>0</v>
      </c>
      <c r="AF22" s="358">
        <v>0</v>
      </c>
      <c r="AG22" s="358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2030</v>
      </c>
      <c r="BH22" s="130">
        <f>IFERROR(VLOOKUP($O22,'Table 3 ID Wind_2030'!$B$10:$K$37,10,FALSE),0)</f>
        <v>136.2952817537722</v>
      </c>
      <c r="BI22" s="130">
        <f>IFERROR(VLOOKUP($O22,'Table 3 UT CP Wind_2023'!$B$10:$K$37,10,FALSE),0)</f>
        <v>142.67507246376812</v>
      </c>
      <c r="BJ22" s="130">
        <f>IFERROR(VLOOKUP($O22,'Table 3 WYAE Wind_2024'!$B$10:$L$37,11,FALSE),0)</f>
        <v>192.76</v>
      </c>
      <c r="BK22" s="130">
        <f>IFERROR(VLOOKUP($O22,'Table 3 YK Wind wS_2029'!$B$10:$K$37,10,FALSE),0)</f>
        <v>146.62020408163264</v>
      </c>
      <c r="BL22" s="360"/>
      <c r="BM22" s="130">
        <f>IFERROR(VLOOKUP($O22,'Table 3 ID Wind wS_2032'!$B$10:$K$38,10,FALSE),0)</f>
        <v>0</v>
      </c>
      <c r="BN22" s="130">
        <f>IFERROR(VLOOKUP($O22,'Table 3 PV wS YK_2024'!$B$10:$K$40,10,FALSE),0)</f>
        <v>108.17</v>
      </c>
      <c r="BO22" s="360"/>
      <c r="BP22" s="130">
        <f>IFERROR(VLOOKUP($O22,'Table 3 PV wS SO_2024'!$B$10:$K$40,10,FALSE),0)</f>
        <v>107.78999999999999</v>
      </c>
      <c r="BQ22" s="360"/>
      <c r="BR22" s="130">
        <f>IFERROR(VLOOKUP($O22,'Table 3 PV wS UTN_2024'!$B$10:$K$43,10,FALSE),0)</f>
        <v>106.86999999999999</v>
      </c>
      <c r="BS22" s="130">
        <f>IFERROR(VLOOKUP($O22,'Table 3 PV wS JB_2024'!$B$10:$K$40,10,FALSE),0)</f>
        <v>103.77000000000001</v>
      </c>
      <c r="BT22" s="130">
        <f>IFERROR(VLOOKUP($O22,'Table 3 PV wS JB_2029'!$B$10:$K$40,10,FALSE),0)</f>
        <v>94.65</v>
      </c>
      <c r="BU22" s="360"/>
      <c r="BV22" s="130">
        <f>IFERROR(VLOOKUP($O22,'Table 3 PV wS UTS_2024'!$B$10:$K$38,10,FALSE),0)</f>
        <v>105.61999999999999</v>
      </c>
      <c r="BW22" s="130">
        <f>IFERROR(VLOOKUP($O22,'Table 3 PV wS UTS_2030'!$B$10:$K$38,10,FALSE),0)</f>
        <v>134.88129714599961</v>
      </c>
      <c r="BX22" s="359"/>
      <c r="BY22" s="130">
        <f>IFERROR(VLOOKUP($O22,'Table 3 185 MW (NTN) 2026)'!$B$13:$L$40,11,FALSE),0)</f>
        <v>122.67</v>
      </c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2.6574577727938244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2.6574577727938244</v>
      </c>
      <c r="DA22">
        <f t="shared" si="37"/>
        <v>2030</v>
      </c>
      <c r="DB22" s="89">
        <f>IFERROR(VLOOKUP($DA22,'Table 3 TransCost'!$B$10:$E$40,4,FALSE),0)</f>
        <v>55.26</v>
      </c>
      <c r="DC22" s="174">
        <f t="shared" si="41"/>
        <v>0</v>
      </c>
    </row>
    <row r="23" spans="2:107">
      <c r="B23" s="15">
        <f t="shared" si="38"/>
        <v>2031</v>
      </c>
      <c r="C23" s="9">
        <f t="shared" si="17"/>
        <v>33.982497055150645</v>
      </c>
      <c r="D23" s="45"/>
      <c r="E23" s="9">
        <f t="shared" ca="1" si="39"/>
        <v>8.2063211886866476</v>
      </c>
      <c r="F23" s="37"/>
      <c r="G23" s="14">
        <f t="shared" ca="1" si="42"/>
        <v>20.877683677854282</v>
      </c>
      <c r="H23" s="36"/>
      <c r="I23" s="174"/>
      <c r="J23" s="174"/>
      <c r="M23" s="112"/>
      <c r="O23">
        <f t="shared" si="18"/>
        <v>2031</v>
      </c>
      <c r="P23">
        <v>0</v>
      </c>
      <c r="Q23">
        <v>0</v>
      </c>
      <c r="R23">
        <v>0</v>
      </c>
      <c r="S23" s="358">
        <v>0</v>
      </c>
      <c r="T23" s="358">
        <v>0</v>
      </c>
      <c r="U23" s="174">
        <v>0</v>
      </c>
      <c r="V23" s="358">
        <v>0</v>
      </c>
      <c r="W23" s="358">
        <v>0</v>
      </c>
      <c r="X23" s="358">
        <v>0</v>
      </c>
      <c r="Y23" s="358">
        <v>0</v>
      </c>
      <c r="Z23" s="358">
        <v>0</v>
      </c>
      <c r="AA23" s="358">
        <v>0</v>
      </c>
      <c r="AB23" s="358">
        <v>0</v>
      </c>
      <c r="AC23" s="358">
        <v>0</v>
      </c>
      <c r="AD23" s="358">
        <v>0</v>
      </c>
      <c r="AE23" s="358">
        <v>0</v>
      </c>
      <c r="AF23" s="358">
        <v>0</v>
      </c>
      <c r="AG23" s="358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2031</v>
      </c>
      <c r="BH23" s="130">
        <f>IFERROR(VLOOKUP($O23,'Table 3 ID Wind_2030'!$B$10:$K$37,10,FALSE),0)</f>
        <v>139.43004232397075</v>
      </c>
      <c r="BI23" s="130">
        <f>IFERROR(VLOOKUP($O23,'Table 3 UT CP Wind_2023'!$B$10:$K$37,10,FALSE),0)</f>
        <v>145.95463768115943</v>
      </c>
      <c r="BJ23" s="130">
        <f>IFERROR(VLOOKUP($O23,'Table 3 WYAE Wind_2024'!$B$10:$L$37,11,FALSE),0)</f>
        <v>197.17989583333335</v>
      </c>
      <c r="BK23" s="130">
        <f>IFERROR(VLOOKUP($O23,'Table 3 YK Wind wS_2029'!$B$10:$K$37,10,FALSE),0)</f>
        <v>150.02244897959184</v>
      </c>
      <c r="BL23" s="360"/>
      <c r="BM23" s="130">
        <f>IFERROR(VLOOKUP($O23,'Table 3 ID Wind wS_2032'!$B$10:$K$38,10,FALSE),0)</f>
        <v>0</v>
      </c>
      <c r="BN23" s="130">
        <f>IFERROR(VLOOKUP($O23,'Table 3 PV wS YK_2024'!$B$10:$K$40,10,FALSE),0)</f>
        <v>110.66</v>
      </c>
      <c r="BO23" s="360"/>
      <c r="BP23" s="130">
        <f>IFERROR(VLOOKUP($O23,'Table 3 PV wS SO_2024'!$B$10:$K$40,10,FALSE),0)</f>
        <v>110.27</v>
      </c>
      <c r="BQ23" s="360"/>
      <c r="BR23" s="130">
        <f>IFERROR(VLOOKUP($O23,'Table 3 PV wS UTN_2024'!$B$10:$K$43,10,FALSE),0)</f>
        <v>109.33</v>
      </c>
      <c r="BS23" s="130">
        <f>IFERROR(VLOOKUP($O23,'Table 3 PV wS JB_2024'!$B$10:$K$40,10,FALSE),0)</f>
        <v>106.16</v>
      </c>
      <c r="BT23" s="130">
        <f>IFERROR(VLOOKUP($O23,'Table 3 PV wS JB_2029'!$B$10:$K$40,10,FALSE),0)</f>
        <v>96.83</v>
      </c>
      <c r="BU23" s="360"/>
      <c r="BV23" s="130">
        <f>IFERROR(VLOOKUP($O23,'Table 3 PV wS UTS_2024'!$B$10:$K$38,10,FALSE),0)</f>
        <v>108.05</v>
      </c>
      <c r="BW23" s="130">
        <f>IFERROR(VLOOKUP($O23,'Table 3 PV wS UTS_2030'!$B$10:$K$38,10,FALSE),0)</f>
        <v>137.97999999999999</v>
      </c>
      <c r="BX23" s="359"/>
      <c r="BY23" s="130">
        <f>IFERROR(VLOOKUP($O23,'Table 3 185 MW (NTN) 2026)'!$B$13:$L$40,11,FALSE),0)</f>
        <v>125.48</v>
      </c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2.7185997644120516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2.7185997644120516</v>
      </c>
      <c r="DA23">
        <f t="shared" si="37"/>
        <v>2031</v>
      </c>
      <c r="DB23" s="89">
        <f>IFERROR(VLOOKUP($DA23,'Table 3 TransCost'!$B$10:$E$40,4,FALSE),0)</f>
        <v>56.53</v>
      </c>
      <c r="DC23" s="174">
        <f t="shared" si="41"/>
        <v>0</v>
      </c>
    </row>
    <row r="24" spans="2:107">
      <c r="B24" s="15">
        <f t="shared" si="38"/>
        <v>2032</v>
      </c>
      <c r="C24" s="9">
        <f t="shared" si="17"/>
        <v>34.765262472037222</v>
      </c>
      <c r="D24" s="45"/>
      <c r="E24" s="9">
        <f t="shared" ca="1" si="39"/>
        <v>8.5933877936439149</v>
      </c>
      <c r="F24" s="37"/>
      <c r="G24" s="14">
        <f t="shared" ca="1" si="42"/>
        <v>21.586774228761161</v>
      </c>
      <c r="H24" s="36"/>
      <c r="I24" s="174"/>
      <c r="J24" s="174"/>
      <c r="M24" s="112"/>
      <c r="O24">
        <f t="shared" si="18"/>
        <v>2032</v>
      </c>
      <c r="P24">
        <v>0</v>
      </c>
      <c r="Q24">
        <v>0</v>
      </c>
      <c r="R24">
        <v>0</v>
      </c>
      <c r="S24" s="358">
        <v>0</v>
      </c>
      <c r="T24" s="358">
        <v>0</v>
      </c>
      <c r="U24" s="174">
        <v>0</v>
      </c>
      <c r="V24" s="358">
        <v>0</v>
      </c>
      <c r="W24" s="358">
        <v>0</v>
      </c>
      <c r="X24" s="358">
        <v>0</v>
      </c>
      <c r="Y24" s="358">
        <v>0</v>
      </c>
      <c r="Z24" s="358">
        <v>0</v>
      </c>
      <c r="AA24" s="358">
        <v>0</v>
      </c>
      <c r="AB24" s="358">
        <v>0</v>
      </c>
      <c r="AC24" s="358">
        <v>0</v>
      </c>
      <c r="AD24" s="358">
        <v>0</v>
      </c>
      <c r="AE24" s="358">
        <v>0</v>
      </c>
      <c r="AF24" s="358">
        <v>0</v>
      </c>
      <c r="AG24" s="358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2032</v>
      </c>
      <c r="BH24" s="130">
        <f>IFERROR(VLOOKUP($O24,'Table 3 ID Wind_2030'!$B$10:$K$37,10,FALSE),0)</f>
        <v>142.62018853405155</v>
      </c>
      <c r="BI24" s="130">
        <f>IFERROR(VLOOKUP($O24,'Table 3 UT CP Wind_2023'!$B$10:$K$37,10,FALSE),0)</f>
        <v>149.3086956521739</v>
      </c>
      <c r="BJ24" s="130">
        <f>IFERROR(VLOOKUP($O24,'Table 3 WYAE Wind_2024'!$B$10:$L$37,11,FALSE),0)</f>
        <v>201.71010416666667</v>
      </c>
      <c r="BK24" s="130">
        <f>IFERROR(VLOOKUP($O24,'Table 3 YK Wind wS_2029'!$B$10:$K$37,10,FALSE),0)</f>
        <v>153.48469387755102</v>
      </c>
      <c r="BL24" s="360"/>
      <c r="BM24" s="130">
        <f>IFERROR(VLOOKUP($O24,'Table 3 ID Wind wS_2032'!$B$10:$K$38,10,FALSE),0)</f>
        <v>154.72594420529799</v>
      </c>
      <c r="BN24" s="130">
        <f>IFERROR(VLOOKUP($O24,'Table 3 PV wS YK_2024'!$B$10:$K$40,10,FALSE),0)</f>
        <v>113.21</v>
      </c>
      <c r="BO24" s="360"/>
      <c r="BP24" s="130">
        <f>IFERROR(VLOOKUP($O24,'Table 3 PV wS SO_2024'!$B$10:$K$40,10,FALSE),0)</f>
        <v>112.81</v>
      </c>
      <c r="BQ24" s="360"/>
      <c r="BR24" s="130">
        <f>IFERROR(VLOOKUP($O24,'Table 3 PV wS UTN_2024'!$B$10:$K$43,10,FALSE),0)</f>
        <v>111.85</v>
      </c>
      <c r="BS24" s="130">
        <f>IFERROR(VLOOKUP($O24,'Table 3 PV wS JB_2024'!$B$10:$K$40,10,FALSE),0)</f>
        <v>108.61</v>
      </c>
      <c r="BT24" s="130">
        <f>IFERROR(VLOOKUP($O24,'Table 3 PV wS JB_2029'!$B$10:$K$40,10,FALSE),0)</f>
        <v>99.06</v>
      </c>
      <c r="BU24" s="360"/>
      <c r="BV24" s="130">
        <f>IFERROR(VLOOKUP($O24,'Table 3 PV wS UTS_2024'!$B$10:$K$38,10,FALSE),0)</f>
        <v>110.53999999999999</v>
      </c>
      <c r="BW24" s="130">
        <f>IFERROR(VLOOKUP($O24,'Table 3 PV wS UTS_2030'!$B$10:$K$38,10,FALSE),0)</f>
        <v>141.16</v>
      </c>
      <c r="BX24" s="359"/>
      <c r="BY24" s="130">
        <f>IFERROR(VLOOKUP($O24,'Table 3 185 MW (NTN) 2026)'!$B$13:$L$40,11,FALSE),0)</f>
        <v>128.37</v>
      </c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2.7812209977629778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2.7812209977629778</v>
      </c>
      <c r="DA24">
        <f t="shared" si="37"/>
        <v>2032</v>
      </c>
      <c r="DB24" s="89">
        <f>IFERROR(VLOOKUP($DA24,'Table 3 TransCost'!$B$10:$E$40,4,FALSE),0)</f>
        <v>57.830000000000005</v>
      </c>
      <c r="DC24" s="174">
        <f t="shared" si="41"/>
        <v>0</v>
      </c>
    </row>
    <row r="25" spans="2:107">
      <c r="B25" s="15">
        <f t="shared" si="38"/>
        <v>2033</v>
      </c>
      <c r="C25" s="9">
        <f t="shared" si="17"/>
        <v>35.56343665697274</v>
      </c>
      <c r="D25" s="45"/>
      <c r="E25" s="9">
        <f t="shared" ca="1" si="39"/>
        <v>9.4671362476797061</v>
      </c>
      <c r="F25" s="37"/>
      <c r="G25" s="14">
        <f t="shared" ca="1" si="42"/>
        <v>22.861607768556723</v>
      </c>
      <c r="H25" s="36"/>
      <c r="I25" s="174"/>
      <c r="J25" s="174"/>
      <c r="M25" s="112"/>
      <c r="O25">
        <f t="shared" si="18"/>
        <v>2033</v>
      </c>
      <c r="P25">
        <v>0</v>
      </c>
      <c r="Q25">
        <v>0</v>
      </c>
      <c r="R25">
        <v>0</v>
      </c>
      <c r="S25" s="358">
        <v>0</v>
      </c>
      <c r="T25" s="358">
        <v>0</v>
      </c>
      <c r="U25" s="174">
        <v>0</v>
      </c>
      <c r="V25" s="358">
        <v>0</v>
      </c>
      <c r="W25" s="358">
        <v>0</v>
      </c>
      <c r="X25" s="358">
        <v>0</v>
      </c>
      <c r="Y25" s="358">
        <v>0</v>
      </c>
      <c r="Z25" s="358">
        <v>0</v>
      </c>
      <c r="AA25" s="358">
        <v>0</v>
      </c>
      <c r="AB25" s="358">
        <v>0</v>
      </c>
      <c r="AC25" s="358">
        <v>0</v>
      </c>
      <c r="AD25" s="358">
        <v>0</v>
      </c>
      <c r="AE25" s="358">
        <v>0</v>
      </c>
      <c r="AF25" s="358">
        <v>0</v>
      </c>
      <c r="AG25" s="358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2033</v>
      </c>
      <c r="BH25" s="130">
        <f>IFERROR(VLOOKUP($O25,'Table 3 ID Wind_2030'!$B$10:$K$37,10,FALSE),0)</f>
        <v>145.88957291265871</v>
      </c>
      <c r="BI25" s="130">
        <f>IFERROR(VLOOKUP($O25,'Table 3 UT CP Wind_2023'!$B$10:$K$37,10,FALSE),0)</f>
        <v>152.72724637681159</v>
      </c>
      <c r="BJ25" s="130">
        <f>IFERROR(VLOOKUP($O25,'Table 3 WYAE Wind_2024'!$B$10:$L$37,11,FALSE),0)</f>
        <v>206.34010416666666</v>
      </c>
      <c r="BK25" s="130">
        <f>IFERROR(VLOOKUP($O25,'Table 3 YK Wind wS_2029'!$B$10:$K$37,10,FALSE),0)</f>
        <v>157.00693877551021</v>
      </c>
      <c r="BL25" s="360"/>
      <c r="BM25" s="130">
        <f>IFERROR(VLOOKUP($O25,'Table 3 ID Wind wS_2032'!$B$10:$K$38,10,FALSE),0)</f>
        <v>158.27788079470199</v>
      </c>
      <c r="BN25" s="130">
        <f>IFERROR(VLOOKUP($O25,'Table 3 PV wS YK_2024'!$B$10:$K$40,10,FALSE),0)</f>
        <v>115.81</v>
      </c>
      <c r="BO25" s="360"/>
      <c r="BP25" s="130">
        <f>IFERROR(VLOOKUP($O25,'Table 3 PV wS SO_2024'!$B$10:$K$40,10,FALSE),0)</f>
        <v>115.4</v>
      </c>
      <c r="BQ25" s="360"/>
      <c r="BR25" s="130">
        <f>IFERROR(VLOOKUP($O25,'Table 3 PV wS UTN_2024'!$B$10:$K$43,10,FALSE),0)</f>
        <v>114.42</v>
      </c>
      <c r="BS25" s="130">
        <f>IFERROR(VLOOKUP($O25,'Table 3 PV wS JB_2024'!$B$10:$K$40,10,FALSE),0)</f>
        <v>111.10000000000001</v>
      </c>
      <c r="BT25" s="130">
        <f>IFERROR(VLOOKUP($O25,'Table 3 PV wS JB_2029'!$B$10:$K$40,10,FALSE),0)</f>
        <v>101.34</v>
      </c>
      <c r="BU25" s="360"/>
      <c r="BV25" s="130">
        <f>IFERROR(VLOOKUP($O25,'Table 3 PV wS UTS_2024'!$B$10:$K$38,10,FALSE),0)</f>
        <v>113.08</v>
      </c>
      <c r="BW25" s="130">
        <f>IFERROR(VLOOKUP($O25,'Table 3 PV wS UTS_2030'!$B$10:$K$38,10,FALSE),0)</f>
        <v>144.4</v>
      </c>
      <c r="BX25" s="359"/>
      <c r="BY25" s="130">
        <f>IFERROR(VLOOKUP($O25,'Table 3 185 MW (NTN) 2026)'!$B$13:$L$40,11,FALSE),0)</f>
        <v>131.32999999999998</v>
      </c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2.8450749325578193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2.8450749325578193</v>
      </c>
      <c r="DA25">
        <f t="shared" si="37"/>
        <v>2033</v>
      </c>
      <c r="DB25" s="89">
        <f>IFERROR(VLOOKUP($DA25,'Table 3 TransCost'!$B$10:$E$40,4,FALSE),0)</f>
        <v>59.16</v>
      </c>
      <c r="DC25" s="174">
        <f t="shared" si="41"/>
        <v>0</v>
      </c>
    </row>
    <row r="26" spans="2:107">
      <c r="B26" s="15">
        <f t="shared" si="38"/>
        <v>2034</v>
      </c>
      <c r="C26" s="9">
        <f t="shared" si="17"/>
        <v>36.414000653274691</v>
      </c>
      <c r="D26" s="45"/>
      <c r="E26" s="9">
        <f t="shared" ca="1" si="39"/>
        <v>10.154883493445894</v>
      </c>
      <c r="F26" s="37"/>
      <c r="G26" s="14">
        <f t="shared" ca="1" si="42"/>
        <v>23.93862677869123</v>
      </c>
      <c r="H26" s="36"/>
      <c r="I26" s="174"/>
      <c r="J26" s="174"/>
      <c r="M26" s="112"/>
      <c r="O26">
        <f t="shared" si="18"/>
        <v>2034</v>
      </c>
      <c r="P26">
        <v>0</v>
      </c>
      <c r="Q26">
        <v>0</v>
      </c>
      <c r="R26">
        <v>0</v>
      </c>
      <c r="S26" s="358">
        <v>0</v>
      </c>
      <c r="T26" s="358">
        <v>0</v>
      </c>
      <c r="U26" s="174">
        <v>0</v>
      </c>
      <c r="V26" s="358">
        <v>0</v>
      </c>
      <c r="W26" s="358">
        <v>0</v>
      </c>
      <c r="X26" s="358">
        <v>0</v>
      </c>
      <c r="Y26" s="358">
        <v>0</v>
      </c>
      <c r="Z26" s="358">
        <v>0</v>
      </c>
      <c r="AA26" s="358">
        <v>0</v>
      </c>
      <c r="AB26" s="358">
        <v>0</v>
      </c>
      <c r="AC26" s="358">
        <v>0</v>
      </c>
      <c r="AD26" s="358">
        <v>0</v>
      </c>
      <c r="AE26" s="358">
        <v>0</v>
      </c>
      <c r="AF26" s="358">
        <v>0</v>
      </c>
      <c r="AG26" s="358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2034</v>
      </c>
      <c r="BH26" s="130">
        <f>IFERROR(VLOOKUP($O26,'Table 3 ID Wind_2030'!$B$10:$K$37,10,FALSE),0)</f>
        <v>149.34011927664486</v>
      </c>
      <c r="BI26" s="130">
        <f>IFERROR(VLOOKUP($O26,'Table 3 UT CP Wind_2023'!$B$10:$K$37,10,FALSE),0)</f>
        <v>156.34478260869565</v>
      </c>
      <c r="BJ26" s="130">
        <f>IFERROR(VLOOKUP($O26,'Table 3 WYAE Wind_2024'!$B$10:$L$37,11,FALSE),0)</f>
        <v>211.23989583333332</v>
      </c>
      <c r="BK26" s="130">
        <f>IFERROR(VLOOKUP($O26,'Table 3 YK Wind wS_2029'!$B$10:$K$37,10,FALSE),0)</f>
        <v>160.72918367346941</v>
      </c>
      <c r="BL26" s="360"/>
      <c r="BM26" s="130">
        <f>IFERROR(VLOOKUP($O26,'Table 3 ID Wind wS_2032'!$B$10:$K$38,10,FALSE),0)</f>
        <v>162.04701986754966</v>
      </c>
      <c r="BN26" s="130">
        <f>IFERROR(VLOOKUP($O26,'Table 3 PV wS YK_2024'!$B$10:$K$40,10,FALSE),0)</f>
        <v>118.58</v>
      </c>
      <c r="BO26" s="360"/>
      <c r="BP26" s="130">
        <f>IFERROR(VLOOKUP($O26,'Table 3 PV wS SO_2024'!$B$10:$K$40,10,FALSE),0)</f>
        <v>118.16</v>
      </c>
      <c r="BQ26" s="360"/>
      <c r="BR26" s="130">
        <f>IFERROR(VLOOKUP($O26,'Table 3 PV wS UTN_2024'!$B$10:$K$43,10,FALSE),0)</f>
        <v>117.16</v>
      </c>
      <c r="BS26" s="130">
        <f>IFERROR(VLOOKUP($O26,'Table 3 PV wS JB_2024'!$B$10:$K$40,10,FALSE),0)</f>
        <v>113.75999999999999</v>
      </c>
      <c r="BT26" s="130">
        <f>IFERROR(VLOOKUP($O26,'Table 3 PV wS JB_2029'!$B$10:$K$40,10,FALSE),0)</f>
        <v>103.77000000000001</v>
      </c>
      <c r="BU26" s="360"/>
      <c r="BV26" s="130">
        <f>IFERROR(VLOOKUP($O26,'Table 3 PV wS UTS_2024'!$B$10:$K$38,10,FALSE),0)</f>
        <v>115.78</v>
      </c>
      <c r="BW26" s="130">
        <f>IFERROR(VLOOKUP($O26,'Table 3 PV wS UTS_2030'!$B$10:$K$38,10,FALSE),0)</f>
        <v>147.86000000000001</v>
      </c>
      <c r="BX26" s="359"/>
      <c r="BY26" s="130">
        <f>IFERROR(VLOOKUP($O26,'Table 3 185 MW (NTN) 2026)'!$B$13:$L$40,11,FALSE),0)</f>
        <v>134.47999999999999</v>
      </c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2.9131200522619753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2.9131200522619753</v>
      </c>
      <c r="DA26">
        <f t="shared" si="37"/>
        <v>2034</v>
      </c>
      <c r="DB26" s="89">
        <f>IFERROR(VLOOKUP($DA26,'Table 3 TransCost'!$B$10:$E$40,4,FALSE),0)</f>
        <v>60.580000000000005</v>
      </c>
      <c r="DC26" s="174">
        <f t="shared" si="41"/>
        <v>0</v>
      </c>
    </row>
    <row r="27" spans="2:107">
      <c r="B27" s="15">
        <f t="shared" si="38"/>
        <v>2035</v>
      </c>
      <c r="C27" s="9">
        <f t="shared" si="17"/>
        <v>37.286136924845167</v>
      </c>
      <c r="D27" s="45"/>
      <c r="E27" s="9">
        <f t="shared" ca="1" si="39"/>
        <v>10.68773388286807</v>
      </c>
      <c r="F27" s="37"/>
      <c r="G27" s="14">
        <f t="shared" ca="1" si="42"/>
        <v>24.872529815379156</v>
      </c>
      <c r="H27" s="36"/>
      <c r="I27" s="174"/>
      <c r="J27" s="174"/>
      <c r="M27" s="112"/>
      <c r="O27">
        <f t="shared" si="18"/>
        <v>2035</v>
      </c>
      <c r="P27">
        <v>0</v>
      </c>
      <c r="Q27">
        <v>0</v>
      </c>
      <c r="R27">
        <v>0</v>
      </c>
      <c r="S27" s="358">
        <v>0</v>
      </c>
      <c r="T27" s="358">
        <v>0</v>
      </c>
      <c r="U27" s="174">
        <v>0</v>
      </c>
      <c r="V27" s="358">
        <v>0</v>
      </c>
      <c r="W27" s="358">
        <v>0</v>
      </c>
      <c r="X27" s="358">
        <v>0</v>
      </c>
      <c r="Y27" s="358">
        <v>0</v>
      </c>
      <c r="Z27" s="358">
        <v>0</v>
      </c>
      <c r="AA27" s="358">
        <v>0</v>
      </c>
      <c r="AB27" s="358">
        <v>0</v>
      </c>
      <c r="AC27" s="358">
        <v>0</v>
      </c>
      <c r="AD27" s="358">
        <v>0</v>
      </c>
      <c r="AE27" s="358">
        <v>0</v>
      </c>
      <c r="AF27" s="358">
        <v>0</v>
      </c>
      <c r="AG27" s="358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2035</v>
      </c>
      <c r="BH27" s="130">
        <f>IFERROR(VLOOKUP($O27,'Table 3 ID Wind_2030'!$B$10:$K$37,10,FALSE),0)</f>
        <v>152.86990380915739</v>
      </c>
      <c r="BI27" s="130">
        <f>IFERROR(VLOOKUP($O27,'Table 3 UT CP Wind_2023'!$B$10:$K$37,10,FALSE),0)</f>
        <v>160.04681159420289</v>
      </c>
      <c r="BJ27" s="130">
        <f>IFERROR(VLOOKUP($O27,'Table 3 WYAE Wind_2024'!$B$10:$L$37,11,FALSE),0)</f>
        <v>216.25</v>
      </c>
      <c r="BK27" s="130">
        <f>IFERROR(VLOOKUP($O27,'Table 3 YK Wind wS_2029'!$B$10:$K$37,10,FALSE),0)</f>
        <v>164.52142857142857</v>
      </c>
      <c r="BL27" s="360"/>
      <c r="BM27" s="130">
        <f>IFERROR(VLOOKUP($O27,'Table 3 ID Wind wS_2032'!$B$10:$K$38,10,FALSE),0)</f>
        <v>165.89615894039736</v>
      </c>
      <c r="BN27" s="130">
        <f>IFERROR(VLOOKUP($O27,'Table 3 PV wS YK_2024'!$B$10:$K$40,10,FALSE),0)</f>
        <v>121.42</v>
      </c>
      <c r="BO27" s="360"/>
      <c r="BP27" s="130">
        <f>IFERROR(VLOOKUP($O27,'Table 3 PV wS SO_2024'!$B$10:$K$40,10,FALSE),0)</f>
        <v>120.99000000000001</v>
      </c>
      <c r="BQ27" s="360"/>
      <c r="BR27" s="130">
        <f>IFERROR(VLOOKUP($O27,'Table 3 PV wS UTN_2024'!$B$10:$K$43,10,FALSE),0)</f>
        <v>119.97</v>
      </c>
      <c r="BS27" s="130">
        <f>IFERROR(VLOOKUP($O27,'Table 3 PV wS JB_2024'!$B$10:$K$40,10,FALSE),0)</f>
        <v>116.49000000000001</v>
      </c>
      <c r="BT27" s="130">
        <f>IFERROR(VLOOKUP($O27,'Table 3 PV wS JB_2029'!$B$10:$K$40,10,FALSE),0)</f>
        <v>106.26</v>
      </c>
      <c r="BU27" s="360"/>
      <c r="BV27" s="130">
        <f>IFERROR(VLOOKUP($O27,'Table 3 PV wS UTS_2024'!$B$10:$K$38,10,FALSE),0)</f>
        <v>118.56</v>
      </c>
      <c r="BW27" s="130">
        <f>IFERROR(VLOOKUP($O27,'Table 3 PV wS UTS_2030'!$B$10:$K$38,10,FALSE),0)</f>
        <v>151.41</v>
      </c>
      <c r="BX27" s="359"/>
      <c r="BY27" s="130">
        <f>IFERROR(VLOOKUP($O27,'Table 3 185 MW (NTN) 2026)'!$B$13:$L$40,11,FALSE),0)</f>
        <v>137.69</v>
      </c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2.9828909539876136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2.9828909539876136</v>
      </c>
      <c r="DA27">
        <f t="shared" si="37"/>
        <v>2035</v>
      </c>
      <c r="DB27" s="89">
        <f>IFERROR(VLOOKUP($DA27,'Table 3 TransCost'!$B$10:$E$40,4,FALSE),0)</f>
        <v>62.03</v>
      </c>
      <c r="DC27" s="174">
        <f t="shared" si="41"/>
        <v>0</v>
      </c>
    </row>
    <row r="28" spans="2:107">
      <c r="B28" s="15">
        <f t="shared" si="38"/>
        <v>2036</v>
      </c>
      <c r="C28" s="9">
        <f t="shared" si="17"/>
        <v>38.142864428366693</v>
      </c>
      <c r="D28" s="45"/>
      <c r="E28" s="9">
        <f t="shared" ca="1" si="39"/>
        <v>12.85691438360081</v>
      </c>
      <c r="F28" s="37"/>
      <c r="G28" s="14">
        <f t="shared" ca="1" si="42"/>
        <v>27.401381770421423</v>
      </c>
      <c r="H28" s="36"/>
      <c r="I28" s="174"/>
      <c r="J28" s="174"/>
      <c r="M28" s="112"/>
      <c r="O28">
        <f t="shared" si="18"/>
        <v>2036</v>
      </c>
      <c r="P28">
        <v>0</v>
      </c>
      <c r="Q28">
        <v>0</v>
      </c>
      <c r="R28">
        <v>0</v>
      </c>
      <c r="S28" s="358">
        <v>0</v>
      </c>
      <c r="T28" s="358">
        <v>0</v>
      </c>
      <c r="U28" s="174">
        <v>0</v>
      </c>
      <c r="V28" s="358">
        <v>0</v>
      </c>
      <c r="W28" s="358">
        <v>0</v>
      </c>
      <c r="X28" s="358">
        <v>0</v>
      </c>
      <c r="Y28" s="358">
        <v>0</v>
      </c>
      <c r="Z28" s="358">
        <v>0</v>
      </c>
      <c r="AA28" s="358">
        <v>0</v>
      </c>
      <c r="AB28" s="358">
        <v>0</v>
      </c>
      <c r="AC28" s="358">
        <v>0</v>
      </c>
      <c r="AD28" s="358">
        <v>0</v>
      </c>
      <c r="AE28" s="358">
        <v>0</v>
      </c>
      <c r="AF28" s="358">
        <v>0</v>
      </c>
      <c r="AG28" s="358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2036</v>
      </c>
      <c r="BH28" s="130">
        <f>IFERROR(VLOOKUP($O28,'Table 3 ID Wind_2030'!$B$10:$K$37,10,FALSE),0)</f>
        <v>156.3795075028857</v>
      </c>
      <c r="BI28" s="130">
        <f>IFERROR(VLOOKUP($O28,'Table 3 UT CP Wind_2023'!$B$10:$K$37,10,FALSE),0)</f>
        <v>163.71782608695653</v>
      </c>
      <c r="BJ28" s="130">
        <f>IFERROR(VLOOKUP($O28,'Table 3 WYAE Wind_2024'!$B$10:$L$37,11,FALSE),0)</f>
        <v>221.22979166666667</v>
      </c>
      <c r="BK28" s="130">
        <f>IFERROR(VLOOKUP($O28,'Table 3 YK Wind wS_2029'!$B$10:$K$37,10,FALSE),0)</f>
        <v>168.26367346938775</v>
      </c>
      <c r="BL28" s="360"/>
      <c r="BM28" s="130">
        <f>IFERROR(VLOOKUP($O28,'Table 3 ID Wind wS_2032'!$B$10:$K$38,10,FALSE),0)</f>
        <v>169.70185430463579</v>
      </c>
      <c r="BN28" s="130">
        <f>IFERROR(VLOOKUP($O28,'Table 3 PV wS YK_2024'!$B$10:$K$40,10,FALSE),0)</f>
        <v>124.21000000000001</v>
      </c>
      <c r="BO28" s="360"/>
      <c r="BP28" s="130">
        <f>IFERROR(VLOOKUP($O28,'Table 3 PV wS SO_2024'!$B$10:$K$40,10,FALSE),0)</f>
        <v>123.77</v>
      </c>
      <c r="BQ28" s="360"/>
      <c r="BR28" s="130">
        <f>IFERROR(VLOOKUP($O28,'Table 3 PV wS UTN_2024'!$B$10:$K$43,10,FALSE),0)</f>
        <v>122.72999999999999</v>
      </c>
      <c r="BS28" s="130">
        <f>IFERROR(VLOOKUP($O28,'Table 3 PV wS JB_2024'!$B$10:$K$40,10,FALSE),0)</f>
        <v>119.17</v>
      </c>
      <c r="BT28" s="130">
        <f>IFERROR(VLOOKUP($O28,'Table 3 PV wS JB_2029'!$B$10:$K$40,10,FALSE),0)</f>
        <v>108.71</v>
      </c>
      <c r="BU28" s="360"/>
      <c r="BV28" s="130">
        <f>IFERROR(VLOOKUP($O28,'Table 3 PV wS UTS_2024'!$B$10:$K$38,10,FALSE),0)</f>
        <v>121.27999999999999</v>
      </c>
      <c r="BW28" s="130">
        <f>IFERROR(VLOOKUP($O28,'Table 3 PV wS UTS_2030'!$B$10:$K$38,10,FALSE),0)</f>
        <v>154.9</v>
      </c>
      <c r="BX28" s="359"/>
      <c r="BY28" s="130">
        <f>IFERROR(VLOOKUP($O28,'Table 3 185 MW (NTN) 2026)'!$B$13:$L$40,11,FALSE),0)</f>
        <v>140.86000000000001</v>
      </c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3.0514291542693353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3.0514291542693353</v>
      </c>
      <c r="DA28">
        <f t="shared" si="37"/>
        <v>2036</v>
      </c>
      <c r="DB28" s="89">
        <f>IFERROR(VLOOKUP($DA28,'Table 3 TransCost'!$B$10:$E$40,4,FALSE),0)</f>
        <v>63.46</v>
      </c>
      <c r="DC28" s="174">
        <f t="shared" si="41"/>
        <v>0</v>
      </c>
    </row>
    <row r="29" spans="2:107">
      <c r="B29" s="15">
        <f t="shared" si="38"/>
        <v>2037</v>
      </c>
      <c r="C29" s="9">
        <f t="shared" si="17"/>
        <v>39.021164207156751</v>
      </c>
      <c r="D29" s="45"/>
      <c r="E29" s="9">
        <f t="shared" ca="1" si="39"/>
        <v>12.876662309486532</v>
      </c>
      <c r="F29" s="37"/>
      <c r="G29" s="14">
        <f t="shared" ca="1" si="42"/>
        <v>27.871085519049785</v>
      </c>
      <c r="H29" s="36"/>
      <c r="I29" s="174"/>
      <c r="J29" s="174"/>
      <c r="M29" s="112"/>
      <c r="O29">
        <f t="shared" si="18"/>
        <v>2037</v>
      </c>
      <c r="P29">
        <v>0</v>
      </c>
      <c r="Q29">
        <v>0</v>
      </c>
      <c r="R29">
        <v>0</v>
      </c>
      <c r="S29" s="358">
        <v>0</v>
      </c>
      <c r="T29" s="358">
        <v>0</v>
      </c>
      <c r="U29" s="174">
        <v>0</v>
      </c>
      <c r="V29" s="358">
        <v>0</v>
      </c>
      <c r="W29" s="358">
        <v>0</v>
      </c>
      <c r="X29" s="358">
        <v>0</v>
      </c>
      <c r="Y29" s="358">
        <v>0</v>
      </c>
      <c r="Z29" s="358">
        <v>0</v>
      </c>
      <c r="AA29" s="358">
        <v>0</v>
      </c>
      <c r="AB29" s="358">
        <v>0</v>
      </c>
      <c r="AC29" s="358">
        <v>0</v>
      </c>
      <c r="AD29" s="358">
        <v>0</v>
      </c>
      <c r="AE29" s="358">
        <v>0</v>
      </c>
      <c r="AF29" s="358">
        <v>0</v>
      </c>
      <c r="AG29" s="358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2037</v>
      </c>
      <c r="BH29" s="130">
        <f>IFERROR(VLOOKUP($O29,'Table 3 ID Wind_2030'!$B$10:$K$37,10,FALSE),0)</f>
        <v>159.95969218930358</v>
      </c>
      <c r="BI29" s="130">
        <f>IFERROR(VLOOKUP($O29,'Table 3 UT CP Wind_2023'!$B$10:$K$37,10,FALSE),0)</f>
        <v>167.47333333333333</v>
      </c>
      <c r="BJ29" s="130">
        <f>IFERROR(VLOOKUP($O29,'Table 3 WYAE Wind_2024'!$B$10:$L$37,11,FALSE),0)</f>
        <v>226.3</v>
      </c>
      <c r="BK29" s="130">
        <f>IFERROR(VLOOKUP($O29,'Table 3 YK Wind wS_2029'!$B$10:$K$37,10,FALSE),0)</f>
        <v>172.17795918367347</v>
      </c>
      <c r="BL29" s="360"/>
      <c r="BM29" s="130">
        <f>IFERROR(VLOOKUP($O29,'Table 3 ID Wind wS_2032'!$B$10:$K$38,10,FALSE),0)</f>
        <v>173.61066225165564</v>
      </c>
      <c r="BN29" s="130">
        <f>IFERROR(VLOOKUP($O29,'Table 3 PV wS YK_2024'!$B$10:$K$40,10,FALSE),0)</f>
        <v>127.07</v>
      </c>
      <c r="BO29" s="360"/>
      <c r="BP29" s="130">
        <f>IFERROR(VLOOKUP($O29,'Table 3 PV wS SO_2024'!$B$10:$K$40,10,FALSE),0)</f>
        <v>126.62</v>
      </c>
      <c r="BQ29" s="360"/>
      <c r="BR29" s="130">
        <f>IFERROR(VLOOKUP($O29,'Table 3 PV wS UTN_2024'!$B$10:$K$43,10,FALSE),0)</f>
        <v>125.56</v>
      </c>
      <c r="BS29" s="130">
        <f>IFERROR(VLOOKUP($O29,'Table 3 PV wS JB_2024'!$B$10:$K$40,10,FALSE),0)</f>
        <v>121.91</v>
      </c>
      <c r="BT29" s="130">
        <f>IFERROR(VLOOKUP($O29,'Table 3 PV wS JB_2029'!$B$10:$K$40,10,FALSE),0)</f>
        <v>111.21</v>
      </c>
      <c r="BU29" s="360"/>
      <c r="BV29" s="130">
        <f>IFERROR(VLOOKUP($O29,'Table 3 PV wS UTS_2024'!$B$10:$K$38,10,FALSE),0)</f>
        <v>124.08000000000001</v>
      </c>
      <c r="BW29" s="130">
        <f>IFERROR(VLOOKUP($O29,'Table 3 PV wS UTS_2030'!$B$10:$K$38,10,FALSE),0)</f>
        <v>158.47</v>
      </c>
      <c r="BX29" s="359"/>
      <c r="BY29" s="130">
        <f>IFERROR(VLOOKUP($O29,'Table 3 185 MW (NTN) 2026)'!$B$13:$L$40,11,FALSE),0)</f>
        <v>144.07</v>
      </c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3.12169313657254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3.12169313657254</v>
      </c>
      <c r="DA29">
        <f t="shared" si="37"/>
        <v>2037</v>
      </c>
      <c r="DB29" s="89">
        <f>IFERROR(VLOOKUP($DA29,'Table 3 TransCost'!$B$10:$E$40,4,FALSE),0)</f>
        <v>64.92</v>
      </c>
      <c r="DC29" s="174">
        <f t="shared" si="41"/>
        <v>0</v>
      </c>
    </row>
    <row r="30" spans="2:107">
      <c r="B30" s="15">
        <f t="shared" si="38"/>
        <v>2038</v>
      </c>
      <c r="C30" s="9">
        <f t="shared" si="17"/>
        <v>39.921036261215342</v>
      </c>
      <c r="D30" s="45"/>
      <c r="E30" s="9">
        <f t="shared" ca="1" si="39"/>
        <v>7.5183023036174133</v>
      </c>
      <c r="F30" s="37"/>
      <c r="G30" s="14">
        <f t="shared" ca="1" si="42"/>
        <v>22.935600275029021</v>
      </c>
      <c r="H30" s="36"/>
      <c r="I30" s="174"/>
      <c r="J30" s="174"/>
      <c r="M30" s="112"/>
      <c r="O30">
        <f t="shared" si="18"/>
        <v>2038</v>
      </c>
      <c r="P30">
        <v>0</v>
      </c>
      <c r="Q30">
        <v>0</v>
      </c>
      <c r="R30">
        <v>0</v>
      </c>
      <c r="S30" s="358">
        <v>0</v>
      </c>
      <c r="T30" s="358">
        <v>0</v>
      </c>
      <c r="U30" s="174">
        <v>0</v>
      </c>
      <c r="V30" s="358">
        <v>0</v>
      </c>
      <c r="W30" s="358">
        <v>0</v>
      </c>
      <c r="X30" s="358">
        <v>0</v>
      </c>
      <c r="Y30" s="358">
        <v>0</v>
      </c>
      <c r="Z30" s="358">
        <v>0</v>
      </c>
      <c r="AA30" s="358">
        <v>0</v>
      </c>
      <c r="AB30" s="358">
        <v>0</v>
      </c>
      <c r="AC30" s="358">
        <v>0</v>
      </c>
      <c r="AD30" s="358">
        <v>0</v>
      </c>
      <c r="AE30" s="358">
        <v>0</v>
      </c>
      <c r="AF30" s="358">
        <v>0</v>
      </c>
      <c r="AG30" s="358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2038</v>
      </c>
      <c r="BH30" s="130">
        <f>IFERROR(VLOOKUP($O30,'Table 3 ID Wind_2030'!$B$10:$K$37,10,FALSE),0)</f>
        <v>163.64065794536359</v>
      </c>
      <c r="BI30" s="130">
        <f>IFERROR(VLOOKUP($O30,'Table 3 UT CP Wind_2023'!$B$10:$K$37,10,FALSE),0)</f>
        <v>171.32782608695652</v>
      </c>
      <c r="BJ30" s="130">
        <f>IFERROR(VLOOKUP($O30,'Table 3 WYAE Wind_2024'!$B$10:$L$37,11,FALSE),0)</f>
        <v>231.49989583333334</v>
      </c>
      <c r="BK30" s="130">
        <f>IFERROR(VLOOKUP($O30,'Table 3 YK Wind wS_2029'!$B$10:$K$37,10,FALSE),0)</f>
        <v>176.1622448979592</v>
      </c>
      <c r="BL30" s="360"/>
      <c r="BM30" s="130">
        <f>IFERROR(VLOOKUP($O30,'Table 3 ID Wind wS_2032'!$B$10:$K$38,10,FALSE),0)</f>
        <v>177.59947019867548</v>
      </c>
      <c r="BN30" s="130">
        <f>IFERROR(VLOOKUP($O30,'Table 3 PV wS YK_2024'!$B$10:$K$40,10,FALSE),0)</f>
        <v>129.98999999999998</v>
      </c>
      <c r="BO30" s="360"/>
      <c r="BP30" s="130">
        <f>IFERROR(VLOOKUP($O30,'Table 3 PV wS SO_2024'!$B$10:$K$40,10,FALSE),0)</f>
        <v>129.54000000000002</v>
      </c>
      <c r="BQ30" s="360"/>
      <c r="BR30" s="130">
        <f>IFERROR(VLOOKUP($O30,'Table 3 PV wS UTN_2024'!$B$10:$K$43,10,FALSE),0)</f>
        <v>128.44999999999999</v>
      </c>
      <c r="BS30" s="130">
        <f>IFERROR(VLOOKUP($O30,'Table 3 PV wS JB_2024'!$B$10:$K$40,10,FALSE),0)</f>
        <v>124.72</v>
      </c>
      <c r="BT30" s="130">
        <f>IFERROR(VLOOKUP($O30,'Table 3 PV wS JB_2029'!$B$10:$K$40,10,FALSE),0)</f>
        <v>113.77</v>
      </c>
      <c r="BU30" s="360"/>
      <c r="BV30" s="130">
        <f>IFERROR(VLOOKUP($O30,'Table 3 PV wS UTS_2024'!$B$10:$K$38,10,FALSE),0)</f>
        <v>126.94</v>
      </c>
      <c r="BW30" s="130">
        <f>IFERROR(VLOOKUP($O30,'Table 3 PV wS UTS_2030'!$B$10:$K$38,10,FALSE),0)</f>
        <v>162.12</v>
      </c>
      <c r="BX30" s="359"/>
      <c r="BY30" s="130">
        <f>IFERROR(VLOOKUP($O30,'Table 3 185 MW (NTN) 2026)'!$B$13:$L$40,11,FALSE),0)</f>
        <v>147.38999999999999</v>
      </c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3.1936829008972274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3.1936829008972274</v>
      </c>
      <c r="DA30">
        <f t="shared" si="37"/>
        <v>2038</v>
      </c>
      <c r="DB30" s="89">
        <f>IFERROR(VLOOKUP($DA30,'Table 3 TransCost'!$B$10:$E$40,4,FALSE),0)</f>
        <v>66.41</v>
      </c>
      <c r="DC30" s="174">
        <f t="shared" si="41"/>
        <v>0</v>
      </c>
    </row>
    <row r="31" spans="2:107" hidden="1">
      <c r="B31" s="15">
        <f t="shared" si="38"/>
        <v>2039</v>
      </c>
      <c r="C31" s="9">
        <f t="shared" si="17"/>
        <v>40.839398836932659</v>
      </c>
      <c r="D31" s="45"/>
      <c r="E31" s="9" t="e">
        <f t="shared" ca="1" si="39"/>
        <v>#DIV/0!</v>
      </c>
      <c r="F31" s="37"/>
      <c r="G31" s="14" t="e">
        <f t="shared" ca="1" si="42"/>
        <v>#DIV/0!</v>
      </c>
      <c r="H31" s="36"/>
      <c r="I31" s="174"/>
      <c r="J31" s="174"/>
      <c r="M31" s="112"/>
      <c r="O31">
        <f t="shared" si="18"/>
        <v>2039</v>
      </c>
      <c r="P31">
        <v>0</v>
      </c>
      <c r="Q31">
        <v>0</v>
      </c>
      <c r="R31">
        <v>0</v>
      </c>
      <c r="S31" s="358">
        <v>0</v>
      </c>
      <c r="T31" s="358">
        <v>0</v>
      </c>
      <c r="U31" s="174">
        <v>0</v>
      </c>
      <c r="V31" s="358">
        <v>0</v>
      </c>
      <c r="W31" s="358">
        <v>0</v>
      </c>
      <c r="X31" s="358">
        <v>0</v>
      </c>
      <c r="Y31" s="358">
        <v>0</v>
      </c>
      <c r="Z31" s="358">
        <v>0</v>
      </c>
      <c r="AA31" s="358">
        <v>0</v>
      </c>
      <c r="AB31" s="358">
        <v>0</v>
      </c>
      <c r="AC31" s="358">
        <v>0</v>
      </c>
      <c r="AD31" s="358">
        <v>0</v>
      </c>
      <c r="AE31" s="358">
        <v>0</v>
      </c>
      <c r="AF31" s="358">
        <v>0</v>
      </c>
      <c r="AG31" s="358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2039</v>
      </c>
      <c r="BH31" s="130">
        <f>IFERROR(VLOOKUP($O31,'Table 3 ID Wind_2030'!$B$10:$K$37,10,FALSE),0)</f>
        <v>167.4</v>
      </c>
      <c r="BI31" s="130">
        <f>IFERROR(VLOOKUP($O31,'Table 3 UT CP Wind_2023'!$B$10:$K$37,10,FALSE),0)</f>
        <v>175.26999999999998</v>
      </c>
      <c r="BJ31" s="130">
        <f>IFERROR(VLOOKUP($O31,'Table 3 WYAE Wind_2024'!$B$10:$L$37,11,FALSE),0)</f>
        <v>236.82999999999998</v>
      </c>
      <c r="BK31" s="130">
        <f>IFERROR(VLOOKUP($O31,'Table 3 YK Wind wS_2029'!$B$10:$K$37,10,FALSE),0)</f>
        <v>180.22</v>
      </c>
      <c r="BL31" s="360"/>
      <c r="BM31" s="130">
        <f>IFERROR(VLOOKUP($O31,'Table 3 ID Wind wS_2032'!$B$10:$K$38,10,FALSE),0)</f>
        <v>181.68</v>
      </c>
      <c r="BN31" s="130">
        <f>IFERROR(VLOOKUP($O31,'Table 3 PV wS YK_2024'!$B$10:$K$40,10,FALSE),0)</f>
        <v>132.97999999999999</v>
      </c>
      <c r="BO31" s="360"/>
      <c r="BP31" s="130">
        <f>IFERROR(VLOOKUP($O31,'Table 3 PV wS SO_2024'!$B$10:$K$40,10,FALSE),0)</f>
        <v>132.52000000000001</v>
      </c>
      <c r="BQ31" s="360"/>
      <c r="BR31" s="130">
        <f>IFERROR(VLOOKUP($O31,'Table 3 PV wS UTN_2024'!$B$10:$K$43,10,FALSE),0)</f>
        <v>131.41</v>
      </c>
      <c r="BS31" s="130">
        <f>IFERROR(VLOOKUP($O31,'Table 3 PV wS JB_2024'!$B$10:$K$40,10,FALSE),0)</f>
        <v>127.59</v>
      </c>
      <c r="BT31" s="130">
        <f>IFERROR(VLOOKUP($O31,'Table 3 PV wS JB_2029'!$B$10:$K$40,10,FALSE),0)</f>
        <v>116.39000000000001</v>
      </c>
      <c r="BU31" s="360"/>
      <c r="BV31" s="130">
        <f>IFERROR(VLOOKUP($O31,'Table 3 PV wS UTS_2024'!$B$10:$K$38,10,FALSE),0)</f>
        <v>129.86999999999998</v>
      </c>
      <c r="BW31" s="130">
        <f>IFERROR(VLOOKUP($O31,'Table 3 PV wS UTS_2030'!$B$10:$K$38,10,FALSE),0)</f>
        <v>165.86</v>
      </c>
      <c r="BX31" s="359"/>
      <c r="BY31" s="130">
        <f>IFERROR(VLOOKUP($O31,'Table 3 185 MW (NTN) 2026)'!$B$13:$L$40,11,FALSE),0)</f>
        <v>150.79000000000002</v>
      </c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3.2671519069546124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3.2671519069546124</v>
      </c>
      <c r="DA31">
        <f t="shared" ref="DA31:DA32" si="64">O31</f>
        <v>2039</v>
      </c>
      <c r="DB31" s="89">
        <f>IFERROR(VLOOKUP($DA31,'Table 3 TransCost'!$B$10:$E$40,4,FALSE),0)</f>
        <v>67.94</v>
      </c>
      <c r="DC31" s="174">
        <f t="shared" ref="DC31:DC32" si="65">$DB$5*DB31/1000</f>
        <v>0</v>
      </c>
    </row>
    <row r="32" spans="2:107" hidden="1">
      <c r="B32" s="15">
        <f t="shared" si="38"/>
        <v>2040</v>
      </c>
      <c r="C32" s="9">
        <f t="shared" si="17"/>
        <v>41.779333687918495</v>
      </c>
      <c r="D32" s="45"/>
      <c r="E32" s="9" t="e">
        <f t="shared" ca="1" si="39"/>
        <v>#DIV/0!</v>
      </c>
      <c r="F32" s="37"/>
      <c r="G32" s="14" t="e">
        <f t="shared" ca="1" si="42"/>
        <v>#DIV/0!</v>
      </c>
      <c r="H32" s="36"/>
      <c r="I32" s="174"/>
      <c r="J32" s="174"/>
      <c r="M32" s="112"/>
      <c r="O32">
        <f t="shared" si="18"/>
        <v>2040</v>
      </c>
      <c r="P32" s="372">
        <v>0</v>
      </c>
      <c r="Q32" s="372">
        <v>0</v>
      </c>
      <c r="R32" s="372">
        <v>0</v>
      </c>
      <c r="S32" s="372">
        <v>0</v>
      </c>
      <c r="T32" s="372">
        <v>0</v>
      </c>
      <c r="U32" s="372">
        <v>0</v>
      </c>
      <c r="V32" s="372">
        <v>0</v>
      </c>
      <c r="W32" s="372">
        <v>0</v>
      </c>
      <c r="X32" s="372">
        <v>0</v>
      </c>
      <c r="Y32" s="372">
        <v>0</v>
      </c>
      <c r="Z32" s="372">
        <v>0</v>
      </c>
      <c r="AA32" s="372">
        <v>0</v>
      </c>
      <c r="AB32" s="372">
        <v>0</v>
      </c>
      <c r="AC32" s="372">
        <v>0</v>
      </c>
      <c r="AD32" s="372">
        <v>0</v>
      </c>
      <c r="AE32" s="372">
        <v>0</v>
      </c>
      <c r="AF32" s="372">
        <v>0</v>
      </c>
      <c r="AG32" s="372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2040</v>
      </c>
      <c r="BH32" s="130">
        <f>IFERROR(VLOOKUP($O32,'Table 3 ID Wind_2030'!$B$10:$K$37,10,FALSE),0)</f>
        <v>171.24</v>
      </c>
      <c r="BI32" s="130">
        <f>IFERROR(VLOOKUP($O32,'Table 3 UT CP Wind_2023'!$B$10:$K$37,10,FALSE),0)</f>
        <v>179.31</v>
      </c>
      <c r="BJ32" s="130">
        <f>IFERROR(VLOOKUP($O32,'Table 3 WYAE Wind_2024'!$B$10:$L$37,11,FALSE),0)</f>
        <v>242.26999999999998</v>
      </c>
      <c r="BK32" s="130">
        <f>IFERROR(VLOOKUP($O32,'Table 3 YK Wind wS_2029'!$B$10:$K$37,10,FALSE),0)</f>
        <v>184.36</v>
      </c>
      <c r="BL32" s="360"/>
      <c r="BM32" s="130">
        <f>IFERROR(VLOOKUP($O32,'Table 3 ID Wind wS_2032'!$B$10:$K$38,10,FALSE),0)</f>
        <v>185.86</v>
      </c>
      <c r="BN32" s="130">
        <f>IFERROR(VLOOKUP($O32,'Table 3 PV wS YK_2024'!$B$10:$K$40,10,FALSE),0)</f>
        <v>136.04000000000002</v>
      </c>
      <c r="BO32" s="360"/>
      <c r="BP32" s="130">
        <f>IFERROR(VLOOKUP($O32,'Table 3 PV wS SO_2024'!$B$10:$K$40,10,FALSE),0)</f>
        <v>135.57</v>
      </c>
      <c r="BQ32" s="360"/>
      <c r="BR32" s="130">
        <f>IFERROR(VLOOKUP($O32,'Table 3 PV wS UTN_2024'!$B$10:$K$43,10,FALSE),0)</f>
        <v>134.43</v>
      </c>
      <c r="BS32" s="130">
        <f>IFERROR(VLOOKUP($O32,'Table 3 PV wS JB_2024'!$B$10:$K$40,10,FALSE),0)</f>
        <v>130.53</v>
      </c>
      <c r="BT32" s="130">
        <f>IFERROR(VLOOKUP($O32,'Table 3 PV wS JB_2029'!$B$10:$K$40,10,FALSE),0)</f>
        <v>119.07000000000001</v>
      </c>
      <c r="BU32" s="360"/>
      <c r="BV32" s="130">
        <f>IFERROR(VLOOKUP($O32,'Table 3 PV wS UTS_2024'!$B$10:$K$38,10,FALSE),0)</f>
        <v>132.86000000000001</v>
      </c>
      <c r="BW32" s="130">
        <f>IFERROR(VLOOKUP($O32,'Table 3 PV wS UTS_2030'!$B$10:$K$38,10,FALSE),0)</f>
        <v>169.68</v>
      </c>
      <c r="BX32" s="359"/>
      <c r="BY32" s="130">
        <f>IFERROR(VLOOKUP($O32,'Table 3 185 MW (NTN) 2026)'!$B$13:$L$40,11,FALSE),0)</f>
        <v>154.24</v>
      </c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3.3423466950334797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3.3423466950334797</v>
      </c>
      <c r="DA32">
        <f t="shared" si="64"/>
        <v>2040</v>
      </c>
      <c r="DB32" s="89">
        <f>IFERROR(VLOOKUP($DA32,'Table 3 TransCost'!$B$10:$E$40,4,FALSE),0)</f>
        <v>69.5</v>
      </c>
      <c r="DC32" s="174">
        <f t="shared" si="65"/>
        <v>0</v>
      </c>
    </row>
    <row r="33" spans="1:107" hidden="1">
      <c r="B33" s="15">
        <f t="shared" si="38"/>
        <v>2041</v>
      </c>
      <c r="C33" s="9">
        <f t="shared" si="17"/>
        <v>42.74084081417287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2"/>
        <v>#DIV/0!</v>
      </c>
      <c r="H33" s="36"/>
      <c r="I33" s="174"/>
      <c r="J33" s="174"/>
      <c r="M33" s="112"/>
      <c r="O33">
        <f t="shared" ref="O33" si="66">B33</f>
        <v>2041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0</v>
      </c>
      <c r="AE33" s="372">
        <v>0</v>
      </c>
      <c r="AF33" s="372">
        <v>0</v>
      </c>
      <c r="AG33" s="372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2041</v>
      </c>
      <c r="BH33" s="130">
        <f>IFERROR(VLOOKUP($O33,'Table 3 ID Wind_2030'!$B$10:$K$37,10,FALSE),0)</f>
        <v>175.18</v>
      </c>
      <c r="BI33" s="130">
        <f>IFERROR(VLOOKUP($O33,'Table 3 UT CP Wind_2023'!$B$10:$K$37,10,FALSE),0)</f>
        <v>183.43</v>
      </c>
      <c r="BJ33" s="130">
        <f>IFERROR(VLOOKUP($O33,'Table 3 WYAE Wind_2024'!$B$10:$L$37,11,FALSE),0)</f>
        <v>247.85</v>
      </c>
      <c r="BK33" s="130">
        <f>IFERROR(VLOOKUP($O33,'Table 3 YK Wind wS_2029'!$B$10:$K$37,10,FALSE),0)</f>
        <v>188.6</v>
      </c>
      <c r="BL33" s="360"/>
      <c r="BM33" s="130">
        <f>IFERROR(VLOOKUP($O33,'Table 3 ID Wind wS_2032'!$B$10:$K$38,10,FALSE),0)</f>
        <v>190.14000000000001</v>
      </c>
      <c r="BN33" s="130">
        <f>IFERROR(VLOOKUP($O33,'Table 3 PV wS YK_2024'!$B$10:$K$40,10,FALSE),0)</f>
        <v>139.17000000000002</v>
      </c>
      <c r="BO33" s="360"/>
      <c r="BP33" s="130">
        <f>IFERROR(VLOOKUP($O33,'Table 3 PV wS SO_2024'!$B$10:$K$40,10,FALSE),0)</f>
        <v>138.69</v>
      </c>
      <c r="BQ33" s="360"/>
      <c r="BR33" s="130">
        <f>IFERROR(VLOOKUP($O33,'Table 3 PV wS UTN_2024'!$B$10:$K$43,10,FALSE),0)</f>
        <v>137.53</v>
      </c>
      <c r="BS33" s="130">
        <f>IFERROR(VLOOKUP($O33,'Table 3 PV wS JB_2024'!$B$10:$K$40,10,FALSE),0)</f>
        <v>133.53</v>
      </c>
      <c r="BT33" s="130">
        <f>IFERROR(VLOOKUP($O33,'Table 3 PV wS JB_2029'!$B$10:$K$40,10,FALSE),0)</f>
        <v>121.81</v>
      </c>
      <c r="BU33" s="360"/>
      <c r="BV33" s="130">
        <f>IFERROR(VLOOKUP($O33,'Table 3 PV wS UTS_2024'!$B$10:$K$38,10,FALSE),0)</f>
        <v>135.92000000000002</v>
      </c>
      <c r="BW33" s="130">
        <f>IFERROR(VLOOKUP($O33,'Table 3 PV wS UTS_2030'!$B$10:$K$38,10,FALSE),0)</f>
        <v>173.57999999999998</v>
      </c>
      <c r="BX33" s="359"/>
      <c r="BY33" s="130">
        <f>IFERROR(VLOOKUP($O33,'Table 3 185 MW (NTN) 2026)'!$B$13:$L$40,11,FALSE),0)</f>
        <v>157.79000000000002</v>
      </c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3.4192672651338296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3.4192672651338296</v>
      </c>
      <c r="DA33">
        <f t="shared" ref="DA33:DA38" si="69">O33</f>
        <v>2041</v>
      </c>
      <c r="DB33" s="89">
        <f>IFERROR(VLOOKUP($DA33,'Table 3 TransCost'!$B$10:$E$40,4,FALSE),0)</f>
        <v>71.099999999999994</v>
      </c>
      <c r="DC33" s="174">
        <f t="shared" ref="DC33:DC38" si="70">$DB$5*DB33/1000</f>
        <v>0</v>
      </c>
    </row>
    <row r="34" spans="1:107" hidden="1">
      <c r="B34" s="15">
        <f t="shared" si="38"/>
        <v>2042</v>
      </c>
      <c r="C34" s="9">
        <f t="shared" si="17"/>
        <v>43.767064766232835</v>
      </c>
      <c r="D34" s="45"/>
      <c r="E34" s="9" t="e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2"/>
        <v>#DIV/0!</v>
      </c>
      <c r="H34" s="36"/>
      <c r="I34" s="174"/>
      <c r="J34" s="174"/>
      <c r="M34" s="112"/>
      <c r="O34">
        <f t="shared" ref="O34" si="72">B34</f>
        <v>2042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2042</v>
      </c>
      <c r="BH34" s="130">
        <f>IFERROR(VLOOKUP($O34,'Table 3 ID Wind_2030'!$B$10:$K$37,10,FALSE),0)</f>
        <v>179.38</v>
      </c>
      <c r="BI34" s="130">
        <f>IFERROR(VLOOKUP($O34,'Table 3 UT CP Wind_2023'!$B$10:$K$37,10,FALSE),0)</f>
        <v>187.82999999999998</v>
      </c>
      <c r="BJ34" s="130">
        <f>IFERROR(VLOOKUP($O34,'Table 3 WYAE Wind_2024'!$B$10:$L$37,11,FALSE),0)</f>
        <v>253.8</v>
      </c>
      <c r="BK34" s="130">
        <f>IFERROR(VLOOKUP($O34,'Table 3 YK Wind wS_2029'!$B$10:$K$37,10,FALSE),0)</f>
        <v>193.13</v>
      </c>
      <c r="BL34" s="360"/>
      <c r="BM34" s="130">
        <f>IFERROR(VLOOKUP($O34,'Table 3 ID Wind wS_2032'!$B$10:$K$38,10,FALSE),0)</f>
        <v>194.70000000000002</v>
      </c>
      <c r="BN34" s="130">
        <f>IFERROR(VLOOKUP($O34,'Table 3 PV wS YK_2024'!$B$10:$K$40,10,FALSE),0)</f>
        <v>142.51</v>
      </c>
      <c r="BO34" s="360"/>
      <c r="BP34" s="130">
        <f>IFERROR(VLOOKUP($O34,'Table 3 PV wS SO_2024'!$B$10:$K$40,10,FALSE),0)</f>
        <v>142.02000000000001</v>
      </c>
      <c r="BQ34" s="360"/>
      <c r="BR34" s="130">
        <f>IFERROR(VLOOKUP($O34,'Table 3 PV wS UTN_2024'!$B$10:$K$43,10,FALSE),0)</f>
        <v>140.82999999999998</v>
      </c>
      <c r="BS34" s="130">
        <f>IFERROR(VLOOKUP($O34,'Table 3 PV wS JB_2024'!$B$10:$K$40,10,FALSE),0)</f>
        <v>136.74</v>
      </c>
      <c r="BT34" s="130">
        <f>IFERROR(VLOOKUP($O34,'Table 3 PV wS JB_2029'!$B$10:$K$40,10,FALSE),0)</f>
        <v>124.72999999999999</v>
      </c>
      <c r="BU34" s="360"/>
      <c r="BV34" s="130">
        <f>IFERROR(VLOOKUP($O34,'Table 3 PV wS UTS_2024'!$B$10:$K$38,10,FALSE),0)</f>
        <v>139.17999999999998</v>
      </c>
      <c r="BW34" s="130">
        <f>IFERROR(VLOOKUP($O34,'Table 3 PV wS UTS_2030'!$B$10:$K$38,10,FALSE),0)</f>
        <v>177.75</v>
      </c>
      <c r="BX34" s="359"/>
      <c r="BY34" s="130">
        <f>IFERROR(VLOOKUP($O34,'Table 3 185 MW (NTN) 2026)'!$B$13:$L$40,11,FALSE),0)</f>
        <v>161.57999999999998</v>
      </c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3.5013651812986266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3.5013651812986266</v>
      </c>
      <c r="DA34">
        <f t="shared" si="69"/>
        <v>2042</v>
      </c>
      <c r="DB34" s="89">
        <f>IFERROR(VLOOKUP($DA34,'Table 3 TransCost'!$B$10:$E$40,4,FALSE),0)</f>
        <v>72.81</v>
      </c>
      <c r="DC34" s="174">
        <f t="shared" si="70"/>
        <v>0</v>
      </c>
    </row>
    <row r="35" spans="1:107" hidden="1">
      <c r="B35" s="15">
        <f t="shared" si="38"/>
        <v>2043</v>
      </c>
      <c r="C35" s="9">
        <f t="shared" si="17"/>
        <v>44.817942747171109</v>
      </c>
      <c r="D35" s="45"/>
      <c r="E35" s="9" t="e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2"/>
        <v>#DIV/0!</v>
      </c>
      <c r="H35" s="36" t="e">
        <f t="shared" ref="H35:H38" ca="1" si="75">G35-E35</f>
        <v>#DIV/0!</v>
      </c>
      <c r="I35" s="174"/>
      <c r="J35" s="174"/>
      <c r="M35" s="112"/>
      <c r="O35">
        <f t="shared" ref="O35:O38" si="76">B35</f>
        <v>2043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</v>
      </c>
      <c r="AE35" s="372">
        <v>0</v>
      </c>
      <c r="AF35" s="372">
        <v>0</v>
      </c>
      <c r="AG35" s="372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2043</v>
      </c>
      <c r="BH35" s="130">
        <f>IFERROR(VLOOKUP($O35,'Table 3 ID Wind_2030'!$B$10:$K$37,10,FALSE),0)</f>
        <v>183.68</v>
      </c>
      <c r="BI35" s="130">
        <f>IFERROR(VLOOKUP($O35,'Table 3 UT CP Wind_2023'!$B$10:$K$37,10,FALSE),0)</f>
        <v>192.33</v>
      </c>
      <c r="BJ35" s="130">
        <f>IFERROR(VLOOKUP($O35,'Table 3 WYAE Wind_2024'!$B$10:$L$37,11,FALSE),0)</f>
        <v>259.89</v>
      </c>
      <c r="BK35" s="130">
        <f>IFERROR(VLOOKUP($O35,'Table 3 YK Wind wS_2029'!$B$10:$K$37,10,FALSE),0)</f>
        <v>197.77</v>
      </c>
      <c r="BL35" s="360"/>
      <c r="BM35" s="130">
        <f>IFERROR(VLOOKUP($O35,'Table 3 ID Wind wS_2032'!$B$10:$K$38,10,FALSE),0)</f>
        <v>199.37</v>
      </c>
      <c r="BN35" s="130">
        <f>IFERROR(VLOOKUP($O35,'Table 3 PV wS YK_2024'!$B$10:$K$40,10,FALSE),0)</f>
        <v>145.92000000000002</v>
      </c>
      <c r="BO35" s="360"/>
      <c r="BP35" s="130">
        <f>IFERROR(VLOOKUP($O35,'Table 3 PV wS SO_2024'!$B$10:$K$40,10,FALSE),0)</f>
        <v>145.43</v>
      </c>
      <c r="BQ35" s="360"/>
      <c r="BR35" s="130">
        <f>IFERROR(VLOOKUP($O35,'Table 3 PV wS UTN_2024'!$B$10:$K$43,10,FALSE),0)</f>
        <v>144.19999999999999</v>
      </c>
      <c r="BS35" s="130">
        <f>IFERROR(VLOOKUP($O35,'Table 3 PV wS JB_2024'!$B$10:$K$40,10,FALSE),0)</f>
        <v>140.02000000000001</v>
      </c>
      <c r="BT35" s="130">
        <f>IFERROR(VLOOKUP($O35,'Table 3 PV wS JB_2029'!$B$10:$K$40,10,FALSE),0)</f>
        <v>127.72</v>
      </c>
      <c r="BU35" s="360"/>
      <c r="BV35" s="130">
        <f>IFERROR(VLOOKUP($O35,'Table 3 PV wS UTS_2024'!$B$10:$K$38,10,FALSE),0)</f>
        <v>142.51</v>
      </c>
      <c r="BW35" s="130">
        <f>IFERROR(VLOOKUP($O35,'Table 3 PV wS UTS_2030'!$B$10:$K$38,10,FALSE),0)</f>
        <v>182.01</v>
      </c>
      <c r="BX35" s="359"/>
      <c r="BY35" s="130">
        <f>IFERROR(VLOOKUP($O35,'Table 3 185 MW (NTN) 2026)'!$B$13:$L$40,11,FALSE),0)</f>
        <v>0</v>
      </c>
      <c r="CD35">
        <f>SUM(AL$13:AL35)*BH35/1000</f>
        <v>0</v>
      </c>
      <c r="CE35">
        <f>SUM(AM$13:AM35)*BI35/1000</f>
        <v>0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3.5854354197736891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3.5854354197736891</v>
      </c>
      <c r="DA35">
        <f t="shared" si="69"/>
        <v>2043</v>
      </c>
      <c r="DB35" s="89">
        <f>IFERROR(VLOOKUP($DA35,'Table 3 TransCost'!$B$10:$E$40,4,FALSE),0)</f>
        <v>74.56</v>
      </c>
      <c r="DC35" s="174">
        <f t="shared" si="70"/>
        <v>0</v>
      </c>
    </row>
    <row r="36" spans="1:107" hidden="1">
      <c r="B36" s="15">
        <f t="shared" si="38"/>
        <v>2044</v>
      </c>
      <c r="C36" s="9">
        <f t="shared" si="17"/>
        <v>0</v>
      </c>
      <c r="D36" s="45"/>
      <c r="E36" s="9" t="e">
        <f t="shared" ca="1" si="74"/>
        <v>#DIV/0!</v>
      </c>
      <c r="F36" s="37"/>
      <c r="G36" s="14" t="e">
        <f t="shared" ca="1" si="42"/>
        <v>#DIV/0!</v>
      </c>
      <c r="H36" s="36" t="e">
        <f t="shared" ca="1" si="75"/>
        <v>#DIV/0!</v>
      </c>
      <c r="I36" s="174"/>
      <c r="J36" s="174"/>
      <c r="M36" s="112"/>
      <c r="O36">
        <f t="shared" si="76"/>
        <v>2044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2044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0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0"/>
      <c r="BP36" s="130">
        <f>IFERROR(VLOOKUP($O36,'Table 3 PV wS SO_2024'!$B$10:$K$40,10,FALSE),0)</f>
        <v>0</v>
      </c>
      <c r="BQ36" s="360"/>
      <c r="BR36" s="130">
        <f>IFERROR(VLOOKUP($O36,'Table 3 PV wS UTN_2024'!$B$10:$K$43,10,FALSE),0)</f>
        <v>144.19999999999999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0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59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0</v>
      </c>
      <c r="DA36">
        <f t="shared" si="69"/>
        <v>2044</v>
      </c>
      <c r="DB36" s="89">
        <f>IFERROR(VLOOKUP($DA36,'Table 3 TransCost'!$B$10:$E$40,4,FALSE),0)</f>
        <v>76.349999999999994</v>
      </c>
      <c r="DC36" s="174">
        <f t="shared" si="70"/>
        <v>0</v>
      </c>
    </row>
    <row r="37" spans="1:107" hidden="1">
      <c r="B37" s="15">
        <f t="shared" si="38"/>
        <v>2045</v>
      </c>
      <c r="C37" s="9">
        <f t="shared" si="17"/>
        <v>0</v>
      </c>
      <c r="D37" s="45"/>
      <c r="E37" s="9" t="e">
        <f t="shared" ca="1" si="74"/>
        <v>#DIV/0!</v>
      </c>
      <c r="F37" s="37"/>
      <c r="G37" s="14" t="e">
        <f t="shared" ca="1" si="42"/>
        <v>#DIV/0!</v>
      </c>
      <c r="H37" s="36" t="e">
        <f t="shared" ca="1" si="75"/>
        <v>#DIV/0!</v>
      </c>
      <c r="I37" s="174"/>
      <c r="J37" s="174"/>
      <c r="M37" s="112"/>
      <c r="O37">
        <f t="shared" si="76"/>
        <v>2045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2045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0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0"/>
      <c r="BP37" s="130">
        <f>IFERROR(VLOOKUP($O37,'Table 3 PV wS SO_2024'!$B$10:$K$40,10,FALSE),0)</f>
        <v>0</v>
      </c>
      <c r="BQ37" s="360"/>
      <c r="BR37" s="130">
        <f>IFERROR(VLOOKUP($O37,'Table 3 PV wS UTN_2024'!$B$10:$K$43,10,FALSE),0)</f>
        <v>144.19999999999999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0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59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0</v>
      </c>
      <c r="DA37">
        <f t="shared" si="69"/>
        <v>2045</v>
      </c>
      <c r="DB37" s="89">
        <f>IFERROR(VLOOKUP($DA37,'Table 3 TransCost'!$B$10:$E$40,4,FALSE),0)</f>
        <v>78.180000000000007</v>
      </c>
      <c r="DC37" s="174">
        <f t="shared" si="70"/>
        <v>0</v>
      </c>
    </row>
    <row r="38" spans="1:107" hidden="1">
      <c r="B38" s="15">
        <f t="shared" si="38"/>
        <v>2046</v>
      </c>
      <c r="C38" s="9">
        <f t="shared" si="17"/>
        <v>0</v>
      </c>
      <c r="D38" s="45"/>
      <c r="E38" s="9" t="e">
        <f t="shared" ca="1" si="74"/>
        <v>#DIV/0!</v>
      </c>
      <c r="F38" s="37"/>
      <c r="G38" s="14" t="e">
        <f t="shared" ca="1" si="42"/>
        <v>#DIV/0!</v>
      </c>
      <c r="H38" s="36" t="e">
        <f t="shared" ca="1" si="75"/>
        <v>#DIV/0!</v>
      </c>
      <c r="I38" s="174"/>
      <c r="J38" s="174"/>
      <c r="M38" s="112"/>
      <c r="O38">
        <f t="shared" si="76"/>
        <v>2046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2046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0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0"/>
      <c r="BP38" s="130">
        <f>IFERROR(VLOOKUP($O38,'Table 3 PV wS SO_2024'!$B$10:$K$40,10,FALSE),0)</f>
        <v>0</v>
      </c>
      <c r="BQ38" s="360"/>
      <c r="BR38" s="130">
        <f>IFERROR(VLOOKUP($O38,'Table 3 PV wS UTN_2024'!$B$10:$K$43,10,FALSE),0)</f>
        <v>144.19999999999999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0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59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0</v>
      </c>
      <c r="DA38">
        <f t="shared" si="69"/>
        <v>2046</v>
      </c>
      <c r="DB38" s="89">
        <f>IFERROR(VLOOKUP($DA38,'Table 3 TransCost'!$B$10:$E$40,4,FALSE),0)</f>
        <v>0</v>
      </c>
      <c r="DC38" s="174">
        <f t="shared" si="70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28"/>
      <c r="B41" s="428"/>
      <c r="D41" s="9"/>
      <c r="F41" s="37"/>
      <c r="H41" s="36"/>
      <c r="I41"/>
      <c r="N41" t="s">
        <v>226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1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/>
      <c r="AI41" s="210"/>
      <c r="AJ41" s="210"/>
    </row>
    <row r="42" spans="1:107">
      <c r="A42" s="192"/>
      <c r="B42" s="55"/>
      <c r="E42" s="5"/>
      <c r="I42" s="49" t="s">
        <v>160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 hidden="1">
      <c r="B43" s="47"/>
      <c r="C43" s="9"/>
      <c r="D43" s="9"/>
      <c r="H43" s="36"/>
      <c r="I43" s="109">
        <v>6.9199999999999998E-2</v>
      </c>
    </row>
    <row r="44" spans="1:107" hidden="1">
      <c r="B44" s="48"/>
      <c r="E44" s="9"/>
      <c r="G44" s="194"/>
      <c r="H44" s="36"/>
    </row>
    <row r="45" spans="1:107" hidden="1">
      <c r="A45" s="429"/>
      <c r="B45" s="429"/>
      <c r="E45" s="9"/>
      <c r="G45" s="194"/>
      <c r="H45" s="36"/>
      <c r="P45" t="s">
        <v>112</v>
      </c>
    </row>
    <row r="46" spans="1:107" ht="13.7" hidden="1" customHeight="1">
      <c r="A46" s="55"/>
      <c r="B46" s="55"/>
      <c r="E46" s="5"/>
      <c r="H46" s="36"/>
      <c r="P46" t="s">
        <v>111</v>
      </c>
      <c r="R46" s="281">
        <v>2.2799999999999997E-2</v>
      </c>
    </row>
    <row r="47" spans="1:107" ht="21" customHeight="1">
      <c r="A47" s="429" t="str">
        <f>'Table 5'!A9</f>
        <v>15 Year</v>
      </c>
      <c r="B47" s="429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23.679437095833674</v>
      </c>
      <c r="D49" s="9"/>
      <c r="H49" s="36"/>
      <c r="I49"/>
    </row>
    <row r="50" spans="1:19">
      <c r="B50" s="48" t="s">
        <v>31</v>
      </c>
      <c r="E50" s="9">
        <f ca="1">'Table 5'!$C$9/'Table 5'!$F$9</f>
        <v>9.8814646328655282</v>
      </c>
      <c r="G50" s="194">
        <f ca="1">'Table 5'!$G$9</f>
        <v>18.279355102273655</v>
      </c>
      <c r="H50" s="36"/>
      <c r="I50" s="216"/>
      <c r="S50" s="174"/>
    </row>
    <row r="51" spans="1:19" ht="8.25" customHeight="1">
      <c r="A51" s="429"/>
      <c r="B51" s="429"/>
      <c r="E51" s="9"/>
      <c r="G51" s="108"/>
      <c r="H51" s="36"/>
    </row>
    <row r="52" spans="1:19">
      <c r="A52" s="429"/>
      <c r="B52" s="429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9"/>
      <c r="B61" s="429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8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2027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$18.35/MWH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3320312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3320312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3320312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3320312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3320312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3320312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3320312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3320312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3320312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3320312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3320312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33203125" style="161" customWidth="1"/>
    <col min="60" max="60" width="12.3320312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38" customFormat="1" ht="18.95" customHeight="1">
      <c r="B4" s="432" t="s">
        <v>179</v>
      </c>
      <c r="C4" s="433"/>
      <c r="D4" s="433"/>
      <c r="E4" s="434"/>
      <c r="F4" s="118"/>
      <c r="G4" s="432" t="s">
        <v>184</v>
      </c>
      <c r="H4" s="433"/>
      <c r="I4" s="433"/>
      <c r="J4" s="434"/>
      <c r="K4" s="118"/>
      <c r="L4" s="435" t="s">
        <v>191</v>
      </c>
      <c r="M4" s="436"/>
      <c r="N4" s="436"/>
      <c r="O4" s="437"/>
      <c r="Q4" s="435" t="s">
        <v>182</v>
      </c>
      <c r="R4" s="436"/>
      <c r="S4" s="436"/>
      <c r="T4" s="437"/>
      <c r="U4" s="118"/>
      <c r="V4" s="432" t="s">
        <v>183</v>
      </c>
      <c r="W4" s="433"/>
      <c r="X4" s="433"/>
      <c r="Y4" s="434"/>
      <c r="Z4" s="118"/>
      <c r="AA4" s="432" t="s">
        <v>221</v>
      </c>
      <c r="AB4" s="433"/>
      <c r="AC4" s="433"/>
      <c r="AD4" s="434"/>
      <c r="AE4" s="118"/>
      <c r="AF4" s="432" t="s">
        <v>222</v>
      </c>
      <c r="AG4" s="433"/>
      <c r="AH4" s="433"/>
      <c r="AI4" s="434"/>
      <c r="AJ4" s="118"/>
      <c r="AK4" s="435" t="s">
        <v>187</v>
      </c>
      <c r="AL4" s="436"/>
      <c r="AM4" s="436"/>
      <c r="AN4" s="437"/>
      <c r="AO4" s="118"/>
      <c r="AP4" s="435" t="s">
        <v>193</v>
      </c>
      <c r="AQ4" s="436"/>
      <c r="AR4" s="436"/>
      <c r="AS4" s="437"/>
      <c r="AT4" s="118"/>
      <c r="AU4" s="435" t="s">
        <v>195</v>
      </c>
      <c r="AV4" s="436"/>
      <c r="AW4" s="436"/>
      <c r="AX4" s="437"/>
      <c r="AY4" s="118"/>
      <c r="AZ4" s="435" t="s">
        <v>219</v>
      </c>
      <c r="BA4" s="436"/>
      <c r="BB4" s="436"/>
      <c r="BC4" s="437"/>
      <c r="BD4" s="357"/>
      <c r="BE4" s="435" t="s">
        <v>220</v>
      </c>
      <c r="BF4" s="436"/>
      <c r="BG4" s="436"/>
      <c r="BH4" s="437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54" t="str">
        <f>B4</f>
        <v>Aeolus_Wyoming - to - Utah S, Expansion</v>
      </c>
      <c r="D9" s="119"/>
      <c r="E9" s="119"/>
      <c r="G9" s="354" t="str">
        <f>G4</f>
        <v>Goshen - to - Utah N, Expansion</v>
      </c>
      <c r="I9" s="119"/>
      <c r="J9" s="119"/>
      <c r="L9" s="354" t="str">
        <f>L4</f>
        <v>Yakima- to - Southern Oregon/California, Expansion</v>
      </c>
      <c r="N9" s="119"/>
      <c r="O9" s="119"/>
      <c r="Q9" s="354" t="str">
        <f>Q4</f>
        <v>Utah N, Transmission Integration</v>
      </c>
      <c r="S9" s="119"/>
      <c r="T9" s="119"/>
      <c r="V9" s="354" t="str">
        <f>V4</f>
        <v>Yakima, Transmission Integration</v>
      </c>
      <c r="X9" s="119"/>
      <c r="Y9" s="119"/>
      <c r="AA9" s="354" t="s">
        <v>185</v>
      </c>
      <c r="AC9" s="119"/>
      <c r="AD9" s="119"/>
      <c r="AF9" s="354" t="s">
        <v>186</v>
      </c>
      <c r="AH9" s="119"/>
      <c r="AI9" s="119"/>
      <c r="AK9" s="354" t="str">
        <f>AK4</f>
        <v>Southern Oregon/California, Transmission Integration</v>
      </c>
      <c r="AM9" s="119"/>
      <c r="AN9" s="119"/>
      <c r="AP9" s="354" t="str">
        <f>AP4</f>
        <v>Willamette Valley, Transmission Integration</v>
      </c>
      <c r="AR9" s="119"/>
      <c r="AS9" s="119"/>
      <c r="AU9" s="354" t="str">
        <f>AU4</f>
        <v>Wyoming SW, Transmission Integration</v>
      </c>
      <c r="AW9" s="119"/>
      <c r="AX9" s="119"/>
      <c r="AZ9" s="354" t="str">
        <f>AZ4</f>
        <v>Bridger - to - Bridger West, Recovered Transmission 2029</v>
      </c>
      <c r="BB9" s="119"/>
      <c r="BC9" s="119"/>
      <c r="BE9" s="354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45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45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45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45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45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49.02</v>
      </c>
      <c r="D12" s="135">
        <v>12</v>
      </c>
      <c r="E12" s="130">
        <f t="shared" si="0"/>
        <v>49.02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1.54</v>
      </c>
      <c r="AC12" s="135">
        <v>12</v>
      </c>
      <c r="AD12" s="130">
        <f t="shared" si="5"/>
        <v>1.54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50.25</v>
      </c>
      <c r="D13" s="135">
        <v>12</v>
      </c>
      <c r="E13" s="130">
        <f t="shared" si="0"/>
        <v>50.25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2.71</v>
      </c>
      <c r="S13" s="135">
        <v>12</v>
      </c>
      <c r="T13" s="130">
        <f t="shared" si="3"/>
        <v>2.7099999999999995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1.58</v>
      </c>
      <c r="AC13" s="135">
        <v>12</v>
      </c>
      <c r="AD13" s="130">
        <f t="shared" si="5"/>
        <v>1.58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51.51</v>
      </c>
      <c r="D14" s="135">
        <v>12</v>
      </c>
      <c r="E14" s="130">
        <f t="shared" si="0"/>
        <v>51.51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2.78</v>
      </c>
      <c r="S14" s="135">
        <v>12</v>
      </c>
      <c r="T14" s="130">
        <f t="shared" si="3"/>
        <v>2.78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1.62</v>
      </c>
      <c r="AC14" s="135">
        <v>12</v>
      </c>
      <c r="AD14" s="130">
        <f t="shared" si="5"/>
        <v>1.62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52.75</v>
      </c>
      <c r="D15" s="135">
        <v>12</v>
      </c>
      <c r="E15" s="130">
        <f t="shared" si="0"/>
        <v>52.75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2.85</v>
      </c>
      <c r="S15" s="135">
        <v>12</v>
      </c>
      <c r="T15" s="130">
        <f t="shared" si="3"/>
        <v>2.85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1.66</v>
      </c>
      <c r="AC15" s="135">
        <v>12</v>
      </c>
      <c r="AD15" s="130">
        <f t="shared" si="5"/>
        <v>1.66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54.02</v>
      </c>
      <c r="D16" s="135">
        <v>12</v>
      </c>
      <c r="E16" s="130">
        <f t="shared" si="0"/>
        <v>54.02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2.92</v>
      </c>
      <c r="S16" s="135">
        <v>12</v>
      </c>
      <c r="T16" s="130">
        <f t="shared" si="3"/>
        <v>2.92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1.7</v>
      </c>
      <c r="AC16" s="135">
        <v>12</v>
      </c>
      <c r="AD16" s="130">
        <f t="shared" si="5"/>
        <v>1.7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45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55.26</v>
      </c>
      <c r="D17" s="135">
        <v>12</v>
      </c>
      <c r="E17" s="130">
        <f t="shared" si="0"/>
        <v>55.26</v>
      </c>
      <c r="F17" s="119"/>
      <c r="G17" s="345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2.99</v>
      </c>
      <c r="S17" s="135">
        <v>12</v>
      </c>
      <c r="T17" s="130">
        <f t="shared" si="3"/>
        <v>2.99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1.74</v>
      </c>
      <c r="AC17" s="135">
        <v>12</v>
      </c>
      <c r="AD17" s="130">
        <f t="shared" si="5"/>
        <v>1.74</v>
      </c>
      <c r="AE17" s="119"/>
      <c r="AF17" s="345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56.53</v>
      </c>
      <c r="D18" s="135">
        <v>12</v>
      </c>
      <c r="E18" s="130">
        <f t="shared" si="0"/>
        <v>56.53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3.06</v>
      </c>
      <c r="S18" s="135">
        <v>12</v>
      </c>
      <c r="T18" s="130">
        <f t="shared" si="3"/>
        <v>3.06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1.78</v>
      </c>
      <c r="AC18" s="135">
        <v>12</v>
      </c>
      <c r="AD18" s="130">
        <f t="shared" si="5"/>
        <v>1.78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57.83</v>
      </c>
      <c r="D19" s="135">
        <v>12</v>
      </c>
      <c r="E19" s="130">
        <f t="shared" si="0"/>
        <v>57.830000000000005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3.13</v>
      </c>
      <c r="S19" s="135">
        <v>12</v>
      </c>
      <c r="T19" s="130">
        <f t="shared" si="3"/>
        <v>3.1300000000000003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1.82</v>
      </c>
      <c r="AC19" s="135">
        <v>12</v>
      </c>
      <c r="AD19" s="130">
        <f t="shared" si="5"/>
        <v>1.82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59.16</v>
      </c>
      <c r="D20" s="135">
        <v>12</v>
      </c>
      <c r="E20" s="130">
        <f t="shared" si="0"/>
        <v>59.16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3.2</v>
      </c>
      <c r="S20" s="135">
        <v>12</v>
      </c>
      <c r="T20" s="130">
        <f t="shared" si="3"/>
        <v>3.2000000000000006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1.86</v>
      </c>
      <c r="AC20" s="135">
        <v>12</v>
      </c>
      <c r="AD20" s="130">
        <f t="shared" si="5"/>
        <v>1.86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45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60.58</v>
      </c>
      <c r="D21" s="135">
        <v>12</v>
      </c>
      <c r="E21" s="130">
        <f t="shared" si="0"/>
        <v>60.580000000000005</v>
      </c>
      <c r="F21" s="119"/>
      <c r="G21" s="135">
        <f t="shared" si="13"/>
        <v>2034</v>
      </c>
      <c r="H21" s="128">
        <f t="shared" si="25"/>
        <v>13.26</v>
      </c>
      <c r="I21" s="135">
        <v>12</v>
      </c>
      <c r="J21" s="130">
        <f t="shared" si="1"/>
        <v>13.26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3.28</v>
      </c>
      <c r="S21" s="135">
        <v>12</v>
      </c>
      <c r="T21" s="130">
        <f t="shared" si="3"/>
        <v>3.28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1.9</v>
      </c>
      <c r="AC21" s="135">
        <v>12</v>
      </c>
      <c r="AD21" s="130">
        <f t="shared" si="5"/>
        <v>1.8999999999999997</v>
      </c>
      <c r="AE21" s="119"/>
      <c r="AF21" s="135">
        <f t="shared" si="18"/>
        <v>2034</v>
      </c>
      <c r="AG21" s="128">
        <f t="shared" si="30"/>
        <v>23.65</v>
      </c>
      <c r="AH21" s="135">
        <v>12</v>
      </c>
      <c r="AI21" s="130">
        <f t="shared" si="6"/>
        <v>23.649999999999995</v>
      </c>
      <c r="AJ21" s="119"/>
      <c r="AK21" s="135">
        <f t="shared" si="19"/>
        <v>2034</v>
      </c>
      <c r="AL21" s="128">
        <f t="shared" si="31"/>
        <v>11.53</v>
      </c>
      <c r="AM21" s="135">
        <v>12</v>
      </c>
      <c r="AN21" s="130">
        <f t="shared" si="7"/>
        <v>11.53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62.03</v>
      </c>
      <c r="D22" s="135">
        <v>12</v>
      </c>
      <c r="E22" s="130">
        <f t="shared" si="0"/>
        <v>62.03</v>
      </c>
      <c r="F22" s="119"/>
      <c r="G22" s="135">
        <f t="shared" si="13"/>
        <v>2035</v>
      </c>
      <c r="H22" s="128">
        <f t="shared" si="25"/>
        <v>13.58</v>
      </c>
      <c r="I22" s="135">
        <v>12</v>
      </c>
      <c r="J22" s="130">
        <f t="shared" si="1"/>
        <v>13.58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3.36</v>
      </c>
      <c r="S22" s="135">
        <v>12</v>
      </c>
      <c r="T22" s="130">
        <f t="shared" si="3"/>
        <v>3.36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1.95</v>
      </c>
      <c r="AC22" s="135">
        <v>12</v>
      </c>
      <c r="AD22" s="130">
        <f t="shared" si="5"/>
        <v>1.95</v>
      </c>
      <c r="AE22" s="119"/>
      <c r="AF22" s="135">
        <f t="shared" si="18"/>
        <v>2035</v>
      </c>
      <c r="AG22" s="128">
        <f t="shared" si="30"/>
        <v>24.22</v>
      </c>
      <c r="AH22" s="135">
        <v>12</v>
      </c>
      <c r="AI22" s="130">
        <f t="shared" si="6"/>
        <v>24.22</v>
      </c>
      <c r="AJ22" s="119"/>
      <c r="AK22" s="135">
        <f t="shared" si="19"/>
        <v>2035</v>
      </c>
      <c r="AL22" s="128">
        <f t="shared" si="31"/>
        <v>11.81</v>
      </c>
      <c r="AM22" s="135">
        <v>12</v>
      </c>
      <c r="AN22" s="130">
        <f t="shared" si="7"/>
        <v>11.81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63.46</v>
      </c>
      <c r="D23" s="135">
        <v>12</v>
      </c>
      <c r="E23" s="130">
        <f t="shared" si="0"/>
        <v>63.46</v>
      </c>
      <c r="F23" s="119"/>
      <c r="G23" s="135">
        <f t="shared" si="13"/>
        <v>2036</v>
      </c>
      <c r="H23" s="128">
        <f t="shared" si="25"/>
        <v>13.89</v>
      </c>
      <c r="I23" s="135">
        <v>12</v>
      </c>
      <c r="J23" s="130">
        <f t="shared" si="1"/>
        <v>13.89</v>
      </c>
      <c r="K23" s="119"/>
      <c r="L23" s="345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3.44</v>
      </c>
      <c r="S23" s="135">
        <v>12</v>
      </c>
      <c r="T23" s="130">
        <f t="shared" si="3"/>
        <v>3.44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1.99</v>
      </c>
      <c r="AC23" s="135">
        <v>12</v>
      </c>
      <c r="AD23" s="130">
        <f t="shared" si="5"/>
        <v>1.99</v>
      </c>
      <c r="AE23" s="119"/>
      <c r="AF23" s="135">
        <f t="shared" si="18"/>
        <v>2036</v>
      </c>
      <c r="AG23" s="128">
        <f t="shared" si="30"/>
        <v>24.78</v>
      </c>
      <c r="AH23" s="135">
        <v>12</v>
      </c>
      <c r="AI23" s="130">
        <f t="shared" si="6"/>
        <v>24.78</v>
      </c>
      <c r="AJ23" s="119"/>
      <c r="AK23" s="135">
        <f t="shared" si="19"/>
        <v>2036</v>
      </c>
      <c r="AL23" s="128">
        <f t="shared" si="31"/>
        <v>12.08</v>
      </c>
      <c r="AM23" s="135">
        <v>12</v>
      </c>
      <c r="AN23" s="130">
        <f t="shared" si="7"/>
        <v>12.08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64.92</v>
      </c>
      <c r="D24" s="135">
        <v>12</v>
      </c>
      <c r="E24" s="130">
        <f t="shared" si="0"/>
        <v>64.92</v>
      </c>
      <c r="F24" s="119"/>
      <c r="G24" s="135">
        <f t="shared" si="13"/>
        <v>2037</v>
      </c>
      <c r="H24" s="128">
        <f t="shared" si="25"/>
        <v>14.21</v>
      </c>
      <c r="I24" s="135">
        <v>12</v>
      </c>
      <c r="J24" s="130">
        <f t="shared" si="1"/>
        <v>14.21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3.52</v>
      </c>
      <c r="S24" s="135">
        <v>12</v>
      </c>
      <c r="T24" s="130">
        <f t="shared" si="3"/>
        <v>3.52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2.04</v>
      </c>
      <c r="AC24" s="135">
        <v>12</v>
      </c>
      <c r="AD24" s="130">
        <f t="shared" si="5"/>
        <v>2.04</v>
      </c>
      <c r="AE24" s="119"/>
      <c r="AF24" s="135">
        <f t="shared" si="18"/>
        <v>2037</v>
      </c>
      <c r="AG24" s="128">
        <f t="shared" si="30"/>
        <v>25.35</v>
      </c>
      <c r="AH24" s="135">
        <v>12</v>
      </c>
      <c r="AI24" s="130">
        <f t="shared" si="6"/>
        <v>25.350000000000005</v>
      </c>
      <c r="AJ24" s="119"/>
      <c r="AK24" s="135">
        <f t="shared" si="19"/>
        <v>2037</v>
      </c>
      <c r="AL24" s="128">
        <f t="shared" si="31"/>
        <v>12.36</v>
      </c>
      <c r="AM24" s="135">
        <v>12</v>
      </c>
      <c r="AN24" s="130">
        <f t="shared" si="7"/>
        <v>12.36</v>
      </c>
      <c r="AO24" s="119"/>
      <c r="AP24" s="345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45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66.41</v>
      </c>
      <c r="D25" s="135">
        <v>12</v>
      </c>
      <c r="E25" s="130">
        <f t="shared" si="0"/>
        <v>66.41</v>
      </c>
      <c r="F25" s="119"/>
      <c r="G25" s="135">
        <f t="shared" si="13"/>
        <v>2038</v>
      </c>
      <c r="H25" s="128">
        <f t="shared" si="25"/>
        <v>14.54</v>
      </c>
      <c r="I25" s="135">
        <v>12</v>
      </c>
      <c r="J25" s="130">
        <f t="shared" si="1"/>
        <v>14.54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3.6</v>
      </c>
      <c r="S25" s="135">
        <v>12</v>
      </c>
      <c r="T25" s="130">
        <f t="shared" si="3"/>
        <v>3.6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2.09</v>
      </c>
      <c r="AC25" s="135">
        <v>12</v>
      </c>
      <c r="AD25" s="130">
        <f t="shared" si="5"/>
        <v>2.09</v>
      </c>
      <c r="AE25" s="119"/>
      <c r="AF25" s="135">
        <f t="shared" si="18"/>
        <v>2038</v>
      </c>
      <c r="AG25" s="128">
        <f t="shared" si="30"/>
        <v>25.93</v>
      </c>
      <c r="AH25" s="135">
        <v>12</v>
      </c>
      <c r="AI25" s="130">
        <f t="shared" si="6"/>
        <v>25.929999999999996</v>
      </c>
      <c r="AJ25" s="119"/>
      <c r="AK25" s="135">
        <f t="shared" si="19"/>
        <v>2038</v>
      </c>
      <c r="AL25" s="128">
        <f t="shared" si="31"/>
        <v>12.64</v>
      </c>
      <c r="AM25" s="135">
        <v>12</v>
      </c>
      <c r="AN25" s="130">
        <f t="shared" si="7"/>
        <v>12.64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67.94</v>
      </c>
      <c r="D26" s="135">
        <v>12</v>
      </c>
      <c r="E26" s="130">
        <f t="shared" si="0"/>
        <v>67.94</v>
      </c>
      <c r="F26" s="119"/>
      <c r="G26" s="135">
        <f t="shared" si="13"/>
        <v>2039</v>
      </c>
      <c r="H26" s="128">
        <f t="shared" si="25"/>
        <v>14.87</v>
      </c>
      <c r="I26" s="135">
        <v>12</v>
      </c>
      <c r="J26" s="130">
        <f t="shared" si="1"/>
        <v>14.87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3.68</v>
      </c>
      <c r="S26" s="135">
        <v>12</v>
      </c>
      <c r="T26" s="130">
        <f t="shared" si="3"/>
        <v>3.68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2.14</v>
      </c>
      <c r="AC26" s="135">
        <v>12</v>
      </c>
      <c r="AD26" s="130">
        <f t="shared" si="5"/>
        <v>2.14</v>
      </c>
      <c r="AE26" s="119"/>
      <c r="AF26" s="135">
        <f t="shared" si="18"/>
        <v>2039</v>
      </c>
      <c r="AG26" s="128">
        <f t="shared" si="30"/>
        <v>26.53</v>
      </c>
      <c r="AH26" s="135">
        <v>12</v>
      </c>
      <c r="AI26" s="130">
        <f t="shared" si="6"/>
        <v>26.53</v>
      </c>
      <c r="AJ26" s="119"/>
      <c r="AK26" s="135">
        <f t="shared" si="19"/>
        <v>2039</v>
      </c>
      <c r="AL26" s="128">
        <f t="shared" si="31"/>
        <v>12.93</v>
      </c>
      <c r="AM26" s="135">
        <v>12</v>
      </c>
      <c r="AN26" s="130">
        <f t="shared" si="7"/>
        <v>12.93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69.5</v>
      </c>
      <c r="D27" s="135">
        <v>12</v>
      </c>
      <c r="E27" s="130">
        <f t="shared" si="0"/>
        <v>69.5</v>
      </c>
      <c r="F27" s="119"/>
      <c r="G27" s="135">
        <f t="shared" si="13"/>
        <v>2040</v>
      </c>
      <c r="H27" s="128">
        <f t="shared" si="25"/>
        <v>15.21</v>
      </c>
      <c r="I27" s="135">
        <v>12</v>
      </c>
      <c r="J27" s="130">
        <f t="shared" si="1"/>
        <v>15.21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3.76</v>
      </c>
      <c r="S27" s="135">
        <v>12</v>
      </c>
      <c r="T27" s="130">
        <f t="shared" si="3"/>
        <v>3.76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2.19</v>
      </c>
      <c r="AC27" s="135">
        <v>12</v>
      </c>
      <c r="AD27" s="130">
        <f t="shared" si="5"/>
        <v>2.19</v>
      </c>
      <c r="AE27" s="119"/>
      <c r="AF27" s="135">
        <f t="shared" si="18"/>
        <v>2040</v>
      </c>
      <c r="AG27" s="128">
        <f t="shared" si="30"/>
        <v>27.14</v>
      </c>
      <c r="AH27" s="135">
        <v>12</v>
      </c>
      <c r="AI27" s="130">
        <f t="shared" si="6"/>
        <v>27.14</v>
      </c>
      <c r="AJ27" s="119"/>
      <c r="AK27" s="135">
        <f t="shared" si="19"/>
        <v>2040</v>
      </c>
      <c r="AL27" s="128">
        <f t="shared" si="31"/>
        <v>13.23</v>
      </c>
      <c r="AM27" s="135">
        <v>12</v>
      </c>
      <c r="AN27" s="130">
        <f t="shared" si="7"/>
        <v>13.229999999999999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71.099999999999994</v>
      </c>
      <c r="D28" s="135">
        <v>12</v>
      </c>
      <c r="E28" s="130">
        <f t="shared" si="0"/>
        <v>71.099999999999994</v>
      </c>
      <c r="F28" s="119"/>
      <c r="G28" s="135">
        <f t="shared" si="13"/>
        <v>2041</v>
      </c>
      <c r="H28" s="128">
        <f t="shared" si="25"/>
        <v>15.56</v>
      </c>
      <c r="I28" s="135">
        <v>12</v>
      </c>
      <c r="J28" s="130">
        <f t="shared" si="1"/>
        <v>15.56</v>
      </c>
      <c r="K28" s="119"/>
      <c r="L28" s="135">
        <f t="shared" si="14"/>
        <v>2041</v>
      </c>
      <c r="M28" s="128">
        <f t="shared" si="26"/>
        <v>34.840000000000003</v>
      </c>
      <c r="N28" s="135">
        <v>12</v>
      </c>
      <c r="O28" s="130">
        <f t="shared" si="2"/>
        <v>34.840000000000003</v>
      </c>
      <c r="Q28" s="135">
        <f t="shared" si="15"/>
        <v>2041</v>
      </c>
      <c r="R28" s="128">
        <f t="shared" si="27"/>
        <v>3.85</v>
      </c>
      <c r="S28" s="135">
        <v>12</v>
      </c>
      <c r="T28" s="130">
        <f t="shared" si="3"/>
        <v>3.85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2.2400000000000002</v>
      </c>
      <c r="AC28" s="135">
        <v>12</v>
      </c>
      <c r="AD28" s="130">
        <f t="shared" si="5"/>
        <v>2.2400000000000002</v>
      </c>
      <c r="AE28" s="119"/>
      <c r="AF28" s="135">
        <f t="shared" si="18"/>
        <v>2041</v>
      </c>
      <c r="AG28" s="128">
        <f t="shared" si="30"/>
        <v>27.76</v>
      </c>
      <c r="AH28" s="135">
        <v>12</v>
      </c>
      <c r="AI28" s="130">
        <f t="shared" si="6"/>
        <v>27.76</v>
      </c>
      <c r="AJ28" s="119"/>
      <c r="AK28" s="135">
        <f t="shared" si="19"/>
        <v>2041</v>
      </c>
      <c r="AL28" s="128">
        <f t="shared" si="31"/>
        <v>13.53</v>
      </c>
      <c r="AM28" s="135">
        <v>12</v>
      </c>
      <c r="AN28" s="130">
        <f t="shared" si="7"/>
        <v>13.53</v>
      </c>
      <c r="AO28" s="119"/>
      <c r="AP28" s="135">
        <f t="shared" si="20"/>
        <v>2041</v>
      </c>
      <c r="AQ28" s="128">
        <f t="shared" si="32"/>
        <v>5.22</v>
      </c>
      <c r="AR28" s="135">
        <v>12</v>
      </c>
      <c r="AS28" s="130">
        <f t="shared" si="8"/>
        <v>5.22</v>
      </c>
      <c r="AT28" s="119"/>
      <c r="AU28" s="135">
        <f t="shared" si="21"/>
        <v>2041</v>
      </c>
      <c r="AV28" s="128">
        <f t="shared" si="33"/>
        <v>6.02</v>
      </c>
      <c r="AW28" s="135">
        <v>12</v>
      </c>
      <c r="AX28" s="130">
        <f t="shared" si="9"/>
        <v>6.02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72.81</v>
      </c>
      <c r="D29" s="135">
        <v>12</v>
      </c>
      <c r="E29" s="130">
        <f t="shared" si="0"/>
        <v>72.81</v>
      </c>
      <c r="F29" s="119"/>
      <c r="G29" s="135">
        <f t="shared" si="13"/>
        <v>2042</v>
      </c>
      <c r="H29" s="128">
        <f t="shared" si="25"/>
        <v>15.93</v>
      </c>
      <c r="I29" s="135">
        <v>12</v>
      </c>
      <c r="J29" s="130">
        <f t="shared" si="1"/>
        <v>15.93</v>
      </c>
      <c r="K29" s="119"/>
      <c r="L29" s="135">
        <f t="shared" si="14"/>
        <v>2042</v>
      </c>
      <c r="M29" s="128">
        <f t="shared" si="26"/>
        <v>35.68</v>
      </c>
      <c r="N29" s="135">
        <v>12</v>
      </c>
      <c r="O29" s="130">
        <f t="shared" si="2"/>
        <v>35.68</v>
      </c>
      <c r="Q29" s="135">
        <f t="shared" si="15"/>
        <v>2042</v>
      </c>
      <c r="R29" s="128">
        <f t="shared" si="27"/>
        <v>3.94</v>
      </c>
      <c r="S29" s="135">
        <v>12</v>
      </c>
      <c r="T29" s="130">
        <f t="shared" si="3"/>
        <v>3.94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2.29</v>
      </c>
      <c r="AC29" s="135">
        <v>12</v>
      </c>
      <c r="AD29" s="130">
        <f t="shared" si="5"/>
        <v>2.29</v>
      </c>
      <c r="AE29" s="119"/>
      <c r="AF29" s="135">
        <f t="shared" si="18"/>
        <v>2042</v>
      </c>
      <c r="AG29" s="128">
        <f t="shared" si="30"/>
        <v>28.43</v>
      </c>
      <c r="AH29" s="135">
        <v>12</v>
      </c>
      <c r="AI29" s="130">
        <f t="shared" si="6"/>
        <v>28.429999999999996</v>
      </c>
      <c r="AJ29" s="119"/>
      <c r="AK29" s="135">
        <f t="shared" si="19"/>
        <v>2042</v>
      </c>
      <c r="AL29" s="128">
        <f t="shared" si="31"/>
        <v>13.85</v>
      </c>
      <c r="AM29" s="135">
        <v>12</v>
      </c>
      <c r="AN29" s="130">
        <f t="shared" si="7"/>
        <v>13.85</v>
      </c>
      <c r="AO29" s="119"/>
      <c r="AP29" s="135">
        <f t="shared" si="20"/>
        <v>2042</v>
      </c>
      <c r="AQ29" s="128">
        <f t="shared" si="32"/>
        <v>5.35</v>
      </c>
      <c r="AR29" s="135">
        <v>12</v>
      </c>
      <c r="AS29" s="130">
        <f t="shared" si="8"/>
        <v>5.3499999999999988</v>
      </c>
      <c r="AT29" s="119"/>
      <c r="AU29" s="135">
        <f t="shared" si="21"/>
        <v>2042</v>
      </c>
      <c r="AV29" s="128">
        <f t="shared" si="33"/>
        <v>6.16</v>
      </c>
      <c r="AW29" s="135">
        <v>12</v>
      </c>
      <c r="AX29" s="130">
        <f t="shared" si="9"/>
        <v>6.16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74.56</v>
      </c>
      <c r="D30" s="135">
        <v>12</v>
      </c>
      <c r="E30" s="130">
        <f t="shared" si="0"/>
        <v>74.56</v>
      </c>
      <c r="F30" s="119"/>
      <c r="G30" s="135">
        <f t="shared" si="13"/>
        <v>2043</v>
      </c>
      <c r="H30" s="128">
        <f t="shared" si="25"/>
        <v>16.309999999999999</v>
      </c>
      <c r="I30" s="135">
        <v>12</v>
      </c>
      <c r="J30" s="130">
        <f t="shared" si="1"/>
        <v>16.309999999999999</v>
      </c>
      <c r="K30" s="119"/>
      <c r="L30" s="135">
        <f t="shared" si="14"/>
        <v>2043</v>
      </c>
      <c r="M30" s="128">
        <f t="shared" si="26"/>
        <v>36.54</v>
      </c>
      <c r="N30" s="135">
        <v>12</v>
      </c>
      <c r="O30" s="130">
        <f t="shared" si="2"/>
        <v>36.54</v>
      </c>
      <c r="Q30" s="135">
        <f t="shared" si="15"/>
        <v>2043</v>
      </c>
      <c r="R30" s="128">
        <f t="shared" si="27"/>
        <v>4.03</v>
      </c>
      <c r="S30" s="135">
        <v>12</v>
      </c>
      <c r="T30" s="130">
        <f t="shared" si="3"/>
        <v>4.03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2.34</v>
      </c>
      <c r="AC30" s="135">
        <v>12</v>
      </c>
      <c r="AD30" s="130">
        <f t="shared" si="5"/>
        <v>2.34</v>
      </c>
      <c r="AE30" s="119"/>
      <c r="AF30" s="135">
        <f t="shared" si="18"/>
        <v>2043</v>
      </c>
      <c r="AG30" s="128">
        <f t="shared" si="30"/>
        <v>29.11</v>
      </c>
      <c r="AH30" s="135">
        <v>12</v>
      </c>
      <c r="AI30" s="130">
        <f t="shared" si="6"/>
        <v>29.11</v>
      </c>
      <c r="AJ30" s="119"/>
      <c r="AK30" s="135">
        <f t="shared" si="19"/>
        <v>2043</v>
      </c>
      <c r="AL30" s="128">
        <f t="shared" si="31"/>
        <v>14.18</v>
      </c>
      <c r="AM30" s="135">
        <v>12</v>
      </c>
      <c r="AN30" s="130">
        <f t="shared" si="7"/>
        <v>14.18</v>
      </c>
      <c r="AO30" s="119"/>
      <c r="AP30" s="135">
        <f t="shared" si="20"/>
        <v>2043</v>
      </c>
      <c r="AQ30" s="128">
        <f t="shared" si="32"/>
        <v>5.48</v>
      </c>
      <c r="AR30" s="135">
        <v>12</v>
      </c>
      <c r="AS30" s="130">
        <f t="shared" si="8"/>
        <v>5.48</v>
      </c>
      <c r="AT30" s="119"/>
      <c r="AU30" s="135">
        <f t="shared" si="21"/>
        <v>2043</v>
      </c>
      <c r="AV30" s="128">
        <f t="shared" si="33"/>
        <v>6.31</v>
      </c>
      <c r="AW30" s="135">
        <v>12</v>
      </c>
      <c r="AX30" s="130">
        <f t="shared" si="9"/>
        <v>6.31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76.349999999999994</v>
      </c>
      <c r="D31" s="135">
        <v>12</v>
      </c>
      <c r="E31" s="130">
        <f t="shared" si="0"/>
        <v>76.349999999999994</v>
      </c>
      <c r="F31" s="119"/>
      <c r="G31" s="135">
        <f t="shared" si="13"/>
        <v>2044</v>
      </c>
      <c r="H31" s="128">
        <f t="shared" si="25"/>
        <v>16.7</v>
      </c>
      <c r="I31" s="135">
        <v>12</v>
      </c>
      <c r="J31" s="130">
        <f t="shared" si="1"/>
        <v>16.7</v>
      </c>
      <c r="K31" s="119"/>
      <c r="L31" s="135">
        <f t="shared" si="14"/>
        <v>2044</v>
      </c>
      <c r="M31" s="128">
        <f t="shared" si="26"/>
        <v>37.42</v>
      </c>
      <c r="N31" s="135">
        <v>12</v>
      </c>
      <c r="O31" s="130">
        <f t="shared" si="2"/>
        <v>37.42</v>
      </c>
      <c r="Q31" s="135">
        <f t="shared" si="15"/>
        <v>2044</v>
      </c>
      <c r="R31" s="128">
        <f t="shared" si="27"/>
        <v>4.13</v>
      </c>
      <c r="S31" s="135">
        <v>12</v>
      </c>
      <c r="T31" s="130">
        <f t="shared" si="3"/>
        <v>4.13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2.4</v>
      </c>
      <c r="AC31" s="135">
        <v>12</v>
      </c>
      <c r="AD31" s="130">
        <f t="shared" si="5"/>
        <v>2.4</v>
      </c>
      <c r="AE31" s="119"/>
      <c r="AF31" s="135">
        <f t="shared" si="18"/>
        <v>2044</v>
      </c>
      <c r="AG31" s="128">
        <f t="shared" si="30"/>
        <v>29.81</v>
      </c>
      <c r="AH31" s="135">
        <v>12</v>
      </c>
      <c r="AI31" s="130">
        <f t="shared" si="6"/>
        <v>29.81</v>
      </c>
      <c r="AJ31" s="119"/>
      <c r="AK31" s="135">
        <f t="shared" si="19"/>
        <v>2044</v>
      </c>
      <c r="AL31" s="128">
        <f t="shared" si="31"/>
        <v>14.52</v>
      </c>
      <c r="AM31" s="135">
        <v>12</v>
      </c>
      <c r="AN31" s="130">
        <f t="shared" si="7"/>
        <v>14.520000000000001</v>
      </c>
      <c r="AO31" s="119"/>
      <c r="AP31" s="135">
        <f t="shared" si="20"/>
        <v>2044</v>
      </c>
      <c r="AQ31" s="128">
        <f t="shared" si="32"/>
        <v>5.61</v>
      </c>
      <c r="AR31" s="135">
        <v>12</v>
      </c>
      <c r="AS31" s="130">
        <f t="shared" si="8"/>
        <v>5.61</v>
      </c>
      <c r="AT31" s="119"/>
      <c r="AU31" s="135">
        <f t="shared" si="21"/>
        <v>2044</v>
      </c>
      <c r="AV31" s="128">
        <f t="shared" si="33"/>
        <v>6.46</v>
      </c>
      <c r="AW31" s="135">
        <v>12</v>
      </c>
      <c r="AX31" s="130">
        <f t="shared" si="9"/>
        <v>6.46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78.180000000000007</v>
      </c>
      <c r="D32" s="135">
        <v>12</v>
      </c>
      <c r="E32" s="130">
        <f t="shared" si="0"/>
        <v>78.180000000000007</v>
      </c>
      <c r="F32" s="119"/>
      <c r="G32" s="135">
        <f t="shared" si="13"/>
        <v>2045</v>
      </c>
      <c r="H32" s="128">
        <f t="shared" si="25"/>
        <v>17.100000000000001</v>
      </c>
      <c r="I32" s="135">
        <v>12</v>
      </c>
      <c r="J32" s="130">
        <f t="shared" si="1"/>
        <v>17.100000000000001</v>
      </c>
      <c r="K32" s="119"/>
      <c r="L32" s="135">
        <f t="shared" si="14"/>
        <v>2045</v>
      </c>
      <c r="M32" s="128">
        <f t="shared" si="26"/>
        <v>38.32</v>
      </c>
      <c r="N32" s="135">
        <v>12</v>
      </c>
      <c r="O32" s="130">
        <f t="shared" si="2"/>
        <v>38.32</v>
      </c>
      <c r="Q32" s="135">
        <f t="shared" si="15"/>
        <v>2045</v>
      </c>
      <c r="R32" s="128">
        <f t="shared" si="27"/>
        <v>4.2300000000000004</v>
      </c>
      <c r="S32" s="135">
        <v>12</v>
      </c>
      <c r="T32" s="130">
        <f t="shared" si="3"/>
        <v>4.2300000000000004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2.46</v>
      </c>
      <c r="AC32" s="135">
        <v>12</v>
      </c>
      <c r="AD32" s="130">
        <f t="shared" si="5"/>
        <v>2.46</v>
      </c>
      <c r="AE32" s="119"/>
      <c r="AF32" s="135">
        <f t="shared" si="18"/>
        <v>2045</v>
      </c>
      <c r="AG32" s="128">
        <f t="shared" si="30"/>
        <v>30.53</v>
      </c>
      <c r="AH32" s="135">
        <v>12</v>
      </c>
      <c r="AI32" s="130">
        <f t="shared" si="6"/>
        <v>30.53</v>
      </c>
      <c r="AJ32" s="119"/>
      <c r="AK32" s="135">
        <f t="shared" si="19"/>
        <v>2045</v>
      </c>
      <c r="AL32" s="128">
        <f t="shared" si="31"/>
        <v>14.87</v>
      </c>
      <c r="AM32" s="135">
        <v>12</v>
      </c>
      <c r="AN32" s="130">
        <f t="shared" si="7"/>
        <v>14.87</v>
      </c>
      <c r="AO32" s="119"/>
      <c r="AP32" s="135">
        <f t="shared" si="20"/>
        <v>2045</v>
      </c>
      <c r="AQ32" s="128">
        <f t="shared" si="32"/>
        <v>5.74</v>
      </c>
      <c r="AR32" s="135">
        <v>12</v>
      </c>
      <c r="AS32" s="130">
        <f t="shared" si="8"/>
        <v>5.7399999999999993</v>
      </c>
      <c r="AT32" s="119"/>
      <c r="AU32" s="135">
        <f t="shared" si="21"/>
        <v>2045</v>
      </c>
      <c r="AV32" s="128">
        <f t="shared" si="33"/>
        <v>6.62</v>
      </c>
      <c r="AW32" s="135">
        <v>12</v>
      </c>
      <c r="AX32" s="130">
        <f t="shared" si="9"/>
        <v>6.62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53">
        <v>2024</v>
      </c>
      <c r="H35" s="128" t="s">
        <v>103</v>
      </c>
      <c r="I35" s="353">
        <v>2030</v>
      </c>
      <c r="M35" s="128" t="s">
        <v>103</v>
      </c>
      <c r="N35" s="353">
        <v>2036</v>
      </c>
      <c r="R35" s="128" t="s">
        <v>103</v>
      </c>
      <c r="S35" s="353">
        <v>2024</v>
      </c>
      <c r="W35" s="128" t="s">
        <v>103</v>
      </c>
      <c r="X35" s="353">
        <v>2024</v>
      </c>
      <c r="AB35" s="128" t="s">
        <v>103</v>
      </c>
      <c r="AC35" s="353">
        <v>2023</v>
      </c>
      <c r="AG35" s="128" t="s">
        <v>103</v>
      </c>
      <c r="AH35" s="355">
        <v>2030</v>
      </c>
      <c r="AL35" s="128" t="s">
        <v>103</v>
      </c>
      <c r="AM35" s="353">
        <v>2033</v>
      </c>
      <c r="AQ35" s="128" t="s">
        <v>103</v>
      </c>
      <c r="AR35" s="353">
        <v>2037</v>
      </c>
      <c r="AV35" s="128" t="s">
        <v>103</v>
      </c>
      <c r="AW35" s="353">
        <v>2037</v>
      </c>
      <c r="BA35" s="128" t="s">
        <v>103</v>
      </c>
      <c r="BB35" s="355">
        <v>2029</v>
      </c>
      <c r="BF35" s="128" t="s">
        <v>103</v>
      </c>
      <c r="BG35" s="355">
        <v>2024</v>
      </c>
    </row>
    <row r="36" spans="2:60">
      <c r="C36" s="185" t="s">
        <v>84</v>
      </c>
      <c r="D36" s="353">
        <v>1920</v>
      </c>
      <c r="H36" s="185" t="s">
        <v>84</v>
      </c>
      <c r="I36" s="353">
        <v>1100</v>
      </c>
      <c r="M36" s="185" t="s">
        <v>84</v>
      </c>
      <c r="N36" s="353">
        <v>430</v>
      </c>
      <c r="R36" s="185" t="s">
        <v>84</v>
      </c>
      <c r="S36" s="353">
        <v>600</v>
      </c>
      <c r="W36" s="185" t="s">
        <v>84</v>
      </c>
      <c r="X36" s="353">
        <v>405</v>
      </c>
      <c r="AB36" s="185" t="s">
        <v>84</v>
      </c>
      <c r="AC36" s="353">
        <v>300</v>
      </c>
      <c r="AG36" s="185" t="s">
        <v>84</v>
      </c>
      <c r="AH36" s="355">
        <v>500</v>
      </c>
      <c r="AL36" s="185" t="s">
        <v>84</v>
      </c>
      <c r="AM36" s="353">
        <v>475</v>
      </c>
      <c r="AQ36" s="185" t="s">
        <v>84</v>
      </c>
      <c r="AR36" s="353">
        <v>442.8</v>
      </c>
      <c r="AV36" s="185" t="s">
        <v>84</v>
      </c>
      <c r="AW36" s="353">
        <v>369.8</v>
      </c>
      <c r="BA36" s="185" t="s">
        <v>84</v>
      </c>
      <c r="BB36" s="355">
        <v>359.4</v>
      </c>
      <c r="BF36" s="185" t="s">
        <v>84</v>
      </c>
      <c r="BG36" s="355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56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56">
        <v>0</v>
      </c>
      <c r="BE37" s="129"/>
      <c r="BF37" s="128" t="s">
        <v>177</v>
      </c>
      <c r="BG37" s="356">
        <v>0</v>
      </c>
    </row>
    <row r="38" spans="2:60">
      <c r="B38" s="129"/>
      <c r="C38" s="128" t="s">
        <v>178</v>
      </c>
      <c r="D38" s="351">
        <v>5.9603158827233105E-2</v>
      </c>
      <c r="G38" s="129"/>
      <c r="H38" s="128" t="s">
        <v>178</v>
      </c>
      <c r="I38" s="351">
        <v>5.9603158827233105E-2</v>
      </c>
      <c r="L38" s="129"/>
      <c r="M38" s="128" t="s">
        <v>178</v>
      </c>
      <c r="N38" s="351">
        <v>5.9603158827233105E-2</v>
      </c>
      <c r="Q38" s="129"/>
      <c r="R38" s="128" t="s">
        <v>178</v>
      </c>
      <c r="S38" s="351">
        <v>5.9603158827233105E-2</v>
      </c>
      <c r="V38" s="129"/>
      <c r="W38" s="128" t="s">
        <v>178</v>
      </c>
      <c r="X38" s="351">
        <v>5.9603158827233105E-2</v>
      </c>
      <c r="AA38" s="129"/>
      <c r="AB38" s="128" t="s">
        <v>178</v>
      </c>
      <c r="AC38" s="351">
        <v>5.9603158827233105E-2</v>
      </c>
      <c r="AF38" s="129"/>
      <c r="AG38" s="128" t="s">
        <v>178</v>
      </c>
      <c r="AH38" s="351">
        <v>5.9603158827233105E-2</v>
      </c>
      <c r="AK38" s="129"/>
      <c r="AL38" s="128" t="s">
        <v>178</v>
      </c>
      <c r="AM38" s="351">
        <v>5.9603158827233105E-2</v>
      </c>
      <c r="AP38" s="129"/>
      <c r="AQ38" s="128" t="s">
        <v>178</v>
      </c>
      <c r="AR38" s="351">
        <v>5.9603158827233105E-2</v>
      </c>
      <c r="AU38" s="129"/>
      <c r="AV38" s="128" t="s">
        <v>178</v>
      </c>
      <c r="AW38" s="351">
        <v>5.9603158827233105E-2</v>
      </c>
      <c r="AZ38" s="129"/>
      <c r="BA38" s="128" t="s">
        <v>178</v>
      </c>
      <c r="BB38" s="351">
        <v>5.9603158827233105E-2</v>
      </c>
      <c r="BE38" s="129"/>
      <c r="BF38" s="128" t="s">
        <v>178</v>
      </c>
      <c r="BG38" s="351">
        <v>5.9603158827233105E-2</v>
      </c>
    </row>
    <row r="39" spans="2:60" ht="41.25" customHeight="1">
      <c r="B39" s="431" t="s">
        <v>176</v>
      </c>
      <c r="C39" s="431"/>
      <c r="D39" s="352">
        <f>D37*1000000*D38/(D36*1000)</f>
        <v>47.870308055404152</v>
      </c>
      <c r="G39" s="431" t="s">
        <v>190</v>
      </c>
      <c r="H39" s="431"/>
      <c r="I39" s="352">
        <f>I37*1000000*I38/(I36*1000)</f>
        <v>12.097273854334603</v>
      </c>
      <c r="L39" s="431" t="s">
        <v>192</v>
      </c>
      <c r="M39" s="431"/>
      <c r="N39" s="352">
        <f>N37*1000000*N38/(N36*1000)</f>
        <v>31.092888780208423</v>
      </c>
      <c r="Q39" s="431" t="s">
        <v>176</v>
      </c>
      <c r="R39" s="431"/>
      <c r="S39" s="352">
        <f>S37*1000000*S38/(S36*1000)</f>
        <v>2.5818101631996475</v>
      </c>
      <c r="V39" s="431" t="s">
        <v>176</v>
      </c>
      <c r="W39" s="431"/>
      <c r="X39" s="352">
        <f>X37*1000000*X38/(X36*1000)</f>
        <v>0.39132049215213044</v>
      </c>
      <c r="AA39" s="431" t="s">
        <v>181</v>
      </c>
      <c r="AB39" s="431"/>
      <c r="AC39" s="352">
        <f>AC37*1000000*AC38/(AC36*1000)</f>
        <v>1.4680258019147514</v>
      </c>
      <c r="AF39" s="431" t="s">
        <v>190</v>
      </c>
      <c r="AG39" s="431"/>
      <c r="AH39" s="352">
        <f>AH37*1000000*AH38/(AH36*1000)</f>
        <v>21.577297145999619</v>
      </c>
      <c r="AK39" s="431" t="s">
        <v>189</v>
      </c>
      <c r="AL39" s="431"/>
      <c r="AM39" s="352">
        <f>AM37*1000000*AM38/(AM36*1000)</f>
        <v>11.261107127981489</v>
      </c>
      <c r="AP39" s="431" t="s">
        <v>194</v>
      </c>
      <c r="AQ39" s="431"/>
      <c r="AR39" s="352">
        <f>AR37*1000000*AR38/(AR36*1000)</f>
        <v>4.7728292811563495</v>
      </c>
      <c r="AU39" s="431" t="s">
        <v>194</v>
      </c>
      <c r="AV39" s="431"/>
      <c r="AW39" s="352">
        <f>AW37*1000000*AW38/(AW36*1000)</f>
        <v>5.4972551057881001</v>
      </c>
      <c r="AZ39" s="431" t="s">
        <v>188</v>
      </c>
      <c r="BA39" s="431"/>
      <c r="BB39" s="352">
        <f>BB37*1000000*BB38/(BB36*1000)</f>
        <v>0</v>
      </c>
      <c r="BE39" s="431" t="s">
        <v>176</v>
      </c>
      <c r="BF39" s="431"/>
      <c r="BG39" s="352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March 31,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2.1999999999999999E-2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1.7000000000000001E-2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2.3E-2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2.3E-2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2.4E-2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2.4E-2</v>
      </c>
      <c r="E50" s="86"/>
      <c r="F50" s="87">
        <f t="shared" si="37"/>
        <v>2034</v>
      </c>
      <c r="G50" s="41">
        <v>2.4E-2</v>
      </c>
      <c r="H50" s="86"/>
      <c r="I50" s="87">
        <f t="shared" si="38"/>
        <v>2043</v>
      </c>
      <c r="J50" s="41">
        <v>2.4E-2</v>
      </c>
      <c r="BG50" s="164"/>
    </row>
    <row r="51" spans="2:59" s="119" customFormat="1">
      <c r="C51" s="87">
        <f t="shared" si="36"/>
        <v>2026</v>
      </c>
      <c r="D51" s="41">
        <v>2.5000000000000001E-2</v>
      </c>
      <c r="E51" s="86"/>
      <c r="F51" s="87">
        <f t="shared" si="37"/>
        <v>2035</v>
      </c>
      <c r="G51" s="41">
        <v>2.4E-2</v>
      </c>
      <c r="H51" s="86"/>
      <c r="I51" s="87">
        <f t="shared" si="38"/>
        <v>2044</v>
      </c>
      <c r="J51" s="41">
        <v>2.4E-2</v>
      </c>
      <c r="BG51" s="164"/>
    </row>
    <row r="52" spans="2:59">
      <c r="B52" s="119"/>
      <c r="C52" s="87">
        <f t="shared" si="36"/>
        <v>2027</v>
      </c>
      <c r="D52" s="41">
        <v>2.5000000000000001E-2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2.4E-2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90" zoomScaleNormal="80" zoomScaleSheetLayoutView="90" workbookViewId="0">
      <selection activeCell="O40" sqref="O40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94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Utah 2021.Q1_Solar - 80.0 MW and 32.2%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96</v>
      </c>
      <c r="E8" s="231"/>
      <c r="F8" s="231"/>
      <c r="G8" s="230"/>
      <c r="H8" s="230"/>
      <c r="I8" s="232" t="s">
        <v>97</v>
      </c>
      <c r="J8" s="233"/>
      <c r="K8" s="233"/>
      <c r="L8" s="234"/>
      <c r="M8" s="235" t="s">
        <v>96</v>
      </c>
      <c r="N8" s="236"/>
      <c r="O8" s="237"/>
    </row>
    <row r="9" spans="2:16">
      <c r="B9" s="238" t="s">
        <v>0</v>
      </c>
      <c r="C9" s="238" t="s">
        <v>254</v>
      </c>
      <c r="D9" s="239" t="s">
        <v>255</v>
      </c>
      <c r="E9" s="240" t="s">
        <v>256</v>
      </c>
      <c r="F9" s="240" t="s">
        <v>257</v>
      </c>
      <c r="G9" s="240" t="s">
        <v>258</v>
      </c>
      <c r="H9" s="241" t="s">
        <v>259</v>
      </c>
      <c r="I9" s="171" t="s">
        <v>260</v>
      </c>
      <c r="J9" s="171" t="s">
        <v>261</v>
      </c>
      <c r="K9" s="171" t="s">
        <v>262</v>
      </c>
      <c r="L9" s="171" t="s">
        <v>263</v>
      </c>
      <c r="M9" s="239" t="s">
        <v>264</v>
      </c>
      <c r="N9" s="240" t="s">
        <v>265</v>
      </c>
      <c r="O9" s="241" t="s">
        <v>266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98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v>2021</v>
      </c>
      <c r="C13" s="250">
        <v>19.020281372548748</v>
      </c>
      <c r="D13" s="251">
        <v>17.251781637283251</v>
      </c>
      <c r="E13" s="251">
        <v>20.084218116693254</v>
      </c>
      <c r="F13" s="251">
        <v>14.690022112498928</v>
      </c>
      <c r="G13" s="251">
        <v>13.006454365401289</v>
      </c>
      <c r="H13" s="252">
        <v>13.305770366475342</v>
      </c>
      <c r="I13" s="253">
        <v>15.793243904336116</v>
      </c>
      <c r="J13" s="251">
        <v>32.575067594443333</v>
      </c>
      <c r="K13" s="251">
        <v>28.759530391608259</v>
      </c>
      <c r="L13" s="252">
        <v>17.835098967850474</v>
      </c>
      <c r="M13" s="253">
        <v>15.527147926625648</v>
      </c>
      <c r="N13" s="251">
        <v>16.326775356996809</v>
      </c>
      <c r="O13" s="252">
        <v>18.391112496469283</v>
      </c>
    </row>
    <row r="14" spans="2:16" ht="12.75" customHeight="1">
      <c r="B14" s="266">
        <v>2022</v>
      </c>
      <c r="C14" s="254">
        <v>18.238548092783979</v>
      </c>
      <c r="D14" s="255">
        <v>23.603236248139449</v>
      </c>
      <c r="E14" s="255">
        <v>15.701032631135057</v>
      </c>
      <c r="F14" s="255">
        <v>16.090184122904137</v>
      </c>
      <c r="G14" s="255">
        <v>13.049956238220068</v>
      </c>
      <c r="H14" s="256">
        <v>11.938064310145649</v>
      </c>
      <c r="I14" s="257">
        <v>15.241408811080337</v>
      </c>
      <c r="J14" s="255">
        <v>28.653890283334714</v>
      </c>
      <c r="K14" s="255">
        <v>25.173149346268929</v>
      </c>
      <c r="L14" s="256">
        <v>17.915796462251709</v>
      </c>
      <c r="M14" s="257">
        <v>15.916965693895806</v>
      </c>
      <c r="N14" s="255">
        <v>16.229498130257227</v>
      </c>
      <c r="O14" s="256">
        <v>18.423647875217203</v>
      </c>
    </row>
    <row r="15" spans="2:16" ht="12.75" customHeight="1">
      <c r="B15" s="266">
        <v>2023</v>
      </c>
      <c r="C15" s="254">
        <v>18.522079840583444</v>
      </c>
      <c r="D15" s="255">
        <v>17.243588594425088</v>
      </c>
      <c r="E15" s="255">
        <v>16.334494425637814</v>
      </c>
      <c r="F15" s="255">
        <v>16.111306025146217</v>
      </c>
      <c r="G15" s="255">
        <v>12.483429606504449</v>
      </c>
      <c r="H15" s="256">
        <v>12.849113628206075</v>
      </c>
      <c r="I15" s="257">
        <v>14.333996247013678</v>
      </c>
      <c r="J15" s="255">
        <v>31.757622762251398</v>
      </c>
      <c r="K15" s="255">
        <v>27.754184687033543</v>
      </c>
      <c r="L15" s="256">
        <v>18.451436183884208</v>
      </c>
      <c r="M15" s="257">
        <v>15.560003942820558</v>
      </c>
      <c r="N15" s="255">
        <v>16.143871995672605</v>
      </c>
      <c r="O15" s="256">
        <v>18.535439490072513</v>
      </c>
    </row>
    <row r="16" spans="2:16" ht="12.75" customHeight="1">
      <c r="B16" s="266">
        <v>2024</v>
      </c>
      <c r="C16" s="254">
        <v>2.4252127210024761</v>
      </c>
      <c r="D16" s="255">
        <v>3.6420368264314504</v>
      </c>
      <c r="E16" s="255">
        <v>1.5665071277495992</v>
      </c>
      <c r="F16" s="255">
        <v>-1.79973925414597</v>
      </c>
      <c r="G16" s="255">
        <v>-3.6203344748229926</v>
      </c>
      <c r="H16" s="256">
        <v>3.1399265197437094</v>
      </c>
      <c r="I16" s="257">
        <v>3.2974001774761819</v>
      </c>
      <c r="J16" s="255">
        <v>9.0777802788423791</v>
      </c>
      <c r="K16" s="255">
        <v>5.1296095760978613</v>
      </c>
      <c r="L16" s="256">
        <v>1.23275135879981</v>
      </c>
      <c r="M16" s="257">
        <v>-1.240817047313004</v>
      </c>
      <c r="N16" s="255">
        <v>1.8803425240870952</v>
      </c>
      <c r="O16" s="256">
        <v>4.0047767569537926</v>
      </c>
    </row>
    <row r="17" spans="2:15" ht="12.75" customHeight="1">
      <c r="B17" s="266">
        <v>2025</v>
      </c>
      <c r="C17" s="254">
        <v>2.609754700378359</v>
      </c>
      <c r="D17" s="255">
        <v>3.0055446593120343</v>
      </c>
      <c r="E17" s="255">
        <v>2.2898550059345917</v>
      </c>
      <c r="F17" s="255">
        <v>-2.2510739710405239</v>
      </c>
      <c r="G17" s="255">
        <v>-4.6584056855654534</v>
      </c>
      <c r="H17" s="256">
        <v>1.7885205268321693</v>
      </c>
      <c r="I17" s="257">
        <v>2.8726052993531321</v>
      </c>
      <c r="J17" s="255">
        <v>8.8855969219088085</v>
      </c>
      <c r="K17" s="255">
        <v>7.5896232057866273</v>
      </c>
      <c r="L17" s="256">
        <v>3.0947213091692962</v>
      </c>
      <c r="M17" s="257">
        <v>-1.1514633658209246</v>
      </c>
      <c r="N17" s="255">
        <v>2.6591577696477682</v>
      </c>
      <c r="O17" s="256">
        <v>5.3093153982356087</v>
      </c>
    </row>
    <row r="18" spans="2:15" ht="12.75" customHeight="1">
      <c r="B18" s="266">
        <v>2026</v>
      </c>
      <c r="C18" s="254">
        <v>3.0897503813429354</v>
      </c>
      <c r="D18" s="255">
        <v>3.2034505378533726</v>
      </c>
      <c r="E18" s="255">
        <v>2.6551092580989906</v>
      </c>
      <c r="F18" s="255">
        <v>-1.0995773264638438</v>
      </c>
      <c r="G18" s="255">
        <v>-1.4042234895561134</v>
      </c>
      <c r="H18" s="256">
        <v>2.0833720662726347</v>
      </c>
      <c r="I18" s="257">
        <v>4.3389587135371883</v>
      </c>
      <c r="J18" s="255">
        <v>8.984614990138807</v>
      </c>
      <c r="K18" s="255">
        <v>7.0264229038237067</v>
      </c>
      <c r="L18" s="256">
        <v>0.65525912227410388</v>
      </c>
      <c r="M18" s="257">
        <v>-2.6648276853180088E-2</v>
      </c>
      <c r="N18" s="255">
        <v>3.2474379459330684</v>
      </c>
      <c r="O18" s="256">
        <v>6.0976110618283492</v>
      </c>
    </row>
    <row r="19" spans="2:15" ht="12.75" customHeight="1">
      <c r="B19" s="266">
        <v>2027</v>
      </c>
      <c r="C19" s="254">
        <v>3.7688118417498058</v>
      </c>
      <c r="D19" s="255">
        <v>3.5559380687064071</v>
      </c>
      <c r="E19" s="255">
        <v>3.1664543177737259</v>
      </c>
      <c r="F19" s="255">
        <v>1.526490892543561</v>
      </c>
      <c r="G19" s="255">
        <v>-2.074361665185017</v>
      </c>
      <c r="H19" s="256">
        <v>2.4346133454241023</v>
      </c>
      <c r="I19" s="257">
        <v>4.3243070617066071</v>
      </c>
      <c r="J19" s="255">
        <v>9.2166028766818489</v>
      </c>
      <c r="K19" s="255">
        <v>9.8508414027723834</v>
      </c>
      <c r="L19" s="256">
        <v>1.6023537202408016</v>
      </c>
      <c r="M19" s="257">
        <v>0.48910503910107322</v>
      </c>
      <c r="N19" s="255">
        <v>3.6682944682488174</v>
      </c>
      <c r="O19" s="256">
        <v>5.6111460890848885</v>
      </c>
    </row>
    <row r="20" spans="2:15" ht="12.75" customHeight="1">
      <c r="B20" s="266">
        <v>2028</v>
      </c>
      <c r="C20" s="254">
        <v>8.3666169546987739</v>
      </c>
      <c r="D20" s="255">
        <v>8.5009607480762277</v>
      </c>
      <c r="E20" s="255">
        <v>7.7928619508639629</v>
      </c>
      <c r="F20" s="255">
        <v>4.1307211895881624</v>
      </c>
      <c r="G20" s="255">
        <v>0.96536036806246295</v>
      </c>
      <c r="H20" s="256">
        <v>4.8759044323711445</v>
      </c>
      <c r="I20" s="257">
        <v>6.9770550864143548</v>
      </c>
      <c r="J20" s="255">
        <v>17.248498551413167</v>
      </c>
      <c r="K20" s="255">
        <v>17.998148883107213</v>
      </c>
      <c r="L20" s="256">
        <v>5.9269966561685852</v>
      </c>
      <c r="M20" s="257">
        <v>4.4451519858833963</v>
      </c>
      <c r="N20" s="255">
        <v>9.4825268468532293</v>
      </c>
      <c r="O20" s="256">
        <v>10.312775507685169</v>
      </c>
    </row>
    <row r="21" spans="2:15" ht="12.75" customHeight="1">
      <c r="B21" s="266">
        <v>2029</v>
      </c>
      <c r="C21" s="254">
        <v>9.3794674962441711</v>
      </c>
      <c r="D21" s="255">
        <v>11.459289113940374</v>
      </c>
      <c r="E21" s="255">
        <v>8.2277994238322467</v>
      </c>
      <c r="F21" s="255">
        <v>5.2595218963333119</v>
      </c>
      <c r="G21" s="255">
        <v>2.8902559676499244</v>
      </c>
      <c r="H21" s="256">
        <v>4.3088776299657141</v>
      </c>
      <c r="I21" s="257">
        <v>6.5020483365155703</v>
      </c>
      <c r="J21" s="255">
        <v>17.519572573790143</v>
      </c>
      <c r="K21" s="255">
        <v>17.184657711237382</v>
      </c>
      <c r="L21" s="256">
        <v>8.9929727261048455</v>
      </c>
      <c r="M21" s="257">
        <v>8.8991455622503217</v>
      </c>
      <c r="N21" s="255">
        <v>10.283664542041995</v>
      </c>
      <c r="O21" s="256">
        <v>11.167969472103106</v>
      </c>
    </row>
    <row r="22" spans="2:15" ht="12.75" customHeight="1">
      <c r="B22" s="266">
        <v>2030</v>
      </c>
      <c r="C22" s="254">
        <v>6.7645073801354476</v>
      </c>
      <c r="D22" s="255">
        <v>8.3846185773649964</v>
      </c>
      <c r="E22" s="255">
        <v>4.5060233377567398</v>
      </c>
      <c r="F22" s="255">
        <v>5.4642157619384104</v>
      </c>
      <c r="G22" s="255">
        <v>2.5777662264143144</v>
      </c>
      <c r="H22" s="256">
        <v>3.3350446854355429</v>
      </c>
      <c r="I22" s="257">
        <v>5.0638877041411918</v>
      </c>
      <c r="J22" s="255">
        <v>11.72745548672092</v>
      </c>
      <c r="K22" s="255">
        <v>11.081945336495401</v>
      </c>
      <c r="L22" s="256">
        <v>7.1856897374889614</v>
      </c>
      <c r="M22" s="257">
        <v>5.3757727954113932</v>
      </c>
      <c r="N22" s="255">
        <v>8.4972515327922107</v>
      </c>
      <c r="O22" s="256">
        <v>8.6178479875155851</v>
      </c>
    </row>
    <row r="23" spans="2:15" ht="12.75" customHeight="1">
      <c r="B23" s="266">
        <v>2031</v>
      </c>
      <c r="C23" s="254">
        <v>8.2063211886876211</v>
      </c>
      <c r="D23" s="255">
        <v>10.001402129384177</v>
      </c>
      <c r="E23" s="255">
        <v>4.7381122682932633</v>
      </c>
      <c r="F23" s="255">
        <v>10.121786111495057</v>
      </c>
      <c r="G23" s="255">
        <v>4.7650358184914534</v>
      </c>
      <c r="H23" s="256">
        <v>4.0033397951953367</v>
      </c>
      <c r="I23" s="257">
        <v>6.991973690094996</v>
      </c>
      <c r="J23" s="255">
        <v>12.132724937277088</v>
      </c>
      <c r="K23" s="255">
        <v>11.139585745092432</v>
      </c>
      <c r="L23" s="256">
        <v>10.287814787652522</v>
      </c>
      <c r="M23" s="257">
        <v>7.5010669581751808</v>
      </c>
      <c r="N23" s="255">
        <v>7.0217491817343811</v>
      </c>
      <c r="O23" s="256">
        <v>9.997725367373274</v>
      </c>
    </row>
    <row r="24" spans="2:15" ht="12.75" customHeight="1">
      <c r="B24" s="266">
        <v>2032</v>
      </c>
      <c r="C24" s="254">
        <v>8.5933877936440535</v>
      </c>
      <c r="D24" s="255">
        <v>10.086534180851077</v>
      </c>
      <c r="E24" s="255">
        <v>4.420186858384195</v>
      </c>
      <c r="F24" s="255">
        <v>5.4482384725204218</v>
      </c>
      <c r="G24" s="255">
        <v>4.3392207888715468</v>
      </c>
      <c r="H24" s="256">
        <v>4.2013979150240672</v>
      </c>
      <c r="I24" s="257">
        <v>7.1259472611369299</v>
      </c>
      <c r="J24" s="255">
        <v>14.095165964050363</v>
      </c>
      <c r="K24" s="255">
        <v>13.686089057452133</v>
      </c>
      <c r="L24" s="256">
        <v>9.4182270177247034</v>
      </c>
      <c r="M24" s="257">
        <v>8.6132151387993829</v>
      </c>
      <c r="N24" s="255">
        <v>9.2504328412105963</v>
      </c>
      <c r="O24" s="256">
        <v>13.471031007980496</v>
      </c>
    </row>
    <row r="25" spans="2:15" ht="12.75" customHeight="1">
      <c r="B25" s="266">
        <v>2033</v>
      </c>
      <c r="C25" s="254">
        <v>9.4671362476799157</v>
      </c>
      <c r="D25" s="255">
        <v>10.844892848367646</v>
      </c>
      <c r="E25" s="255">
        <v>6.1928013366262125</v>
      </c>
      <c r="F25" s="255">
        <v>7.8569936015809141</v>
      </c>
      <c r="G25" s="255">
        <v>4.838381202861239</v>
      </c>
      <c r="H25" s="256">
        <v>3.4557415387340993</v>
      </c>
      <c r="I25" s="257">
        <v>6.7884449689653108</v>
      </c>
      <c r="J25" s="255">
        <v>15.227261672279738</v>
      </c>
      <c r="K25" s="255">
        <v>15.672595309185349</v>
      </c>
      <c r="L25" s="256">
        <v>11.194818096010913</v>
      </c>
      <c r="M25" s="257">
        <v>11.082792065440236</v>
      </c>
      <c r="N25" s="255">
        <v>8.7112084508119274</v>
      </c>
      <c r="O25" s="256">
        <v>12.338732117379223</v>
      </c>
    </row>
    <row r="26" spans="2:15" ht="12.75" customHeight="1">
      <c r="B26" s="266">
        <v>2034</v>
      </c>
      <c r="C26" s="254">
        <v>10.154883493445894</v>
      </c>
      <c r="D26" s="255">
        <v>12.295855515081254</v>
      </c>
      <c r="E26" s="255">
        <v>7.8134465979493299</v>
      </c>
      <c r="F26" s="255">
        <v>8.0624033622138036</v>
      </c>
      <c r="G26" s="255">
        <v>4.5409394163233534</v>
      </c>
      <c r="H26" s="256">
        <v>5.3855101319015617</v>
      </c>
      <c r="I26" s="257">
        <v>7.4926583142582421</v>
      </c>
      <c r="J26" s="255">
        <v>16.327763711162703</v>
      </c>
      <c r="K26" s="255">
        <v>17.128431956817138</v>
      </c>
      <c r="L26" s="256">
        <v>10.443886421428125</v>
      </c>
      <c r="M26" s="257">
        <v>10.36727119516668</v>
      </c>
      <c r="N26" s="255">
        <v>10.230054576792192</v>
      </c>
      <c r="O26" s="256">
        <v>12.045525307528784</v>
      </c>
    </row>
    <row r="27" spans="2:15" ht="12.75" customHeight="1">
      <c r="B27" s="266">
        <v>2035</v>
      </c>
      <c r="C27" s="254">
        <v>10.68773388286807</v>
      </c>
      <c r="D27" s="255">
        <v>11.756464170433789</v>
      </c>
      <c r="E27" s="255">
        <v>8.9173231498425007</v>
      </c>
      <c r="F27" s="255">
        <v>8.0571342765320644</v>
      </c>
      <c r="G27" s="255">
        <v>4.5265240946277618</v>
      </c>
      <c r="H27" s="256">
        <v>4.0780453895228046</v>
      </c>
      <c r="I27" s="257">
        <v>8.7137879375403582</v>
      </c>
      <c r="J27" s="255">
        <v>17.748838010382222</v>
      </c>
      <c r="K27" s="255">
        <v>18.588335154024762</v>
      </c>
      <c r="L27" s="256">
        <v>11.707339628769478</v>
      </c>
      <c r="M27" s="257">
        <v>9.9537357833441487</v>
      </c>
      <c r="N27" s="255">
        <v>11.028144247533294</v>
      </c>
      <c r="O27" s="256">
        <v>14.029308001205292</v>
      </c>
    </row>
    <row r="28" spans="2:15" ht="12.75" customHeight="1">
      <c r="B28" s="266">
        <v>2036</v>
      </c>
      <c r="C28" s="254">
        <v>12.856914383600952</v>
      </c>
      <c r="D28" s="255">
        <v>12.268185418304295</v>
      </c>
      <c r="E28" s="255">
        <v>8.7395323496240156</v>
      </c>
      <c r="F28" s="255">
        <v>10.166791955743193</v>
      </c>
      <c r="G28" s="255">
        <v>6.0045513948985061</v>
      </c>
      <c r="H28" s="256">
        <v>5.285736794484194</v>
      </c>
      <c r="I28" s="257">
        <v>9.7848054092865215</v>
      </c>
      <c r="J28" s="255">
        <v>17.9662581305138</v>
      </c>
      <c r="K28" s="255">
        <v>25.329524991003556</v>
      </c>
      <c r="L28" s="256">
        <v>13.677497891411614</v>
      </c>
      <c r="M28" s="257">
        <v>13.031326132227159</v>
      </c>
      <c r="N28" s="255">
        <v>16.543537503892043</v>
      </c>
      <c r="O28" s="256">
        <v>17.231929234776036</v>
      </c>
    </row>
    <row r="29" spans="2:15" ht="12.75" customHeight="1">
      <c r="B29" s="266">
        <v>2037</v>
      </c>
      <c r="C29" s="254">
        <v>12.87666230948825</v>
      </c>
      <c r="D29" s="255">
        <v>18.10623065526821</v>
      </c>
      <c r="E29" s="255">
        <v>10.131002562229003</v>
      </c>
      <c r="F29" s="255">
        <v>10.507973328022789</v>
      </c>
      <c r="G29" s="255">
        <v>7.8607331562597036</v>
      </c>
      <c r="H29" s="256">
        <v>4.4703234154501725</v>
      </c>
      <c r="I29" s="257">
        <v>11.145570675346455</v>
      </c>
      <c r="J29" s="255">
        <v>18.006428881113713</v>
      </c>
      <c r="K29" s="255">
        <v>17.489663288630311</v>
      </c>
      <c r="L29" s="256">
        <v>12.891020858079907</v>
      </c>
      <c r="M29" s="257">
        <v>16.644977279164884</v>
      </c>
      <c r="N29" s="255">
        <v>14.406354061050317</v>
      </c>
      <c r="O29" s="256">
        <v>18.926453027735317</v>
      </c>
    </row>
    <row r="30" spans="2:15" ht="12.75" customHeight="1">
      <c r="B30" s="267">
        <v>2038</v>
      </c>
      <c r="C30" s="259">
        <v>7.5183023036172694</v>
      </c>
      <c r="D30" s="260">
        <v>14.847404882339742</v>
      </c>
      <c r="E30" s="260">
        <v>8.1015448811663457</v>
      </c>
      <c r="F30" s="260">
        <v>9.1716891784968304</v>
      </c>
      <c r="G30" s="260">
        <v>6.0920890899087308</v>
      </c>
      <c r="H30" s="261">
        <v>3.8569226085439001</v>
      </c>
      <c r="I30" s="262">
        <v>10.024888384263363</v>
      </c>
      <c r="J30" s="260">
        <v>1.0765950484389131</v>
      </c>
      <c r="K30" s="260">
        <v>-6.5858644690902217</v>
      </c>
      <c r="L30" s="261">
        <v>9.8901223394869149</v>
      </c>
      <c r="M30" s="262">
        <v>14.67444337934292</v>
      </c>
      <c r="N30" s="260">
        <v>16.167812472786711</v>
      </c>
      <c r="O30" s="261">
        <v>21.982555707840355</v>
      </c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customHeight="1">
      <c r="D33" s="10"/>
      <c r="E33" s="10"/>
      <c r="F33" s="10"/>
      <c r="M33" s="263"/>
    </row>
    <row r="34" spans="2:16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60" zoomScaleNormal="100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3320312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2021.Q1_Solar - 80.0 MW and 32.2% CF</v>
      </c>
      <c r="C5" s="1"/>
      <c r="D5" s="1"/>
      <c r="H5" s="96">
        <v>44286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2.87</v>
      </c>
      <c r="D19" s="27">
        <f t="shared" si="1"/>
        <v>2.88</v>
      </c>
      <c r="E19" s="27">
        <f t="shared" si="2"/>
        <v>2.87</v>
      </c>
      <c r="F19" s="27">
        <f t="shared" si="3"/>
        <v>2.34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2.73</v>
      </c>
      <c r="D20" s="27">
        <f t="shared" si="1"/>
        <v>2.74</v>
      </c>
      <c r="E20" s="27">
        <f t="shared" si="2"/>
        <v>2.73</v>
      </c>
      <c r="F20" s="27">
        <f t="shared" si="3"/>
        <v>2.5099999999999998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2.61</v>
      </c>
      <c r="D21" s="27">
        <f t="shared" si="1"/>
        <v>2.62</v>
      </c>
      <c r="E21" s="27">
        <f t="shared" si="2"/>
        <v>2.6</v>
      </c>
      <c r="F21" s="27">
        <f t="shared" si="3"/>
        <v>2.38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2.86</v>
      </c>
      <c r="D22" s="27">
        <f t="shared" si="1"/>
        <v>2.87</v>
      </c>
      <c r="E22" s="27">
        <f t="shared" si="2"/>
        <v>2.85</v>
      </c>
      <c r="F22" s="27">
        <f t="shared" si="3"/>
        <v>2.65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3.23</v>
      </c>
      <c r="D23" s="27">
        <f t="shared" si="1"/>
        <v>3.24</v>
      </c>
      <c r="E23" s="27">
        <f t="shared" si="2"/>
        <v>3.2</v>
      </c>
      <c r="F23" s="27">
        <f t="shared" si="3"/>
        <v>3.02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3.37</v>
      </c>
      <c r="D24" s="27">
        <f t="shared" si="1"/>
        <v>3.38</v>
      </c>
      <c r="E24" s="27">
        <f t="shared" si="2"/>
        <v>3.28</v>
      </c>
      <c r="F24" s="27">
        <f t="shared" si="3"/>
        <v>3.15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3.47</v>
      </c>
      <c r="D25" s="27">
        <f t="shared" si="1"/>
        <v>3.48</v>
      </c>
      <c r="E25" s="27">
        <f t="shared" si="2"/>
        <v>3.44</v>
      </c>
      <c r="F25" s="27">
        <f t="shared" si="3"/>
        <v>3.25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3.72</v>
      </c>
      <c r="D26" s="27">
        <f t="shared" si="1"/>
        <v>3.73</v>
      </c>
      <c r="E26" s="27">
        <f t="shared" si="2"/>
        <v>3.67</v>
      </c>
      <c r="F26" s="27">
        <f t="shared" si="3"/>
        <v>3.5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3.98</v>
      </c>
      <c r="F27" s="27">
        <f t="shared" si="3"/>
        <v>3.85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4.22</v>
      </c>
      <c r="D28" s="27">
        <f t="shared" si="1"/>
        <v>4.2300000000000004</v>
      </c>
      <c r="E28" s="27">
        <f t="shared" si="2"/>
        <v>4.1399999999999997</v>
      </c>
      <c r="F28" s="27">
        <f t="shared" si="3"/>
        <v>4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4.34</v>
      </c>
      <c r="D29" s="27">
        <f t="shared" si="1"/>
        <v>4.3499999999999996</v>
      </c>
      <c r="E29" s="27">
        <f t="shared" si="2"/>
        <v>4.28</v>
      </c>
      <c r="F29" s="27">
        <f t="shared" si="3"/>
        <v>4.12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4.42</v>
      </c>
      <c r="D30" s="27">
        <f t="shared" si="1"/>
        <v>4.43</v>
      </c>
      <c r="E30" s="27">
        <f t="shared" si="2"/>
        <v>4.33</v>
      </c>
      <c r="F30" s="27">
        <f t="shared" si="3"/>
        <v>4.1900000000000004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4.67</v>
      </c>
      <c r="D31" s="27">
        <f t="shared" si="1"/>
        <v>4.68</v>
      </c>
      <c r="E31" s="27">
        <f t="shared" si="2"/>
        <v>4.5199999999999996</v>
      </c>
      <c r="F31" s="27">
        <f t="shared" si="3"/>
        <v>4.4400000000000004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4.7300000000000004</v>
      </c>
      <c r="D32" s="27">
        <f t="shared" si="1"/>
        <v>4.74</v>
      </c>
      <c r="E32" s="27">
        <f t="shared" si="2"/>
        <v>4.5599999999999996</v>
      </c>
      <c r="F32" s="27">
        <f t="shared" si="3"/>
        <v>4.5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4.8099999999999996</v>
      </c>
      <c r="D33" s="27">
        <f t="shared" si="1"/>
        <v>4.82</v>
      </c>
      <c r="E33" s="27">
        <f t="shared" si="2"/>
        <v>4.58</v>
      </c>
      <c r="F33" s="27">
        <f t="shared" si="3"/>
        <v>4.58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4.6500000000000004</v>
      </c>
      <c r="F34" s="27">
        <f t="shared" si="3"/>
        <v>4.6900000000000004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5.0199999999999996</v>
      </c>
      <c r="D35" s="27">
        <f t="shared" si="1"/>
        <v>5.03</v>
      </c>
      <c r="E35" s="27">
        <f t="shared" si="2"/>
        <v>4.78</v>
      </c>
      <c r="F35" s="27">
        <f t="shared" si="3"/>
        <v>4.79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5.2</v>
      </c>
      <c r="D36" s="27">
        <f t="shared" si="1"/>
        <v>5.21</v>
      </c>
      <c r="E36" s="27">
        <f t="shared" si="2"/>
        <v>4.88</v>
      </c>
      <c r="F36" s="27">
        <f t="shared" si="3"/>
        <v>4.97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5.5</v>
      </c>
      <c r="D37" s="27">
        <f t="shared" si="1"/>
        <v>5.51</v>
      </c>
      <c r="E37" s="27">
        <f t="shared" si="2"/>
        <v>5.13</v>
      </c>
      <c r="F37" s="27">
        <f t="shared" si="3"/>
        <v>5.26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5.84</v>
      </c>
      <c r="D38" s="27">
        <f t="shared" si="1"/>
        <v>5.85</v>
      </c>
      <c r="E38" s="27">
        <f t="shared" si="2"/>
        <v>5.37</v>
      </c>
      <c r="F38" s="27">
        <f t="shared" si="3"/>
        <v>5.6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Mar 31,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3.2281411446821457</v>
      </c>
      <c r="J77" s="35">
        <v>3.2382800476528444</v>
      </c>
      <c r="K77" s="35">
        <v>3.1632786912315072</v>
      </c>
      <c r="L77" s="35">
        <v>2.4132387032018467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3.0040713890297073</v>
      </c>
      <c r="J78" s="35">
        <v>3.0142102920004059</v>
      </c>
      <c r="K78" s="35">
        <v>3.106578307258034</v>
      </c>
      <c r="L78" s="35">
        <v>2.4498742547425474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2.6461681141640474</v>
      </c>
      <c r="J79" s="35">
        <v>2.656307017134746</v>
      </c>
      <c r="K79" s="35">
        <v>2.7707774030863703</v>
      </c>
      <c r="L79" s="35">
        <v>2.3766031516611461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2.4677234218797528</v>
      </c>
      <c r="J80" s="35">
        <v>2.4778623248504514</v>
      </c>
      <c r="K80" s="35">
        <v>2.6040420273835556</v>
      </c>
      <c r="L80" s="35">
        <v>2.3229044665261469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2.4352789323735173</v>
      </c>
      <c r="J81" s="35">
        <v>2.445417835344216</v>
      </c>
      <c r="K81" s="35">
        <v>2.4437792982530544</v>
      </c>
      <c r="L81" s="35">
        <v>2.1226635752283447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2.5762096836662272</v>
      </c>
      <c r="J82" s="35">
        <v>2.5863485866369262</v>
      </c>
      <c r="K82" s="35">
        <v>2.4898645418479317</v>
      </c>
      <c r="L82" s="35">
        <v>2.1015855866706814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2.7992655490215959</v>
      </c>
      <c r="J83" s="35">
        <v>2.8094044519922949</v>
      </c>
      <c r="K83" s="35">
        <v>2.6296737078099195</v>
      </c>
      <c r="L83" s="35">
        <v>2.0965670179664757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2.9118073719963498</v>
      </c>
      <c r="J84" s="35">
        <v>2.9219462749670488</v>
      </c>
      <c r="K84" s="35">
        <v>2.7013906318311616</v>
      </c>
      <c r="L84" s="35">
        <v>1.9169022583559168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2.8377933803102504</v>
      </c>
      <c r="J85" s="35">
        <v>2.8479322832809491</v>
      </c>
      <c r="K85" s="35">
        <v>2.5160140340000816</v>
      </c>
      <c r="L85" s="35">
        <v>2.0895410217805881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2.7364043506032645</v>
      </c>
      <c r="J86" s="35">
        <v>2.7465432535739636</v>
      </c>
      <c r="K86" s="35">
        <v>2.8267010694711661</v>
      </c>
      <c r="L86" s="35">
        <v>2.204968101977316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3.1926549842847005</v>
      </c>
      <c r="J87" s="35">
        <v>3.2027938872553992</v>
      </c>
      <c r="K87" s="35">
        <v>3.3458073245707696</v>
      </c>
      <c r="L87" s="35">
        <v>2.8322891900030109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3.6625931369765792</v>
      </c>
      <c r="J88" s="35">
        <v>3.6727320399472778</v>
      </c>
      <c r="K88" s="35">
        <v>3.8225565805011485</v>
      </c>
      <c r="L88" s="35">
        <v>3.109314182475158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3.6681695336104632</v>
      </c>
      <c r="J89" s="35">
        <v>3.6783084365811622</v>
      </c>
      <c r="K89" s="35">
        <v>3.6897378728372603</v>
      </c>
      <c r="L89" s="35">
        <v>3.2352802569507175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3.5039193054851467</v>
      </c>
      <c r="J90" s="35">
        <v>3.5140582084558454</v>
      </c>
      <c r="K90" s="35">
        <v>3.4934872287646916</v>
      </c>
      <c r="L90" s="35">
        <v>3.1329014553849239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2.9751755155632158</v>
      </c>
      <c r="J91" s="35">
        <v>2.9853144185339149</v>
      </c>
      <c r="K91" s="35">
        <v>2.9249817350251854</v>
      </c>
      <c r="L91" s="35">
        <v>2.7324196727893204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2.2172925185034975</v>
      </c>
      <c r="J92" s="35">
        <v>2.2274314214741966</v>
      </c>
      <c r="K92" s="35">
        <v>2.2382080431163534</v>
      </c>
      <c r="L92" s="35">
        <v>2.1703399779182977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2.157979936124911</v>
      </c>
      <c r="J93" s="35">
        <v>2.1681188390956101</v>
      </c>
      <c r="K93" s="35">
        <v>2.1032145262041673</v>
      </c>
      <c r="L93" s="35">
        <v>2.0614370370370372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2.2578481303862921</v>
      </c>
      <c r="J94" s="35">
        <v>2.2679870333569907</v>
      </c>
      <c r="K94" s="35">
        <v>2.1708925187642851</v>
      </c>
      <c r="L94" s="35">
        <v>2.1753585466225029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2.5189248818817807</v>
      </c>
      <c r="J95" s="35">
        <v>2.5290637848524793</v>
      </c>
      <c r="K95" s="35">
        <v>2.4310929109713184</v>
      </c>
      <c r="L95" s="35">
        <v>2.3309341764528755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2.478065102909865</v>
      </c>
      <c r="J96" s="35">
        <v>2.4882040058805637</v>
      </c>
      <c r="K96" s="35">
        <v>2.4800261190580142</v>
      </c>
      <c r="L96" s="35">
        <v>2.3520121650105388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2.516390156139106</v>
      </c>
      <c r="J97" s="35">
        <v>2.5265290591098046</v>
      </c>
      <c r="K97" s="35">
        <v>2.4460058886739304</v>
      </c>
      <c r="L97" s="35">
        <v>2.3234063233965676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2.4454178353442155</v>
      </c>
      <c r="J98" s="35">
        <v>2.4555567383149146</v>
      </c>
      <c r="K98" s="35">
        <v>2.4505108506882611</v>
      </c>
      <c r="L98" s="35">
        <v>2.3309341764528755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2.8083905616952247</v>
      </c>
      <c r="J99" s="35">
        <v>2.8185294646659234</v>
      </c>
      <c r="K99" s="35">
        <v>2.9500956037257651</v>
      </c>
      <c r="L99" s="35">
        <v>2.4493723978721267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3.2474050603264724</v>
      </c>
      <c r="J100" s="35">
        <v>3.2575439632971714</v>
      </c>
      <c r="K100" s="35">
        <v>3.3538334063204394</v>
      </c>
      <c r="L100" s="35">
        <v>2.8488504667268892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3.2970856848828958</v>
      </c>
      <c r="J101" s="35">
        <v>3.3072245878535949</v>
      </c>
      <c r="K101" s="35">
        <v>3.4058734847618455</v>
      </c>
      <c r="L101" s="35">
        <v>2.9206159991970289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3.1941758197303054</v>
      </c>
      <c r="J102" s="35">
        <v>3.204314722701004</v>
      </c>
      <c r="K102" s="35">
        <v>3.2463874732200226</v>
      </c>
      <c r="L102" s="35">
        <v>2.8563783197831976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2.7810155236743381</v>
      </c>
      <c r="J103" s="35">
        <v>2.7911544266450372</v>
      </c>
      <c r="K103" s="35">
        <v>2.8237495426341903</v>
      </c>
      <c r="L103" s="35">
        <v>2.462420676503061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2.1615285521646559</v>
      </c>
      <c r="J104" s="35">
        <v>2.1716674551353545</v>
      </c>
      <c r="K104" s="35">
        <v>2.1107227962280519</v>
      </c>
      <c r="L104" s="35">
        <v>2.1101171534678307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2.1392229656291186</v>
      </c>
      <c r="J105" s="35">
        <v>2.1493618685998177</v>
      </c>
      <c r="K105" s="35">
        <v>2.0568703767463972</v>
      </c>
      <c r="L105" s="35">
        <v>1.9650805179162902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2.1812994129575181</v>
      </c>
      <c r="J106" s="35">
        <v>2.1914383159282167</v>
      </c>
      <c r="K106" s="35">
        <v>2.1017646533719687</v>
      </c>
      <c r="L106" s="35">
        <v>2.0719760313158688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2.4276747551454929</v>
      </c>
      <c r="J107" s="35">
        <v>2.437813658116192</v>
      </c>
      <c r="K107" s="35">
        <v>2.3190902346839923</v>
      </c>
      <c r="L107" s="35">
        <v>2.2355813710729699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2.4423761644530058</v>
      </c>
      <c r="J108" s="35">
        <v>2.4525150674237048</v>
      </c>
      <c r="K108" s="35">
        <v>2.34705206787639</v>
      </c>
      <c r="L108" s="35">
        <v>2.2476259359630633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2.4114525103923752</v>
      </c>
      <c r="J109" s="35">
        <v>2.4215914133630743</v>
      </c>
      <c r="K109" s="35">
        <v>2.3375243321219434</v>
      </c>
      <c r="L109" s="35">
        <v>2.2345776573321285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2.3171607127648786</v>
      </c>
      <c r="J110" s="35">
        <v>2.3272996157355776</v>
      </c>
      <c r="K110" s="35">
        <v>2.2968243304752312</v>
      </c>
      <c r="L110" s="35">
        <v>2.2190200943490916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2.8241058612998073</v>
      </c>
      <c r="J111" s="35">
        <v>2.834244764270506</v>
      </c>
      <c r="K111" s="35">
        <v>2.9053048894453504</v>
      </c>
      <c r="L111" s="35">
        <v>2.5050785104888083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3.1130645959647167</v>
      </c>
      <c r="J112" s="35">
        <v>3.1232034989354154</v>
      </c>
      <c r="K112" s="35">
        <v>3.2444715698346176</v>
      </c>
      <c r="L112" s="35">
        <v>2.7509883769948811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3.2247953067018149</v>
      </c>
      <c r="J113" s="35">
        <v>3.2349342096725135</v>
      </c>
      <c r="K113" s="35">
        <v>3.3173276796525863</v>
      </c>
      <c r="L113" s="35">
        <v>2.9226234266787112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3.1640632779073306</v>
      </c>
      <c r="J114" s="35">
        <v>3.1742021808780292</v>
      </c>
      <c r="K114" s="35">
        <v>3.2639930718967176</v>
      </c>
      <c r="L114" s="35">
        <v>2.8634043159690856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2.7118682054141741</v>
      </c>
      <c r="J115" s="35">
        <v>2.7220071083848727</v>
      </c>
      <c r="K115" s="35">
        <v>2.8517113758265884</v>
      </c>
      <c r="L115" s="35">
        <v>2.4794838100973604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2.1729855125215449</v>
      </c>
      <c r="J116" s="35">
        <v>2.183124415492244</v>
      </c>
      <c r="K116" s="35">
        <v>2.1396684716994412</v>
      </c>
      <c r="L116" s="35">
        <v>2.1281840008029711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2.548834645645341</v>
      </c>
      <c r="J117" s="35">
        <v>2.5589735486160397</v>
      </c>
      <c r="K117" s="35">
        <v>2.5239883345771728</v>
      </c>
      <c r="L117" s="35">
        <v>2.3705808692160995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2.6081472280239275</v>
      </c>
      <c r="J118" s="35">
        <v>2.6182861309946266</v>
      </c>
      <c r="K118" s="35">
        <v>2.5789799398555546</v>
      </c>
      <c r="L118" s="35">
        <v>2.4945395162099766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2.7950072097739027</v>
      </c>
      <c r="J119" s="35">
        <v>2.8051461127446013</v>
      </c>
      <c r="K119" s="35">
        <v>2.7006656954150627</v>
      </c>
      <c r="L119" s="35">
        <v>2.599226859379705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2.834244764270506</v>
      </c>
      <c r="J120" s="35">
        <v>2.8443836672412051</v>
      </c>
      <c r="K120" s="35">
        <v>2.7374303279458077</v>
      </c>
      <c r="L120" s="35">
        <v>2.6355612967981532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2.8060586140119641</v>
      </c>
      <c r="J121" s="35">
        <v>2.8161975169826627</v>
      </c>
      <c r="K121" s="35">
        <v>2.667577526137392</v>
      </c>
      <c r="L121" s="35">
        <v>2.6252230452674898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2.7461376974551355</v>
      </c>
      <c r="J122" s="35">
        <v>2.7562766004258341</v>
      </c>
      <c r="K122" s="35">
        <v>2.6570141669313747</v>
      </c>
      <c r="L122" s="35">
        <v>2.6436913780989659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3.209891119334888</v>
      </c>
      <c r="J123" s="35">
        <v>3.2200300223055867</v>
      </c>
      <c r="K123" s="35">
        <v>3.2508924352343533</v>
      </c>
      <c r="L123" s="35">
        <v>2.8869915888788515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3.5200401612085574</v>
      </c>
      <c r="J124" s="35">
        <v>3.5301790641792565</v>
      </c>
      <c r="K124" s="35">
        <v>3.5311321412292718</v>
      </c>
      <c r="L124" s="35">
        <v>3.1538790725685035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3.5010804126533506</v>
      </c>
      <c r="J125" s="35">
        <v>3.5112193156240497</v>
      </c>
      <c r="K125" s="35">
        <v>3.6323125524476874</v>
      </c>
      <c r="L125" s="35">
        <v>3.1961354210579143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3.3923913728074622</v>
      </c>
      <c r="J126" s="35">
        <v>3.4025302757781613</v>
      </c>
      <c r="K126" s="35">
        <v>3.4450200512312024</v>
      </c>
      <c r="L126" s="35">
        <v>3.0893402790324198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3.0225241924363782</v>
      </c>
      <c r="J127" s="35">
        <v>3.0326630954070772</v>
      </c>
      <c r="K127" s="35">
        <v>3.052052732532859</v>
      </c>
      <c r="L127" s="35">
        <v>2.7870217002910769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2.5962847115482104</v>
      </c>
      <c r="J128" s="35">
        <v>2.606423614518909</v>
      </c>
      <c r="K128" s="35">
        <v>2.5359497854428095</v>
      </c>
      <c r="L128" s="35">
        <v>2.5472344876041353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2.9584463256615634</v>
      </c>
      <c r="J129" s="35">
        <v>2.9685852286322625</v>
      </c>
      <c r="K129" s="35">
        <v>2.9911062924079479</v>
      </c>
      <c r="L129" s="35">
        <v>2.7760812205159087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3.0348936540606304</v>
      </c>
      <c r="J130" s="35">
        <v>3.0450325570313295</v>
      </c>
      <c r="K130" s="35">
        <v>3.0561952263391401</v>
      </c>
      <c r="L130" s="35">
        <v>2.9170026297300007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3.1623396644023116</v>
      </c>
      <c r="J131" s="35">
        <v>3.1724785673730107</v>
      </c>
      <c r="K131" s="35">
        <v>3.0822411561461331</v>
      </c>
      <c r="L131" s="35">
        <v>2.9628723476864396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3.2261133640880058</v>
      </c>
      <c r="J132" s="35">
        <v>3.2362522670587044</v>
      </c>
      <c r="K132" s="35">
        <v>3.1277568068426467</v>
      </c>
      <c r="L132" s="35">
        <v>3.0234966576332427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3.2006647176315521</v>
      </c>
      <c r="J133" s="35">
        <v>3.2108036206022508</v>
      </c>
      <c r="K133" s="35">
        <v>2.9976307201528409</v>
      </c>
      <c r="L133" s="35">
        <v>3.0158684332028503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3.1751146821453919</v>
      </c>
      <c r="J134" s="35">
        <v>3.1852535851160906</v>
      </c>
      <c r="K134" s="35">
        <v>3.0171522222149405</v>
      </c>
      <c r="L134" s="35">
        <v>3.0683626618488407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3.5957777663996757</v>
      </c>
      <c r="J135" s="35">
        <v>3.6059166693703748</v>
      </c>
      <c r="K135" s="35">
        <v>3.5964281998507777</v>
      </c>
      <c r="L135" s="35">
        <v>3.269005038642979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3.9271171154821052</v>
      </c>
      <c r="J136" s="35">
        <v>3.9372560184528038</v>
      </c>
      <c r="K136" s="35">
        <v>3.8177927126239251</v>
      </c>
      <c r="L136" s="35">
        <v>3.5568701395162101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3.7773655186048867</v>
      </c>
      <c r="J137" s="35">
        <v>3.7875044215755858</v>
      </c>
      <c r="K137" s="35">
        <v>3.8462205763695296</v>
      </c>
      <c r="L137" s="35">
        <v>3.4696474154371173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3.6206180786778872</v>
      </c>
      <c r="J138" s="35">
        <v>3.6307569816485858</v>
      </c>
      <c r="K138" s="35">
        <v>3.6260470305656876</v>
      </c>
      <c r="L138" s="35">
        <v>3.3152762420957544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3.3331801794585827</v>
      </c>
      <c r="J139" s="35">
        <v>3.3433190824292813</v>
      </c>
      <c r="K139" s="35">
        <v>3.2524458704117083</v>
      </c>
      <c r="L139" s="35">
        <v>3.0945595904847938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3.0196852996045829</v>
      </c>
      <c r="J140" s="35">
        <v>3.029824202575282</v>
      </c>
      <c r="K140" s="35">
        <v>2.9321793180135991</v>
      </c>
      <c r="L140" s="35">
        <v>2.9662849744052995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3.0457422802392782</v>
      </c>
      <c r="J141" s="35">
        <v>3.0558811832099773</v>
      </c>
      <c r="K141" s="35">
        <v>2.9588466218915337</v>
      </c>
      <c r="L141" s="35">
        <v>2.8625009736023284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3.1110368153705767</v>
      </c>
      <c r="J142" s="35">
        <v>3.1211757183412754</v>
      </c>
      <c r="K142" s="35">
        <v>2.9922454782046755</v>
      </c>
      <c r="L142" s="35">
        <v>2.9923815316671685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3.2155689049984795</v>
      </c>
      <c r="J143" s="35">
        <v>3.2257078079691781</v>
      </c>
      <c r="K143" s="35">
        <v>3.0322205434352885</v>
      </c>
      <c r="L143" s="35">
        <v>3.0155673190805983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3.2809648291594851</v>
      </c>
      <c r="J144" s="35">
        <v>3.2911037321301837</v>
      </c>
      <c r="K144" s="35">
        <v>3.0789271611011078</v>
      </c>
      <c r="L144" s="35">
        <v>3.0777975710127472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3.2548064594950827</v>
      </c>
      <c r="J145" s="35">
        <v>3.2649453624657818</v>
      </c>
      <c r="K145" s="35">
        <v>3.0255925533452381</v>
      </c>
      <c r="L145" s="35">
        <v>3.0694667469637658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3.2809648291594851</v>
      </c>
      <c r="J146" s="35">
        <v>3.2911037321301837</v>
      </c>
      <c r="K146" s="35">
        <v>3.1123260174142495</v>
      </c>
      <c r="L146" s="35">
        <v>3.1731503763926527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3.5944597090134849</v>
      </c>
      <c r="J147" s="35">
        <v>3.6045986119841835</v>
      </c>
      <c r="K147" s="35">
        <v>3.5994315078603316</v>
      </c>
      <c r="L147" s="35">
        <v>3.2677002107798856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3.8949767930649903</v>
      </c>
      <c r="J148" s="35">
        <v>3.905115696035689</v>
      </c>
      <c r="K148" s="35">
        <v>3.8929789752079276</v>
      </c>
      <c r="L148" s="35">
        <v>3.5250524139315464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3.8586795204298894</v>
      </c>
      <c r="J149" s="35">
        <v>3.868818423400588</v>
      </c>
      <c r="K149" s="35">
        <v>3.9626764334986078</v>
      </c>
      <c r="L149" s="35">
        <v>3.5501452574525745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3.7649960569806344</v>
      </c>
      <c r="J150" s="35">
        <v>3.7751349599513335</v>
      </c>
      <c r="K150" s="35">
        <v>3.8190872419383881</v>
      </c>
      <c r="L150" s="35">
        <v>3.4582050787915284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3.3631913322518505</v>
      </c>
      <c r="J151" s="35">
        <v>3.3733302352225492</v>
      </c>
      <c r="K151" s="35">
        <v>3.4497839191084254</v>
      </c>
      <c r="L151" s="35">
        <v>3.1242695172136905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3.1221896086383452</v>
      </c>
      <c r="J152" s="35">
        <v>3.1323285116090442</v>
      </c>
      <c r="K152" s="35">
        <v>3.135161514521374</v>
      </c>
      <c r="L152" s="35">
        <v>3.06786080497842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3.0820395528743787</v>
      </c>
      <c r="J153" s="35">
        <v>3.0921784558450778</v>
      </c>
      <c r="K153" s="35">
        <v>2.9984074377415184</v>
      </c>
      <c r="L153" s="35">
        <v>2.8984339255244405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3.1355729605596672</v>
      </c>
      <c r="J154" s="35">
        <v>3.1457118635303662</v>
      </c>
      <c r="K154" s="35">
        <v>3.0257478968629741</v>
      </c>
      <c r="L154" s="35">
        <v>3.0166714041955234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3.2561245168812731</v>
      </c>
      <c r="J155" s="35">
        <v>3.2662634198519722</v>
      </c>
      <c r="K155" s="35">
        <v>3.0599234707647929</v>
      </c>
      <c r="L155" s="35">
        <v>3.0557158687142425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3.3765746841731725</v>
      </c>
      <c r="J156" s="35">
        <v>3.3867135871438712</v>
      </c>
      <c r="K156" s="35">
        <v>3.1488835252546798</v>
      </c>
      <c r="L156" s="35">
        <v>3.1724477767740642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3.3899580360944945</v>
      </c>
      <c r="J157" s="35">
        <v>3.4000969390651932</v>
      </c>
      <c r="K157" s="35">
        <v>3.1214912849606469</v>
      </c>
      <c r="L157" s="35">
        <v>3.203261788617886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3.3631913322518505</v>
      </c>
      <c r="J158" s="35">
        <v>3.3733302352225492</v>
      </c>
      <c r="K158" s="35">
        <v>3.3608238646185389</v>
      </c>
      <c r="L158" s="35">
        <v>3.2545515607748667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3.7381279641082834</v>
      </c>
      <c r="J159" s="35">
        <v>3.748266867078982</v>
      </c>
      <c r="K159" s="35">
        <v>3.9079955152556969</v>
      </c>
      <c r="L159" s="35">
        <v>3.4099264478570714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4.1934660965223571</v>
      </c>
      <c r="J160" s="35">
        <v>4.2036049994930549</v>
      </c>
      <c r="K160" s="35">
        <v>4.3046392972071148</v>
      </c>
      <c r="L160" s="35">
        <v>3.8205457392351696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4.1983327699482915</v>
      </c>
      <c r="J161" s="35">
        <v>4.2084716729189902</v>
      </c>
      <c r="K161" s="35">
        <v>4.3236429875434297</v>
      </c>
      <c r="L161" s="35">
        <v>3.8864897320084308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3.9652393906519317</v>
      </c>
      <c r="J162" s="35">
        <v>3.9753782936226303</v>
      </c>
      <c r="K162" s="35">
        <v>4.0295777084700477</v>
      </c>
      <c r="L162" s="35">
        <v>3.6565389139817324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3.6772945462840925</v>
      </c>
      <c r="J163" s="35">
        <v>3.6874334492547911</v>
      </c>
      <c r="K163" s="35">
        <v>3.7354088670515093</v>
      </c>
      <c r="L163" s="35">
        <v>3.4352200341262673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3.2796467717732942</v>
      </c>
      <c r="J164" s="35">
        <v>3.2897856747439929</v>
      </c>
      <c r="K164" s="35">
        <v>3.3152564327494463</v>
      </c>
      <c r="L164" s="35">
        <v>3.2237375489310449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3.2659592527628512</v>
      </c>
      <c r="J165" s="35">
        <v>3.2760981557335498</v>
      </c>
      <c r="K165" s="35">
        <v>3.1401842882614908</v>
      </c>
      <c r="L165" s="35">
        <v>3.0805075981130181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3.3344982368447735</v>
      </c>
      <c r="J166" s="35">
        <v>3.3446371398154722</v>
      </c>
      <c r="K166" s="35">
        <v>3.1751883609245657</v>
      </c>
      <c r="L166" s="35">
        <v>3.2136000401485494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3.4990526320592115</v>
      </c>
      <c r="J167" s="35">
        <v>3.5091915350299101</v>
      </c>
      <c r="K167" s="35">
        <v>3.2171828918857406</v>
      </c>
      <c r="L167" s="35">
        <v>3.2962056810197731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3.5813805241812835</v>
      </c>
      <c r="J168" s="35">
        <v>3.5915194271519826</v>
      </c>
      <c r="K168" s="35">
        <v>3.3012237349806686</v>
      </c>
      <c r="L168" s="35">
        <v>3.3751979524239686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3.5813805241812835</v>
      </c>
      <c r="J169" s="35">
        <v>3.5915194271519826</v>
      </c>
      <c r="K169" s="35">
        <v>3.2802005789137922</v>
      </c>
      <c r="L169" s="35">
        <v>3.3927629428886883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3.5539040971306908</v>
      </c>
      <c r="J170" s="35">
        <v>3.5640430001013894</v>
      </c>
      <c r="K170" s="35">
        <v>3.5463558059673543</v>
      </c>
      <c r="L170" s="35">
        <v>3.44335011542708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4.1297937858663696</v>
      </c>
      <c r="J171" s="35">
        <v>4.1399326888370682</v>
      </c>
      <c r="K171" s="35">
        <v>4.3096102897746515</v>
      </c>
      <c r="L171" s="35">
        <v>3.7976610659439927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4.5274415603771674</v>
      </c>
      <c r="J172" s="35">
        <v>4.537580463347866</v>
      </c>
      <c r="K172" s="35">
        <v>4.6598063599231425</v>
      </c>
      <c r="L172" s="35">
        <v>4.1511690454682331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4.5380874084964011</v>
      </c>
      <c r="J173" s="35">
        <v>4.5482263114670998</v>
      </c>
      <c r="K173" s="35">
        <v>4.6853862591769291</v>
      </c>
      <c r="L173" s="35">
        <v>4.2228342065642881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4.2010702737503802</v>
      </c>
      <c r="J174" s="35">
        <v>4.211209176721078</v>
      </c>
      <c r="K174" s="35">
        <v>4.2765739016695594</v>
      </c>
      <c r="L174" s="35">
        <v>3.8900027301013753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3.9203240504917365</v>
      </c>
      <c r="J175" s="35">
        <v>3.9304629534624356</v>
      </c>
      <c r="K175" s="35">
        <v>4.0112471733772548</v>
      </c>
      <c r="L175" s="35">
        <v>3.6758102178058816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3.5972986018452802</v>
      </c>
      <c r="J176" s="35">
        <v>3.6074375048159788</v>
      </c>
      <c r="K176" s="35">
        <v>3.602538378215042</v>
      </c>
      <c r="L176" s="35">
        <v>3.5382010639365653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3.6253833630741155</v>
      </c>
      <c r="J177" s="35">
        <v>3.6355222660448145</v>
      </c>
      <c r="K177" s="35">
        <v>3.44476114536831</v>
      </c>
      <c r="L177" s="35">
        <v>3.4363241192411924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3.6815528855317856</v>
      </c>
      <c r="J178" s="35">
        <v>3.6916917885024847</v>
      </c>
      <c r="K178" s="35">
        <v>3.5092804864011389</v>
      </c>
      <c r="L178" s="35">
        <v>3.5571712536384621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3.9484088117205722</v>
      </c>
      <c r="J179" s="35">
        <v>3.9585477146912709</v>
      </c>
      <c r="K179" s="35">
        <v>3.5953407952266287</v>
      </c>
      <c r="L179" s="35">
        <v>3.7410516109605538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4.0466547815066409</v>
      </c>
      <c r="J180" s="35">
        <v>4.0567936844773396</v>
      </c>
      <c r="K180" s="35">
        <v>3.6670577192478708</v>
      </c>
      <c r="L180" s="35">
        <v>3.835802188095955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4.0326630954070772</v>
      </c>
      <c r="J181" s="35">
        <v>4.0428019983777759</v>
      </c>
      <c r="K181" s="35">
        <v>3.6670577192478708</v>
      </c>
      <c r="L181" s="35">
        <v>3.8395159289370673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3.9904852590489712</v>
      </c>
      <c r="J182" s="35">
        <v>4.0006241620196699</v>
      </c>
      <c r="K182" s="35">
        <v>3.9610712171486737</v>
      </c>
      <c r="L182" s="35">
        <v>3.8755492522332631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4.4960109611680021</v>
      </c>
      <c r="J183" s="35">
        <v>4.5061498641387008</v>
      </c>
      <c r="K183" s="35">
        <v>4.5777849825587769</v>
      </c>
      <c r="L183" s="35">
        <v>4.1602024691358022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4.7487738122275172</v>
      </c>
      <c r="J184" s="35">
        <v>4.7589127151982158</v>
      </c>
      <c r="K184" s="35">
        <v>4.8072791394267513</v>
      </c>
      <c r="L184" s="35">
        <v>4.370279755093847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4.6571181293724022</v>
      </c>
      <c r="J185" s="35">
        <v>4.6672570323431009</v>
      </c>
      <c r="K185" s="35">
        <v>4.7708769751040556</v>
      </c>
      <c r="L185" s="35">
        <v>4.3405698283649503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4.4128719568082735</v>
      </c>
      <c r="J186" s="35">
        <v>4.4230108597789712</v>
      </c>
      <c r="K186" s="35">
        <v>4.440771999916028</v>
      </c>
      <c r="L186" s="35">
        <v>4.0996785305630832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4.1974202686809292</v>
      </c>
      <c r="J187" s="35">
        <v>4.207559171651627</v>
      </c>
      <c r="K187" s="35">
        <v>4.2353560882970633</v>
      </c>
      <c r="L187" s="35">
        <v>3.9501251831777577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3.8526975676771773</v>
      </c>
      <c r="J188" s="35">
        <v>3.8628364706478759</v>
      </c>
      <c r="K188" s="35">
        <v>3.8172231197255617</v>
      </c>
      <c r="L188" s="35">
        <v>3.7910365552544412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3.8670948098955695</v>
      </c>
      <c r="J189" s="35">
        <v>3.8772337128662682</v>
      </c>
      <c r="K189" s="35">
        <v>3.6997834203174911</v>
      </c>
      <c r="L189" s="35">
        <v>3.6756094750577137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3.8670948098955695</v>
      </c>
      <c r="J190" s="35">
        <v>3.8772337128662682</v>
      </c>
      <c r="K190" s="35">
        <v>3.6778282031442018</v>
      </c>
      <c r="L190" s="35">
        <v>3.740850868212386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4.0538534026158368</v>
      </c>
      <c r="J191" s="35">
        <v>4.0639923055865363</v>
      </c>
      <c r="K191" s="35">
        <v>3.7217904186633604</v>
      </c>
      <c r="L191" s="35">
        <v>3.8454378400080298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4.1831244154922436</v>
      </c>
      <c r="J192" s="35">
        <v>4.1932633184629422</v>
      </c>
      <c r="K192" s="35">
        <v>3.8392301180714301</v>
      </c>
      <c r="L192" s="35">
        <v>3.9709020576131686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4.1687271732738527</v>
      </c>
      <c r="J193" s="35">
        <v>4.1788660762445504</v>
      </c>
      <c r="K193" s="35">
        <v>3.7951643402071147</v>
      </c>
      <c r="L193" s="35">
        <v>3.9742143129579444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4.1400340778667744</v>
      </c>
      <c r="J194" s="35">
        <v>4.150172980837473</v>
      </c>
      <c r="K194" s="35">
        <v>4.1399751684074397</v>
      </c>
      <c r="L194" s="35">
        <v>4.0235970290073269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4.4703595366521345</v>
      </c>
      <c r="J195" s="35">
        <v>4.4804984396228322</v>
      </c>
      <c r="K195" s="35">
        <v>4.5434540651392208</v>
      </c>
      <c r="L195" s="35">
        <v>4.1348085114925226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4.8150822376558855</v>
      </c>
      <c r="J196" s="35">
        <v>4.8252211406265841</v>
      </c>
      <c r="K196" s="35">
        <v>4.9542858883771528</v>
      </c>
      <c r="L196" s="35">
        <v>4.4359226337448554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4.867297587954984</v>
      </c>
      <c r="J197" s="35">
        <v>4.8774364909256818</v>
      </c>
      <c r="K197" s="35">
        <v>5.0605408545082637</v>
      </c>
      <c r="L197" s="35">
        <v>4.5487400582153965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4.6762806559870223</v>
      </c>
      <c r="J198" s="35">
        <v>4.6864195589577209</v>
      </c>
      <c r="K198" s="35">
        <v>4.7377888058263844</v>
      </c>
      <c r="L198" s="35">
        <v>4.3604433604336048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4.2648439734360739</v>
      </c>
      <c r="J199" s="35">
        <v>4.2749828764067725</v>
      </c>
      <c r="K199" s="35">
        <v>4.2950079991075114</v>
      </c>
      <c r="L199" s="35">
        <v>4.0168721469436921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3.9710185653452297</v>
      </c>
      <c r="J200" s="35">
        <v>3.9811574683159288</v>
      </c>
      <c r="K200" s="35">
        <v>4.0098490817176344</v>
      </c>
      <c r="L200" s="35">
        <v>3.9080695774365148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3.9563171560377168</v>
      </c>
      <c r="J201" s="35">
        <v>3.9664560590084159</v>
      </c>
      <c r="K201" s="35">
        <v>3.7472149743994105</v>
      </c>
      <c r="L201" s="35">
        <v>3.7639362842517312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4.0003199949305488</v>
      </c>
      <c r="J202" s="35">
        <v>4.0104588979012474</v>
      </c>
      <c r="K202" s="35">
        <v>3.8372624335134464</v>
      </c>
      <c r="L202" s="35">
        <v>3.8727388537589076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4.1914383159282167</v>
      </c>
      <c r="J203" s="35">
        <v>4.2015772188989144</v>
      </c>
      <c r="K203" s="35">
        <v>3.8747520024602906</v>
      </c>
      <c r="L203" s="35">
        <v>3.9816417946401685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4.3236496106661262</v>
      </c>
      <c r="J204" s="35">
        <v>4.3337885136368248</v>
      </c>
      <c r="K204" s="35">
        <v>3.9497829215265576</v>
      </c>
      <c r="L204" s="35">
        <v>4.110016782093747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4.2060383362060225</v>
      </c>
      <c r="J205" s="35">
        <v>4.2161772391767212</v>
      </c>
      <c r="K205" s="35">
        <v>3.8372106523408678</v>
      </c>
      <c r="L205" s="35">
        <v>4.011150978620897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4.2501425641285611</v>
      </c>
      <c r="J206" s="35">
        <v>4.2602814670992597</v>
      </c>
      <c r="K206" s="35">
        <v>4.2349936200890133</v>
      </c>
      <c r="L206" s="35">
        <v>4.1326003412626715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4.5146665426340871</v>
      </c>
      <c r="J207" s="35">
        <v>4.5248054456047857</v>
      </c>
      <c r="K207" s="35">
        <v>4.655197835563655</v>
      </c>
      <c r="L207" s="35">
        <v>4.1786708019672787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4.9114018158775226</v>
      </c>
      <c r="J208" s="35">
        <v>4.9215407188482212</v>
      </c>
      <c r="K208" s="35">
        <v>5.0679973433595684</v>
      </c>
      <c r="L208" s="35">
        <v>4.5312754391247614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4.9795352438406164</v>
      </c>
      <c r="J209" s="35">
        <v>4.989674146811315</v>
      </c>
      <c r="K209" s="35">
        <v>5.1689706298876716</v>
      </c>
      <c r="L209" s="35">
        <v>4.659750797952424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4.4684331450877011</v>
      </c>
      <c r="J210" s="35">
        <v>4.4785720480583997</v>
      </c>
      <c r="K210" s="35">
        <v>4.5701731501897349</v>
      </c>
      <c r="L210" s="35">
        <v>4.1546820435611762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4.1678146720064886</v>
      </c>
      <c r="J211" s="35">
        <v>4.1779535749771872</v>
      </c>
      <c r="K211" s="35">
        <v>4.1632766960677712</v>
      </c>
      <c r="L211" s="35">
        <v>3.9208167419451971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4.0024491645543954</v>
      </c>
      <c r="J212" s="35">
        <v>4.012588067525094</v>
      </c>
      <c r="K212" s="35">
        <v>3.9636602757775998</v>
      </c>
      <c r="L212" s="35">
        <v>3.9392850747766732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4.0024491645543954</v>
      </c>
      <c r="J213" s="35">
        <v>4.012588067525094</v>
      </c>
      <c r="K213" s="35">
        <v>3.8408353344213637</v>
      </c>
      <c r="L213" s="35">
        <v>3.8096052594600018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4.0324603173476632</v>
      </c>
      <c r="J214" s="35">
        <v>4.0425992203183618</v>
      </c>
      <c r="K214" s="35">
        <v>3.840783553248786</v>
      </c>
      <c r="L214" s="35">
        <v>3.9045565793435713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4.2880620612389739</v>
      </c>
      <c r="J215" s="35">
        <v>4.2982009642096717</v>
      </c>
      <c r="K215" s="35">
        <v>3.9175750321827221</v>
      </c>
      <c r="L215" s="35">
        <v>4.0772957141423261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4.4384219922944341</v>
      </c>
      <c r="J216" s="35">
        <v>4.4485608952651328</v>
      </c>
      <c r="K216" s="35">
        <v>3.9943147299440795</v>
      </c>
      <c r="L216" s="35">
        <v>4.2236371775569603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4.3331801794585827</v>
      </c>
      <c r="J217" s="35">
        <v>4.3433190824292804</v>
      </c>
      <c r="K217" s="35">
        <v>3.92529042689692</v>
      </c>
      <c r="L217" s="35">
        <v>4.1370166817223728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4.3481857558552166</v>
      </c>
      <c r="J218" s="35">
        <v>4.3583246588259152</v>
      </c>
      <c r="K218" s="35">
        <v>4.2784380238823863</v>
      </c>
      <c r="L218" s="35">
        <v>4.2296594600020079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4.7690516181689144</v>
      </c>
      <c r="J219" s="35">
        <v>4.7791905211396122</v>
      </c>
      <c r="K219" s="35">
        <v>4.9002781253777625</v>
      </c>
      <c r="L219" s="35">
        <v>4.4305025795443136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5.2200300223055862</v>
      </c>
      <c r="J220" s="35">
        <v>5.2301689252762849</v>
      </c>
      <c r="K220" s="35">
        <v>5.3839142772610842</v>
      </c>
      <c r="L220" s="35">
        <v>4.8368059018367964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5.2788356595356385</v>
      </c>
      <c r="J221" s="35">
        <v>5.2889745625063371</v>
      </c>
      <c r="K221" s="35">
        <v>5.4918780220872856</v>
      </c>
      <c r="L221" s="35">
        <v>4.9561474656228039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4.9097795914022102</v>
      </c>
      <c r="J222" s="35">
        <v>4.919918494372908</v>
      </c>
      <c r="K222" s="35">
        <v>5.0049278751589394</v>
      </c>
      <c r="L222" s="35">
        <v>4.5915986349493121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4.5714443992699989</v>
      </c>
      <c r="J223" s="35">
        <v>4.5815833022406975</v>
      </c>
      <c r="K223" s="35">
        <v>4.5494088999857514</v>
      </c>
      <c r="L223" s="35">
        <v>4.3203951821740443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4.1562563226198925</v>
      </c>
      <c r="J224" s="35">
        <v>4.1663952255905903</v>
      </c>
      <c r="K224" s="35">
        <v>4.0703294912893391</v>
      </c>
      <c r="L224" s="35">
        <v>4.0915484492622705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4.1562563226198925</v>
      </c>
      <c r="J225" s="35">
        <v>4.1663952255905903</v>
      </c>
      <c r="K225" s="35">
        <v>3.9524755425006406</v>
      </c>
      <c r="L225" s="35">
        <v>3.9618686339455986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4.2023883311365715</v>
      </c>
      <c r="J226" s="35">
        <v>4.2125272341072701</v>
      </c>
      <c r="K226" s="35">
        <v>3.8974839372222583</v>
      </c>
      <c r="L226" s="35">
        <v>4.0727790023085415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4.4791803822366418</v>
      </c>
      <c r="J227" s="35">
        <v>4.4893192852073405</v>
      </c>
      <c r="K227" s="35">
        <v>4.0388983195341801</v>
      </c>
      <c r="L227" s="35">
        <v>4.2664957542908759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4.617576407786677</v>
      </c>
      <c r="J228" s="35">
        <v>4.6277153107573756</v>
      </c>
      <c r="K228" s="35">
        <v>4.1173985771632085</v>
      </c>
      <c r="L228" s="35">
        <v>4.4009933955635852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4.4945915147521038</v>
      </c>
      <c r="J229" s="35">
        <v>4.5047304177228025</v>
      </c>
      <c r="K229" s="35">
        <v>3.9917256713151539</v>
      </c>
      <c r="L229" s="35">
        <v>4.2968079092642775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4.5100026472675658</v>
      </c>
      <c r="J230" s="35">
        <v>4.5201415502382645</v>
      </c>
      <c r="K230" s="35">
        <v>4.3451839553360916</v>
      </c>
      <c r="L230" s="35">
        <v>4.3898521730402491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5.1558507665010644</v>
      </c>
      <c r="J231" s="35">
        <v>5.1659896694717631</v>
      </c>
      <c r="K231" s="35">
        <v>5.1305489998344136</v>
      </c>
      <c r="L231" s="35">
        <v>4.8134193716751978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5.5249068346344927</v>
      </c>
      <c r="J232" s="35">
        <v>5.5350457376051905</v>
      </c>
      <c r="K232" s="35">
        <v>5.6882322285050106</v>
      </c>
      <c r="L232" s="35">
        <v>5.1386226237077182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5.5947638761026059</v>
      </c>
      <c r="J233" s="35">
        <v>5.6049027790733037</v>
      </c>
      <c r="K233" s="35">
        <v>5.8003384671374931</v>
      </c>
      <c r="L233" s="35">
        <v>5.2689046672688953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5.1066770870931766</v>
      </c>
      <c r="J234" s="35">
        <v>5.1168159900638752</v>
      </c>
      <c r="K234" s="35">
        <v>5.1891135060207141</v>
      </c>
      <c r="L234" s="35">
        <v>4.786419472046572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4.7286987843455339</v>
      </c>
      <c r="J235" s="35">
        <v>4.7388376873162326</v>
      </c>
      <c r="K235" s="35">
        <v>4.6663307876680351</v>
      </c>
      <c r="L235" s="35">
        <v>4.4760711833785001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4.2563272949406876</v>
      </c>
      <c r="J236" s="35">
        <v>4.2664661979113854</v>
      </c>
      <c r="K236" s="35">
        <v>4.0953915788173392</v>
      </c>
      <c r="L236" s="35">
        <v>4.1905146241092037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4.2405106063063975</v>
      </c>
      <c r="J237" s="35">
        <v>4.2506495092770962</v>
      </c>
      <c r="K237" s="35">
        <v>3.9988714731309889</v>
      </c>
      <c r="L237" s="35">
        <v>4.045277245809495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4.2877578941498538</v>
      </c>
      <c r="J238" s="35">
        <v>4.2978967971205515</v>
      </c>
      <c r="K238" s="35">
        <v>3.9988196919584107</v>
      </c>
      <c r="L238" s="35">
        <v>4.1572916992873639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4.4924623451282573</v>
      </c>
      <c r="J239" s="35">
        <v>4.502601248098955</v>
      </c>
      <c r="K239" s="35">
        <v>4.0390536630519165</v>
      </c>
      <c r="L239" s="35">
        <v>4.2796444042958939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4.6971667961066608</v>
      </c>
      <c r="J240" s="35">
        <v>4.7073056990773594</v>
      </c>
      <c r="K240" s="35">
        <v>4.1275476869885965</v>
      </c>
      <c r="L240" s="35">
        <v>4.4797849242196124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4.5082790337625465</v>
      </c>
      <c r="J241" s="35">
        <v>4.5184179367332451</v>
      </c>
      <c r="K241" s="35">
        <v>3.9747414467094018</v>
      </c>
      <c r="L241" s="35">
        <v>4.3103580447656329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4.5397096329717126</v>
      </c>
      <c r="J242" s="35">
        <v>4.5498485359424112</v>
      </c>
      <c r="K242" s="35">
        <v>4.3125100354390487</v>
      </c>
      <c r="L242" s="35">
        <v>4.4192609856468934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4.9649352235628106</v>
      </c>
      <c r="J243" s="35">
        <v>4.9750741265335092</v>
      </c>
      <c r="K243" s="35">
        <v>5.0041511575702611</v>
      </c>
      <c r="L243" s="35">
        <v>4.6244200742748172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5.3586288259150363</v>
      </c>
      <c r="J244" s="35">
        <v>5.3687677288857341</v>
      </c>
      <c r="K244" s="35">
        <v>5.5108299312510223</v>
      </c>
      <c r="L244" s="35">
        <v>4.9740135702097765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5.4391317155023824</v>
      </c>
      <c r="J245" s="35">
        <v>5.449270618473081</v>
      </c>
      <c r="K245" s="35">
        <v>5.5687212821937999</v>
      </c>
      <c r="L245" s="35">
        <v>5.1147342366757007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4.9391824100172368</v>
      </c>
      <c r="J246" s="35">
        <v>4.9493213129879354</v>
      </c>
      <c r="K246" s="35">
        <v>5.0252260948097165</v>
      </c>
      <c r="L246" s="35">
        <v>4.6207063334337048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4.6005430507959035</v>
      </c>
      <c r="J247" s="35">
        <v>4.6106819537666022</v>
      </c>
      <c r="K247" s="35">
        <v>4.5228451584529727</v>
      </c>
      <c r="L247" s="35">
        <v>4.3492017665361837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4.4232136378383862</v>
      </c>
      <c r="J248" s="35">
        <v>4.4333525408090839</v>
      </c>
      <c r="K248" s="35">
        <v>4.1110294929360505</v>
      </c>
      <c r="L248" s="35">
        <v>4.3558262772257352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4.4070927821149759</v>
      </c>
      <c r="J249" s="35">
        <v>4.4172316850856737</v>
      </c>
      <c r="K249" s="35">
        <v>4.0698634607361317</v>
      </c>
      <c r="L249" s="35">
        <v>4.2101874134296899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4.4393344935617964</v>
      </c>
      <c r="J250" s="35">
        <v>4.4494733965324951</v>
      </c>
      <c r="K250" s="35">
        <v>4.0946148612286617</v>
      </c>
      <c r="L250" s="35">
        <v>4.3073469035431096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4.6812487184426645</v>
      </c>
      <c r="J251" s="35">
        <v>4.6913876214133632</v>
      </c>
      <c r="K251" s="35">
        <v>4.1687137191885153</v>
      </c>
      <c r="L251" s="35">
        <v>4.4665359028405094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4.8263364199533614</v>
      </c>
      <c r="J252" s="35">
        <v>4.83647532292406</v>
      </c>
      <c r="K252" s="35">
        <v>4.2428643583209471</v>
      </c>
      <c r="L252" s="35">
        <v>4.6076580548027701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4.6812487184426645</v>
      </c>
      <c r="J253" s="35">
        <v>4.6913876214133632</v>
      </c>
      <c r="K253" s="35">
        <v>4.0945630800560826</v>
      </c>
      <c r="L253" s="35">
        <v>4.481591608953126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4.6973695741660757</v>
      </c>
      <c r="J254" s="35">
        <v>4.7075084771367743</v>
      </c>
      <c r="K254" s="35">
        <v>4.4075284871206222</v>
      </c>
      <c r="L254" s="35">
        <v>4.5753384723476858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5.0198880776639969</v>
      </c>
      <c r="J255" s="35">
        <v>5.0300269806346947</v>
      </c>
      <c r="K255" s="35">
        <v>5.0087596819297486</v>
      </c>
      <c r="L255" s="35">
        <v>4.6788213590284053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5.5358568498428475</v>
      </c>
      <c r="J256" s="35">
        <v>5.5459957528135462</v>
      </c>
      <c r="K256" s="35">
        <v>5.6758047470861666</v>
      </c>
      <c r="L256" s="35">
        <v>5.1494627321088018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5.5973999908749876</v>
      </c>
      <c r="J257" s="35">
        <v>5.6075388938456863</v>
      </c>
      <c r="K257" s="35">
        <v>5.8397957206423214</v>
      </c>
      <c r="L257" s="35">
        <v>5.2715143229950812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5.185050807056677</v>
      </c>
      <c r="J258" s="35">
        <v>5.1951897100273747</v>
      </c>
      <c r="K258" s="35">
        <v>5.2332310650576073</v>
      </c>
      <c r="L258" s="35">
        <v>4.8641069155876737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4.9375601855419244</v>
      </c>
      <c r="J259" s="35">
        <v>4.9476990885126222</v>
      </c>
      <c r="K259" s="35">
        <v>4.8624778693954465</v>
      </c>
      <c r="L259" s="35">
        <v>4.6828362139917701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4.4097288968873567</v>
      </c>
      <c r="J260" s="35">
        <v>4.4198677998580553</v>
      </c>
      <c r="K260" s="35">
        <v>4.146396033807175</v>
      </c>
      <c r="L260" s="35">
        <v>4.342476884472549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4.3932024850451183</v>
      </c>
      <c r="J261" s="35">
        <v>4.403341388015817</v>
      </c>
      <c r="K261" s="35">
        <v>4.0200499727156016</v>
      </c>
      <c r="L261" s="35">
        <v>4.1964365351801662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4.4426803315421273</v>
      </c>
      <c r="J262" s="35">
        <v>4.4528192345128259</v>
      </c>
      <c r="K262" s="35">
        <v>4.0200499727156016</v>
      </c>
      <c r="L262" s="35">
        <v>4.3106591588878853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4.7396487995538878</v>
      </c>
      <c r="J263" s="35">
        <v>4.7497877025245865</v>
      </c>
      <c r="K263" s="35">
        <v>4.0958576093705457</v>
      </c>
      <c r="L263" s="35">
        <v>4.5243498143129575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4.8716573162323842</v>
      </c>
      <c r="J264" s="35">
        <v>4.8817962192030819</v>
      </c>
      <c r="K264" s="35">
        <v>4.1632766960677712</v>
      </c>
      <c r="L264" s="35">
        <v>4.6525240590183676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4.7561752113961271</v>
      </c>
      <c r="J265" s="35">
        <v>4.7663141143668257</v>
      </c>
      <c r="K265" s="35">
        <v>4.0369306349761969</v>
      </c>
      <c r="L265" s="35">
        <v>4.5557660544012846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4.805653057893136</v>
      </c>
      <c r="J266" s="35">
        <v>4.8157919608638347</v>
      </c>
      <c r="K266" s="35">
        <v>4.3654303938142904</v>
      </c>
      <c r="L266" s="35">
        <v>4.6825350998695177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5.2180022417114467</v>
      </c>
      <c r="J267" s="35">
        <v>5.2281411446821453</v>
      </c>
      <c r="K267" s="35">
        <v>5.199521521708995</v>
      </c>
      <c r="L267" s="35">
        <v>4.8749470239887582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5.7128820957112447</v>
      </c>
      <c r="J268" s="35">
        <v>5.7230209986819425</v>
      </c>
      <c r="K268" s="35">
        <v>5.84823605177262</v>
      </c>
      <c r="L268" s="35">
        <v>5.3247111512596605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5.7770613515157665</v>
      </c>
      <c r="J269" s="35">
        <v>5.7872002544864642</v>
      </c>
      <c r="K269" s="35">
        <v>6.068668503439353</v>
      </c>
      <c r="L269" s="35">
        <v>5.4492720264980425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5.4902317864747037</v>
      </c>
      <c r="J270" s="35">
        <v>5.5003706894454023</v>
      </c>
      <c r="K270" s="35">
        <v>5.5084997784849881</v>
      </c>
      <c r="L270" s="35">
        <v>5.1661243802067647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5.0514200659028692</v>
      </c>
      <c r="J271" s="35">
        <v>5.0615589688735678</v>
      </c>
      <c r="K271" s="35">
        <v>4.9655224028266893</v>
      </c>
      <c r="L271" s="35">
        <v>4.7955532670882262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4.5620152195072494</v>
      </c>
      <c r="J272" s="35">
        <v>4.5721541224779472</v>
      </c>
      <c r="K272" s="35">
        <v>4.2674086341231634</v>
      </c>
      <c r="L272" s="35">
        <v>4.4932346883468837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4.54518464057589</v>
      </c>
      <c r="J273" s="35">
        <v>4.5553235435465886</v>
      </c>
      <c r="K273" s="35">
        <v>4.1898404376005498</v>
      </c>
      <c r="L273" s="35">
        <v>4.3468932249322494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4.5282526726148236</v>
      </c>
      <c r="J274" s="35">
        <v>4.5383915755855213</v>
      </c>
      <c r="K274" s="35">
        <v>4.1812447629525158</v>
      </c>
      <c r="L274" s="35">
        <v>4.3953725986148751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4.7814210797931667</v>
      </c>
      <c r="J275" s="35">
        <v>4.7915599827638644</v>
      </c>
      <c r="K275" s="35">
        <v>4.241569829006484</v>
      </c>
      <c r="L275" s="35">
        <v>4.5657028204356109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4.9163698783331649</v>
      </c>
      <c r="J276" s="35">
        <v>4.9265087813038635</v>
      </c>
      <c r="K276" s="35">
        <v>4.3190862443565203</v>
      </c>
      <c r="L276" s="35">
        <v>4.6967878349894612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4.8320142056169519</v>
      </c>
      <c r="J277" s="35">
        <v>4.8421531085876506</v>
      </c>
      <c r="K277" s="35">
        <v>4.1467585020152251</v>
      </c>
      <c r="L277" s="35">
        <v>4.6308438422162004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4.8657767525093787</v>
      </c>
      <c r="J278" s="35">
        <v>4.8759156554800773</v>
      </c>
      <c r="K278" s="35">
        <v>4.4053536778723235</v>
      </c>
      <c r="L278" s="35">
        <v>4.7420553247013943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5.2708259261887864</v>
      </c>
      <c r="J279" s="35">
        <v>5.2809648291594851</v>
      </c>
      <c r="K279" s="35">
        <v>5.258552058448501</v>
      </c>
      <c r="L279" s="35">
        <v>4.9272405098865795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5.6251805850147019</v>
      </c>
      <c r="J280" s="35">
        <v>5.6353194879853996</v>
      </c>
      <c r="K280" s="35">
        <v>5.758447498521476</v>
      </c>
      <c r="L280" s="35">
        <v>5.2378899126769047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5.6858112247794788</v>
      </c>
      <c r="J281" s="35">
        <v>5.6959501277501774</v>
      </c>
      <c r="K281" s="35">
        <v>5.9788281690156317</v>
      </c>
      <c r="L281" s="35">
        <v>5.3589377898223427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5.5476179772888576</v>
      </c>
      <c r="J282" s="35">
        <v>5.5577568802595554</v>
      </c>
      <c r="K282" s="35">
        <v>5.5203058858328893</v>
      </c>
      <c r="L282" s="35">
        <v>5.2230349493124564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5.1333424019061136</v>
      </c>
      <c r="J283" s="35">
        <v>5.1434813048768122</v>
      </c>
      <c r="K283" s="35">
        <v>5.0706899643336527</v>
      </c>
      <c r="L283" s="35">
        <v>4.8766533373481877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4.7363029615735579</v>
      </c>
      <c r="J284" s="35">
        <v>4.7464418645442565</v>
      </c>
      <c r="K284" s="35">
        <v>4.3212610536048182</v>
      </c>
      <c r="L284" s="35">
        <v>4.6656727090233865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4.7017293024434759</v>
      </c>
      <c r="J285" s="35">
        <v>4.7118682054141745</v>
      </c>
      <c r="K285" s="35">
        <v>4.2242749173652605</v>
      </c>
      <c r="L285" s="35">
        <v>4.5018666265181162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4.7535390966237454</v>
      </c>
      <c r="J286" s="35">
        <v>4.763677999594444</v>
      </c>
      <c r="K286" s="35">
        <v>4.2595378958912296</v>
      </c>
      <c r="L286" s="35">
        <v>4.6183977918297696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5.047060337625469</v>
      </c>
      <c r="J287" s="35">
        <v>5.0571992405961677</v>
      </c>
      <c r="K287" s="35">
        <v>4.3389184334540909</v>
      </c>
      <c r="L287" s="35">
        <v>4.8286758205359828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5.1679160610361965</v>
      </c>
      <c r="J288" s="35">
        <v>5.1780549640068951</v>
      </c>
      <c r="K288" s="35">
        <v>4.4005898099951022</v>
      </c>
      <c r="L288" s="35">
        <v>4.945809214092141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5.0987687427760324</v>
      </c>
      <c r="J289" s="35">
        <v>5.1089076457467302</v>
      </c>
      <c r="K289" s="35">
        <v>4.330063852943165</v>
      </c>
      <c r="L289" s="35">
        <v>4.8949209274314969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5.150578536956302</v>
      </c>
      <c r="J290" s="35">
        <v>5.1607174399269997</v>
      </c>
      <c r="K290" s="35">
        <v>4.594613863646793</v>
      </c>
      <c r="L290" s="35">
        <v>5.0239985145036634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5.5131457071884826</v>
      </c>
      <c r="J291" s="35">
        <v>5.5232846101591804</v>
      </c>
      <c r="K291" s="35">
        <v>5.5203576670054684</v>
      </c>
      <c r="L291" s="35">
        <v>5.1671280939476061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5.8929490124708508</v>
      </c>
      <c r="J292" s="35">
        <v>5.9030879154415494</v>
      </c>
      <c r="K292" s="35">
        <v>5.9964337676923263</v>
      </c>
      <c r="L292" s="35">
        <v>5.5029707116330426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5.9581421585724428</v>
      </c>
      <c r="J293" s="35">
        <v>5.9682810615431414</v>
      </c>
      <c r="K293" s="35">
        <v>5.9988674828035169</v>
      </c>
      <c r="L293" s="35">
        <v>5.6285353006122651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5.9227573872047046</v>
      </c>
      <c r="J294" s="35">
        <v>5.9328962901754032</v>
      </c>
      <c r="K294" s="35">
        <v>5.7372689989368642</v>
      </c>
      <c r="L294" s="35">
        <v>5.594409033423668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5.587261087904289</v>
      </c>
      <c r="J295" s="35">
        <v>5.5973999908749876</v>
      </c>
      <c r="K295" s="35">
        <v>5.5207719163860958</v>
      </c>
      <c r="L295" s="35">
        <v>5.3260159791227544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4.9338087914427664</v>
      </c>
      <c r="J296" s="35">
        <v>4.943947694413465</v>
      </c>
      <c r="K296" s="35">
        <v>4.4654716192359789</v>
      </c>
      <c r="L296" s="35">
        <v>4.8611961457392354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4.9514504826117811</v>
      </c>
      <c r="J297" s="35">
        <v>4.9615893855824797</v>
      </c>
      <c r="K297" s="35">
        <v>4.4835432484658808</v>
      </c>
      <c r="L297" s="35">
        <v>4.7490813208872833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5.0574020186555817</v>
      </c>
      <c r="J298" s="35">
        <v>5.0675409216262803</v>
      </c>
      <c r="K298" s="35">
        <v>4.4925531724945422</v>
      </c>
      <c r="L298" s="35">
        <v>4.9192107999598509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5.3223315532799349</v>
      </c>
      <c r="J299" s="35">
        <v>5.3324704562506335</v>
      </c>
      <c r="K299" s="35">
        <v>4.5647361270689908</v>
      </c>
      <c r="L299" s="35">
        <v>5.1011841011743444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5.4635664716617667</v>
      </c>
      <c r="J300" s="35">
        <v>5.4737053746324653</v>
      </c>
      <c r="K300" s="35">
        <v>4.6459290056721017</v>
      </c>
      <c r="L300" s="35">
        <v>5.2384921409214087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5.3752566267869817</v>
      </c>
      <c r="J301" s="35">
        <v>5.3853955297576803</v>
      </c>
      <c r="K301" s="35">
        <v>4.6458772244995226</v>
      </c>
      <c r="L301" s="35">
        <v>5.1686336645588682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5.4106413981547199</v>
      </c>
      <c r="J302" s="35">
        <v>5.4207803011254185</v>
      </c>
      <c r="K302" s="35">
        <v>4.8984657843375139</v>
      </c>
      <c r="L302" s="35">
        <v>5.2814510890294084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5.8344475423299205</v>
      </c>
      <c r="J303" s="35">
        <v>5.8445864453006191</v>
      </c>
      <c r="K303" s="35">
        <v>5.8635632788558603</v>
      </c>
      <c r="L303" s="35">
        <v>5.4852049784201542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6.1700452306600431</v>
      </c>
      <c r="J304" s="35">
        <v>6.1801841336307408</v>
      </c>
      <c r="K304" s="35">
        <v>6.2514042614689309</v>
      </c>
      <c r="L304" s="35">
        <v>5.7772856770049179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6.2760981557335507</v>
      </c>
      <c r="J305" s="35">
        <v>6.2862370587042484</v>
      </c>
      <c r="K305" s="35">
        <v>6.2011765240677716</v>
      </c>
      <c r="L305" s="35">
        <v>5.9432999297400384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6.1315173993713881</v>
      </c>
      <c r="J306" s="35">
        <v>6.1416563023420867</v>
      </c>
      <c r="K306" s="35">
        <v>5.6014469832634211</v>
      </c>
      <c r="L306" s="35">
        <v>5.8010736926628521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5.7340724029200043</v>
      </c>
      <c r="J307" s="35">
        <v>5.7442113058907029</v>
      </c>
      <c r="K307" s="35">
        <v>5.3523277619881906</v>
      </c>
      <c r="L307" s="35">
        <v>5.4713537287965472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5.3365260174389135</v>
      </c>
      <c r="J308" s="35">
        <v>5.3466649204096122</v>
      </c>
      <c r="K308" s="35">
        <v>4.7524946588386827</v>
      </c>
      <c r="L308" s="35">
        <v>5.2599716149754085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5.3365260174389135</v>
      </c>
      <c r="J309" s="35">
        <v>5.3466649204096122</v>
      </c>
      <c r="K309" s="35">
        <v>4.770980537449212</v>
      </c>
      <c r="L309" s="35">
        <v>5.1302917996587372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5.4088163956199944</v>
      </c>
      <c r="J310" s="35">
        <v>5.4189552985906921</v>
      </c>
      <c r="K310" s="35">
        <v>4.7894146348871631</v>
      </c>
      <c r="L310" s="35">
        <v>5.2670979825353808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5.7160251556321606</v>
      </c>
      <c r="J311" s="35">
        <v>5.7261640586028593</v>
      </c>
      <c r="K311" s="35">
        <v>4.8816886844220759</v>
      </c>
      <c r="L311" s="35">
        <v>5.4909261467429484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5.8605045229646153</v>
      </c>
      <c r="J312" s="35">
        <v>5.870643425935314</v>
      </c>
      <c r="K312" s="35">
        <v>4.9555286365190359</v>
      </c>
      <c r="L312" s="35">
        <v>5.6314460704607043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5.6978765193146099</v>
      </c>
      <c r="J313" s="35">
        <v>5.7080154222853086</v>
      </c>
      <c r="K313" s="35">
        <v>4.9186086604705554</v>
      </c>
      <c r="L313" s="35">
        <v>5.4880153768945092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5.7882141447835345</v>
      </c>
      <c r="J314" s="35">
        <v>5.7983530477542331</v>
      </c>
      <c r="K314" s="35">
        <v>5.2231337364047974</v>
      </c>
      <c r="L314" s="35">
        <v>5.6552340861186394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6.2218550248403126</v>
      </c>
      <c r="J315" s="35">
        <v>6.2319939278110104</v>
      </c>
      <c r="K315" s="35">
        <v>6.2935023547752618</v>
      </c>
      <c r="L315" s="35">
        <v>5.8687239987955433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6.583205526716009</v>
      </c>
      <c r="J316" s="35">
        <v>6.5933444296867076</v>
      </c>
      <c r="K316" s="35">
        <v>6.6625467717423321</v>
      </c>
      <c r="L316" s="35">
        <v>6.1862990263976716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6.6609709125012682</v>
      </c>
      <c r="J317" s="35">
        <v>6.6711098154719659</v>
      </c>
      <c r="K317" s="35">
        <v>6.6362419360724472</v>
      </c>
      <c r="L317" s="35">
        <v>6.324309665763324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6.5685041174084962</v>
      </c>
      <c r="J318" s="35">
        <v>6.5786430203791948</v>
      </c>
      <c r="K318" s="35">
        <v>6.409699306041448</v>
      </c>
      <c r="L318" s="35">
        <v>6.2336743149653717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6.1433799158471052</v>
      </c>
      <c r="J319" s="35">
        <v>6.1535188188178038</v>
      </c>
      <c r="K319" s="35">
        <v>5.6639986397382662</v>
      </c>
      <c r="L319" s="35">
        <v>5.8766533373481877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5.6813501074723716</v>
      </c>
      <c r="J320" s="35">
        <v>5.6914890104430693</v>
      </c>
      <c r="K320" s="35">
        <v>5.1636371691120848</v>
      </c>
      <c r="L320" s="35">
        <v>5.6013346582354711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5.6813501074723716</v>
      </c>
      <c r="J321" s="35">
        <v>5.6914890104430693</v>
      </c>
      <c r="K321" s="35">
        <v>5.1353646488842157</v>
      </c>
      <c r="L321" s="35">
        <v>5.4716548429187997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5.7552627101287648</v>
      </c>
      <c r="J322" s="35">
        <v>5.7654016130994634</v>
      </c>
      <c r="K322" s="35">
        <v>5.163688950284663</v>
      </c>
      <c r="L322" s="35">
        <v>5.6100669677807895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6.0694673131907129</v>
      </c>
      <c r="J323" s="35">
        <v>6.0796062161614115</v>
      </c>
      <c r="K323" s="35">
        <v>5.2203375530855567</v>
      </c>
      <c r="L323" s="35">
        <v>5.8408207568001602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6.1988397150968275</v>
      </c>
      <c r="J324" s="35">
        <v>6.2089786180675253</v>
      </c>
      <c r="K324" s="35">
        <v>5.2863585481231645</v>
      </c>
      <c r="L324" s="35">
        <v>5.9663853457793836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6.0325617063773702</v>
      </c>
      <c r="J325" s="35">
        <v>6.042700609348068</v>
      </c>
      <c r="K325" s="35">
        <v>5.239185899904137</v>
      </c>
      <c r="L325" s="35">
        <v>5.8193412827461612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6.0880215056270917</v>
      </c>
      <c r="J326" s="35">
        <v>6.0981604085977903</v>
      </c>
      <c r="K326" s="35">
        <v>5.3807556257337952</v>
      </c>
      <c r="L326" s="35">
        <v>5.952032239285356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6.3282121170029404</v>
      </c>
      <c r="J327" s="35">
        <v>6.3383510199736381</v>
      </c>
      <c r="K327" s="35">
        <v>6.2680777990392116</v>
      </c>
      <c r="L327" s="35">
        <v>5.9740135702097756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6.8087961178140528</v>
      </c>
      <c r="J328" s="35">
        <v>6.8189350207847506</v>
      </c>
      <c r="K328" s="35">
        <v>6.6928387577007635</v>
      </c>
      <c r="L328" s="35">
        <v>6.4096253337348186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6.9724380117611284</v>
      </c>
      <c r="J329" s="35">
        <v>6.9825769147318262</v>
      </c>
      <c r="K329" s="35">
        <v>6.7179526264013418</v>
      </c>
      <c r="L329" s="35">
        <v>6.6327508983237982</v>
      </c>
      <c r="M329" s="104">
        <f t="shared" ref="M329:M340" si="13">YEAR(H329)</f>
        <v>2042</v>
      </c>
    </row>
    <row r="330" spans="8:15">
      <c r="H330" s="31">
        <v>51898</v>
      </c>
      <c r="I330" s="35">
        <v>6.821064190408598</v>
      </c>
      <c r="J330" s="35">
        <v>6.8312030933792967</v>
      </c>
      <c r="K330" s="35">
        <v>6.3796144447733312</v>
      </c>
      <c r="L330" s="35">
        <v>6.4836994078088921</v>
      </c>
      <c r="M330" s="104">
        <f t="shared" si="13"/>
        <v>2042</v>
      </c>
    </row>
    <row r="331" spans="8:15">
      <c r="H331" s="31">
        <v>51926</v>
      </c>
      <c r="I331" s="35">
        <v>6.3290232292405966</v>
      </c>
      <c r="J331" s="35">
        <v>6.3391621322112952</v>
      </c>
      <c r="K331" s="35">
        <v>5.8093483911661554</v>
      </c>
      <c r="L331" s="35">
        <v>6.0603329519221116</v>
      </c>
      <c r="M331" s="104">
        <f t="shared" si="13"/>
        <v>2042</v>
      </c>
    </row>
    <row r="332" spans="8:15">
      <c r="H332" s="31">
        <v>51957</v>
      </c>
      <c r="I332" s="35">
        <v>6.0072144489506236</v>
      </c>
      <c r="J332" s="35">
        <v>6.0173533519213223</v>
      </c>
      <c r="K332" s="35">
        <v>5.3647034622344547</v>
      </c>
      <c r="L332" s="35">
        <v>5.9239282545418046</v>
      </c>
      <c r="M332" s="104">
        <f t="shared" si="13"/>
        <v>2042</v>
      </c>
    </row>
    <row r="333" spans="8:15">
      <c r="H333" s="31">
        <v>51987</v>
      </c>
      <c r="I333" s="35">
        <v>6.0261741975058305</v>
      </c>
      <c r="J333" s="35">
        <v>6.0363131004765282</v>
      </c>
      <c r="K333" s="35">
        <v>5.3743865415066372</v>
      </c>
      <c r="L333" s="35">
        <v>5.8130178861788613</v>
      </c>
      <c r="M333" s="104">
        <f t="shared" si="13"/>
        <v>2042</v>
      </c>
    </row>
    <row r="334" spans="8:15">
      <c r="H334" s="31">
        <v>52018</v>
      </c>
      <c r="I334" s="35">
        <v>6.1019118026969483</v>
      </c>
      <c r="J334" s="35">
        <v>6.112050705667647</v>
      </c>
      <c r="K334" s="35">
        <v>5.4033322169780265</v>
      </c>
      <c r="L334" s="35">
        <v>5.9532366957743656</v>
      </c>
      <c r="M334" s="104">
        <f t="shared" si="13"/>
        <v>2042</v>
      </c>
    </row>
    <row r="335" spans="8:15">
      <c r="H335" s="31">
        <v>52048</v>
      </c>
      <c r="I335" s="35">
        <v>6.4803970505931261</v>
      </c>
      <c r="J335" s="35">
        <v>6.4905359535638238</v>
      </c>
      <c r="K335" s="35">
        <v>5.5290569039986588</v>
      </c>
      <c r="L335" s="35">
        <v>6.2476259359630628</v>
      </c>
      <c r="M335" s="104">
        <f t="shared" si="13"/>
        <v>2042</v>
      </c>
    </row>
    <row r="336" spans="8:15">
      <c r="H336" s="31">
        <v>52079</v>
      </c>
      <c r="I336" s="35">
        <v>6.6317708719456556</v>
      </c>
      <c r="J336" s="35">
        <v>6.6419097749163543</v>
      </c>
      <c r="K336" s="35">
        <v>5.5966831153861989</v>
      </c>
      <c r="L336" s="35">
        <v>6.3949711131185385</v>
      </c>
      <c r="M336" s="104">
        <f t="shared" si="13"/>
        <v>2042</v>
      </c>
    </row>
    <row r="337" spans="8:13">
      <c r="H337" s="31">
        <v>52110</v>
      </c>
      <c r="I337" s="35">
        <v>6.4614373020379192</v>
      </c>
      <c r="J337" s="35">
        <v>6.4715762050086179</v>
      </c>
      <c r="K337" s="35">
        <v>5.5580025794700481</v>
      </c>
      <c r="L337" s="35">
        <v>6.2439121951219514</v>
      </c>
      <c r="M337" s="104">
        <f t="shared" si="13"/>
        <v>2042</v>
      </c>
    </row>
    <row r="338" spans="8:13">
      <c r="H338" s="31">
        <v>52140</v>
      </c>
      <c r="I338" s="35">
        <v>6.5371749072290379</v>
      </c>
      <c r="J338" s="35">
        <v>6.5473138101997366</v>
      </c>
      <c r="K338" s="35">
        <v>5.7996653118939729</v>
      </c>
      <c r="L338" s="35">
        <v>6.396677426477968</v>
      </c>
      <c r="M338" s="104">
        <f t="shared" si="13"/>
        <v>2042</v>
      </c>
    </row>
    <row r="339" spans="8:13">
      <c r="H339" s="31">
        <v>52171</v>
      </c>
      <c r="I339" s="35">
        <v>7.0859937250329521</v>
      </c>
      <c r="J339" s="35">
        <v>7.0961326280036507</v>
      </c>
      <c r="K339" s="35">
        <v>6.7565813811449136</v>
      </c>
      <c r="L339" s="35">
        <v>6.7241892201144227</v>
      </c>
      <c r="M339" s="104">
        <f t="shared" si="13"/>
        <v>2042</v>
      </c>
    </row>
    <row r="340" spans="8:13">
      <c r="H340" s="31">
        <v>52201</v>
      </c>
      <c r="I340" s="35">
        <v>7.44562061340363</v>
      </c>
      <c r="J340" s="35">
        <v>7.4557595163743278</v>
      </c>
      <c r="K340" s="35">
        <v>7.1432313967886776</v>
      </c>
      <c r="L340" s="35">
        <v>7.0400579343571215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3320312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30" t="s">
        <v>159</v>
      </c>
      <c r="C1" s="430"/>
      <c r="D1" s="430"/>
      <c r="E1" s="430"/>
      <c r="F1" s="430"/>
      <c r="G1" s="430"/>
      <c r="H1" s="430"/>
      <c r="I1" s="430"/>
      <c r="J1" s="430"/>
      <c r="K1" s="430"/>
      <c r="M1" s="350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47" t="s">
        <v>103</v>
      </c>
      <c r="B3" s="348">
        <v>2024</v>
      </c>
      <c r="C3" s="348">
        <v>2030</v>
      </c>
      <c r="D3" s="348">
        <v>2024</v>
      </c>
      <c r="E3" s="348">
        <v>2024</v>
      </c>
      <c r="F3" s="348">
        <v>2024</v>
      </c>
      <c r="G3" s="348">
        <v>2024</v>
      </c>
      <c r="H3" s="348">
        <v>2029</v>
      </c>
      <c r="I3" s="348">
        <v>2024</v>
      </c>
      <c r="J3" s="348">
        <v>2030</v>
      </c>
      <c r="K3" s="348">
        <v>2026</v>
      </c>
      <c r="L3" s="348">
        <v>2029</v>
      </c>
      <c r="M3" s="348">
        <v>2032</v>
      </c>
    </row>
    <row r="4" spans="1:14" ht="51">
      <c r="B4" s="212" t="s">
        <v>158</v>
      </c>
      <c r="C4" s="212" t="s">
        <v>167</v>
      </c>
      <c r="D4" s="212" t="s">
        <v>166</v>
      </c>
      <c r="E4" s="212" t="s">
        <v>165</v>
      </c>
      <c r="F4" s="212" t="s">
        <v>163</v>
      </c>
      <c r="G4" s="212" t="s">
        <v>164</v>
      </c>
      <c r="H4" s="212" t="s">
        <v>164</v>
      </c>
      <c r="I4" s="212" t="s">
        <v>162</v>
      </c>
      <c r="J4" s="212" t="s">
        <v>162</v>
      </c>
      <c r="K4" s="212" t="s">
        <v>168</v>
      </c>
      <c r="L4" s="212" t="s">
        <v>173</v>
      </c>
      <c r="M4" s="212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23.315627401653863</v>
      </c>
      <c r="C11" s="130"/>
      <c r="D11" s="130">
        <f>INDEX('Table 3 PV wS YK_2024'!$I$10:$I$33,MATCH($A11,'Table 3 PV wS YK_2024'!$B$10:$B$33,0),1)</f>
        <v>41.151407287985471</v>
      </c>
      <c r="E11" s="130">
        <f>INDEX('Table 3 PV wS SO_2024'!$I$10:$I$33,MATCH($A11,'Table 3 PV wS SO_2024'!$B$10:$B$33,0),1)</f>
        <v>35.903031589101552</v>
      </c>
      <c r="F11" s="130">
        <f>INDEX('Table 3 PV wS UTN_2024'!$I$10:$I$33,MATCH($A11,'Table 3 PV wS UTN_2024'!$B$10:$B$33,0),1)</f>
        <v>35.122024888264477</v>
      </c>
      <c r="G11" s="130">
        <f>INDEX('Table 3 PV wS JB_2024'!$I$10:$I$33,MATCH($A11,'Table 3 PV wS JB_2024'!$B$10:$B$33,0),1)</f>
        <v>34.10319203382889</v>
      </c>
      <c r="H11" s="130"/>
      <c r="I11" s="130">
        <f>INDEX('Table 3 PV wS UTS_2024'!$I$10:$I$36,MATCH($A11,'Table 3 PV wS UTS_2024'!$B$10:$B$36,0),1)</f>
        <v>32.14906638513466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23.870027735885941</v>
      </c>
      <c r="C12" s="130"/>
      <c r="D12" s="130">
        <f>INDEX('Table 3 PV wS YK_2024'!$I$10:$I$33,MATCH($A12,'Table 3 PV wS YK_2024'!$B$10:$B$33,0),1)</f>
        <v>42.14085001756235</v>
      </c>
      <c r="E12" s="130">
        <f>INDEX('Table 3 PV wS SO_2024'!$I$10:$I$33,MATCH($A12,'Table 3 PV wS SO_2024'!$B$10:$B$33,0),1)</f>
        <v>36.764140645419189</v>
      </c>
      <c r="F12" s="130">
        <f>INDEX('Table 3 PV wS UTN_2024'!$I$10:$I$33,MATCH($A12,'Table 3 PV wS UTN_2024'!$B$10:$B$33,0),1)</f>
        <v>35.964592909479819</v>
      </c>
      <c r="G12" s="130">
        <f>INDEX('Table 3 PV wS JB_2024'!$I$10:$I$33,MATCH($A12,'Table 3 PV wS JB_2024'!$B$10:$B$33,0),1)</f>
        <v>34.921646262837726</v>
      </c>
      <c r="H12" s="130"/>
      <c r="I12" s="130">
        <f>INDEX('Table 3 PV wS UTS_2024'!$I$10:$I$36,MATCH($A12,'Table 3 PV wS UTS_2024'!$B$10:$B$36,0),1)</f>
        <v>32.922374429223744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24.449661138689901</v>
      </c>
      <c r="C13" s="130"/>
      <c r="D13" s="130">
        <f>INDEX('Table 3 PV wS YK_2024'!$I$10:$I$33,MATCH($A13,'Table 3 PV wS YK_2024'!$B$10:$B$33,0),1)</f>
        <v>43.19459079733052</v>
      </c>
      <c r="E13" s="130">
        <f>INDEX('Table 3 PV wS SO_2024'!$I$10:$I$33,MATCH($A13,'Table 3 PV wS SO_2024'!$B$10:$B$33,0),1)</f>
        <v>37.682763710160977</v>
      </c>
      <c r="F13" s="130">
        <f>INDEX('Table 3 PV wS UTN_2024'!$I$10:$I$33,MATCH($A13,'Table 3 PV wS UTN_2024'!$B$10:$B$33,0),1)</f>
        <v>36.863423292222279</v>
      </c>
      <c r="G13" s="130">
        <f>INDEX('Table 3 PV wS JB_2024'!$I$10:$I$33,MATCH($A13,'Table 3 PV wS JB_2024'!$B$10:$B$33,0),1)</f>
        <v>35.79392891275657</v>
      </c>
      <c r="H13" s="130"/>
      <c r="I13" s="130">
        <f>INDEX('Table 3 PV wS UTS_2024'!$I$10:$I$36,MATCH($A13,'Table 3 PV wS UTS_2024'!$B$10:$B$36,0),1)</f>
        <v>33.744292237442927</v>
      </c>
      <c r="J13" s="130"/>
      <c r="K13" s="130">
        <f>INDEX('Table 3 185 MW (NTN) 2026)'!$K$14:$K$41,MATCH($A13,'Table 3 185 MW (NTN) 2026)'!$B$14:$B$41,0),1)</f>
        <v>72.650000000000006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26.040767964615355</v>
      </c>
      <c r="C14" s="130"/>
      <c r="D14" s="130">
        <f>INDEX('Table 3 PV wS YK_2024'!$I$10:$I$33,MATCH($A14,'Table 3 PV wS YK_2024'!$B$10:$B$33,0),1)</f>
        <v>44.274675096592908</v>
      </c>
      <c r="E14" s="130">
        <f>INDEX('Table 3 PV wS SO_2024'!$I$10:$I$33,MATCH($A14,'Table 3 PV wS SO_2024'!$B$10:$B$33,0),1)</f>
        <v>38.624448441800048</v>
      </c>
      <c r="F14" s="130">
        <f>INDEX('Table 3 PV wS UTN_2024'!$I$10:$I$33,MATCH($A14,'Table 3 PV wS UTN_2024'!$B$10:$B$33,0),1)</f>
        <v>37.78500887452784</v>
      </c>
      <c r="G14" s="130">
        <f>INDEX('Table 3 PV wS JB_2024'!$I$10:$I$33,MATCH($A14,'Table 3 PV wS JB_2024'!$B$10:$B$33,0),1)</f>
        <v>36.688966762238515</v>
      </c>
      <c r="H14" s="130"/>
      <c r="I14" s="130">
        <f>INDEX('Table 3 PV wS UTS_2024'!$I$10:$I$36,MATCH($A14,'Table 3 PV wS UTS_2024'!$B$10:$B$36,0),1)</f>
        <v>34.587284861257466</v>
      </c>
      <c r="J14" s="130"/>
      <c r="K14" s="130">
        <f>INDEX('Table 3 185 MW (NTN) 2026)'!$K$14:$K$41,MATCH($A14,'Table 3 185 MW (NTN) 2026)'!$B$14:$B$41,0),1)</f>
        <v>74.62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26.631347285059977</v>
      </c>
      <c r="C15" s="130"/>
      <c r="D15" s="130">
        <f>INDEX('Table 3 PV wS YK_2024'!$I$10:$I$33,MATCH($A15,'Table 3 PV wS YK_2024'!$B$10:$B$33,0),1)</f>
        <v>45.33719704952582</v>
      </c>
      <c r="E15" s="130">
        <f>INDEX('Table 3 PV wS SO_2024'!$I$10:$I$33,MATCH($A15,'Table 3 PV wS SO_2024'!$B$10:$B$33,0),1)</f>
        <v>39.550758728840918</v>
      </c>
      <c r="F15" s="130">
        <f>INDEX('Table 3 PV wS UTN_2024'!$I$10:$I$33,MATCH($A15,'Table 3 PV wS UTN_2024'!$B$10:$B$33,0),1)</f>
        <v>38.691424323791324</v>
      </c>
      <c r="G15" s="130">
        <f>INDEX('Table 3 PV wS JB_2024'!$I$10:$I$33,MATCH($A15,'Table 3 PV wS JB_2024'!$B$10:$B$33,0),1)</f>
        <v>37.568834478678383</v>
      </c>
      <c r="H15" s="130"/>
      <c r="I15" s="130">
        <f>INDEX('Table 3 PV wS UTS_2024'!$I$10:$I$36,MATCH($A15,'Table 3 PV wS UTS_2024'!$B$10:$B$36,0),1)</f>
        <v>35.416227608008427</v>
      </c>
      <c r="J15" s="130"/>
      <c r="K15" s="130">
        <f>INDEX('Table 3 185 MW (NTN) 2026)'!$K$14:$K$41,MATCH($A15,'Table 3 185 MW (NTN) 2026)'!$B$14:$B$41,0),1)</f>
        <v>78.040000000000006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27.238081729225136</v>
      </c>
      <c r="C16" s="130"/>
      <c r="D16" s="130">
        <f>INDEX('Table 3 PV wS YK_2024'!$I$10:$I$33,MATCH($A16,'Table 3 PV wS YK_2024'!$B$10:$B$33,0),1)</f>
        <v>46.426062521952929</v>
      </c>
      <c r="E16" s="130">
        <f>INDEX('Table 3 PV wS SO_2024'!$I$10:$I$33,MATCH($A16,'Table 3 PV wS SO_2024'!$B$10:$B$33,0),1)</f>
        <v>40.500130682779087</v>
      </c>
      <c r="F16" s="130">
        <f>INDEX('Table 3 PV wS UTN_2024'!$I$10:$I$33,MATCH($A16,'Table 3 PV wS UTN_2024'!$B$10:$B$33,0),1)</f>
        <v>39.620594972617916</v>
      </c>
      <c r="G16" s="130">
        <f>INDEX('Table 3 PV wS JB_2024'!$I$10:$I$33,MATCH($A16,'Table 3 PV wS JB_2024'!$B$10:$B$33,0),1)</f>
        <v>38.471457394681352</v>
      </c>
      <c r="H16" s="130">
        <f>INDEX('Table 3 PV wS JB_2029'!$I$10:$I$33,MATCH($A16,'Table 3 PV wS JB_2029'!$B$10:$B$33,0),1)</f>
        <v>35.091902356463635</v>
      </c>
      <c r="I16" s="130">
        <f>INDEX('Table 3 PV wS UTS_2024'!$I$10:$I$36,MATCH($A16,'Table 3 PV wS UTS_2024'!$B$10:$B$36,0),1)</f>
        <v>36.266245170354757</v>
      </c>
      <c r="J16" s="130"/>
      <c r="K16" s="130">
        <f>INDEX('Table 3 185 MW (NTN) 2026)'!$K$14:$K$41,MATCH($A16,'Table 3 185 MW (NTN) 2026)'!$B$14:$B$41,0),1)</f>
        <v>82.46</v>
      </c>
      <c r="L16" s="130">
        <f>INDEX('Table 3 YK Wind wS_2029'!$I$10:$I$33,MATCH($A16,'Table 3 YK Wind wS_2029'!$B$10:$B$33,0),1)</f>
        <v>56.738924791790218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27.839188555150596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47.492975061468215</v>
      </c>
      <c r="E17" s="130">
        <f>INDEX('Table 3 PV wS SO_2024'!$I$10:$I$33,MATCH($A17,'Table 3 PV wS SO_2024'!$B$10:$B$33,0),1)</f>
        <v>41.430284580969513</v>
      </c>
      <c r="F17" s="130">
        <f>INDEX('Table 3 PV wS UTN_2024'!$I$10:$I$33,MATCH($A17,'Table 3 PV wS UTN_2024'!$B$10:$B$33,0),1)</f>
        <v>40.530802955141915</v>
      </c>
      <c r="G17" s="130">
        <f>INDEX('Table 3 PV wS JB_2024'!$I$10:$I$33,MATCH($A17,'Table 3 PV wS JB_2024'!$B$10:$B$33,0),1)</f>
        <v>39.35511764438175</v>
      </c>
      <c r="H17" s="130">
        <f>INDEX('Table 3 PV wS JB_2029'!$I$10:$I$33,MATCH($A17,'Table 3 PV wS JB_2029'!$B$10:$B$33,0),1)</f>
        <v>35.896327310790518</v>
      </c>
      <c r="I17" s="130">
        <f>INDEX('Table 3 PV wS UTS_2024'!$I$10:$I$36,MATCH($A17,'Table 3 PV wS UTS_2024'!$B$10:$B$36,0),1)</f>
        <v>37.098700386371618</v>
      </c>
      <c r="J17" s="130">
        <f>INDEX('Table 3 PV wS UTS_2030'!$I$10:$I$36,MATCH($A17,'Table 3 PV wS UTS_2030'!$B$10:$B$36,0),1)</f>
        <v>47.376641076922944</v>
      </c>
      <c r="K17" s="130">
        <f>INDEX('Table 3 185 MW (NTN) 2026)'!$K$14:$K$41,MATCH($A17,'Table 3 185 MW (NTN) 2026)'!$B$14:$B$41,0),1)</f>
        <v>84.91</v>
      </c>
      <c r="L17" s="130">
        <f>INDEX('Table 3 YK Wind wS_2029'!$I$10:$I$33,MATCH($A17,'Table 3 YK Wind wS_2029'!$B$10:$B$33,0),1)</f>
        <v>58.024464203138706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28.456423231466353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48.586231120477692</v>
      </c>
      <c r="E18" s="130">
        <f>INDEX('Table 3 PV wS SO_2024'!$I$10:$I$33,MATCH($A18,'Table 3 PV wS SO_2024'!$B$10:$B$33,0),1)</f>
        <v>42.383500146057223</v>
      </c>
      <c r="F18" s="130">
        <f>INDEX('Table 3 PV wS UTN_2024'!$I$10:$I$33,MATCH($A18,'Table 3 PV wS UTN_2024'!$B$10:$B$33,0),1)</f>
        <v>41.46376613722903</v>
      </c>
      <c r="G18" s="130">
        <f>INDEX('Table 3 PV wS JB_2024'!$I$10:$I$33,MATCH($A18,'Table 3 PV wS JB_2024'!$B$10:$B$33,0),1)</f>
        <v>40.261533093645234</v>
      </c>
      <c r="H18" s="130">
        <f>INDEX('Table 3 PV wS JB_2029'!$I$10:$I$33,MATCH($A18,'Table 3 PV wS JB_2029'!$B$10:$B$33,0),1)</f>
        <v>36.723099561583155</v>
      </c>
      <c r="I18" s="130">
        <f>INDEX('Table 3 PV wS UTS_2024'!$I$10:$I$36,MATCH($A18,'Table 3 PV wS UTS_2024'!$B$10:$B$36,0),1)</f>
        <v>37.952230417983841</v>
      </c>
      <c r="J18" s="130">
        <f>INDEX('Table 3 PV wS UTS_2030'!$I$10:$I$36,MATCH($A18,'Table 3 PV wS UTS_2030'!$B$10:$B$36,0),1)</f>
        <v>48.465050930804352</v>
      </c>
      <c r="K18" s="130">
        <f>INDEX('Table 3 185 MW (NTN) 2026)'!$K$14:$K$41,MATCH($A18,'Table 3 185 MW (NTN) 2026)'!$B$14:$B$41,0),1)</f>
        <v>87.08</v>
      </c>
      <c r="L18" s="130">
        <f>INDEX('Table 3 YK Wind wS_2029'!$I$10:$I$33,MATCH($A18,'Table 3 YK Wind wS_2029'!$B$10:$B$33,0),1)</f>
        <v>59.371321671525763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29.082540364528786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49.70583069898138</v>
      </c>
      <c r="E19" s="130">
        <f>INDEX('Table 3 PV wS SO_2024'!$I$10:$I$33,MATCH($A19,'Table 3 PV wS SO_2024'!$B$10:$B$33,0),1)</f>
        <v>43.359777378042224</v>
      </c>
      <c r="F19" s="130">
        <f>INDEX('Table 3 PV wS UTN_2024'!$I$10:$I$33,MATCH($A19,'Table 3 PV wS UTN_2024'!$B$10:$B$33,0),1)</f>
        <v>42.41948451887923</v>
      </c>
      <c r="G19" s="130">
        <f>INDEX('Table 3 PV wS JB_2024'!$I$10:$I$33,MATCH($A19,'Table 3 PV wS JB_2024'!$B$10:$B$33,0),1)</f>
        <v>41.190703742471825</v>
      </c>
      <c r="H19" s="130">
        <f>INDEX('Table 3 PV wS JB_2029'!$I$10:$I$33,MATCH($A19,'Table 3 PV wS JB_2029'!$B$10:$B$33,0),1)</f>
        <v>37.568834478678383</v>
      </c>
      <c r="I19" s="130">
        <f>INDEX('Table 3 PV wS UTS_2024'!$I$10:$I$36,MATCH($A19,'Table 3 PV wS UTS_2024'!$B$10:$B$36,0),1)</f>
        <v>38.826835265191427</v>
      </c>
      <c r="J19" s="130">
        <f>INDEX('Table 3 PV wS UTS_2030'!$I$10:$I$36,MATCH($A19,'Table 3 PV wS UTS_2030'!$B$10:$B$36,0),1)</f>
        <v>49.582016157358623</v>
      </c>
      <c r="K19" s="130">
        <f>INDEX('Table 3 185 MW (NTN) 2026)'!$K$14:$K$41,MATCH($A19,'Table 3 185 MW (NTN) 2026)'!$B$14:$B$41,0),1)</f>
        <v>88.89</v>
      </c>
      <c r="L19" s="130">
        <f>INDEX('Table 3 YK Wind wS_2029'!$I$10:$I$33,MATCH($A19,'Table 3 YK Wind wS_2029'!$B$10:$B$33,0),1)</f>
        <v>60.736640905596076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29.724785347981506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50.847383210396906</v>
      </c>
      <c r="E20" s="130">
        <f>INDEX('Table 3 PV wS SO_2024'!$I$10:$I$33,MATCH($A20,'Table 3 PV wS SO_2024'!$B$10:$B$33,0),1)</f>
        <v>44.355272665774955</v>
      </c>
      <c r="F20" s="130">
        <f>INDEX('Table 3 PV wS UTN_2024'!$I$10:$I$33,MATCH($A20,'Table 3 PV wS UTN_2024'!$B$10:$B$33,0),1)</f>
        <v>43.394165566832022</v>
      </c>
      <c r="G20" s="130">
        <f>INDEX('Table 3 PV wS JB_2024'!$I$10:$I$33,MATCH($A20,'Table 3 PV wS JB_2024'!$B$10:$B$33,0),1)</f>
        <v>42.135044524340486</v>
      </c>
      <c r="H20" s="130">
        <f>INDEX('Table 3 PV wS JB_2029'!$I$10:$I$33,MATCH($A20,'Table 3 PV wS JB_2029'!$B$10:$B$33,0),1)</f>
        <v>38.433532062076189</v>
      </c>
      <c r="I20" s="130">
        <f>INDEX('Table 3 PV wS UTS_2024'!$I$10:$I$36,MATCH($A20,'Table 3 PV wS UTS_2024'!$B$10:$B$36,0),1)</f>
        <v>39.719002458728482</v>
      </c>
      <c r="J20" s="130">
        <f>INDEX('Table 3 PV wS UTS_2030'!$I$10:$I$36,MATCH($A20,'Table 3 PV wS UTS_2030'!$B$10:$B$36,0),1)</f>
        <v>50.720056199508257</v>
      </c>
      <c r="K20" s="130">
        <f>INDEX('Table 3 185 MW (NTN) 2026)'!$K$14:$K$41,MATCH($A20,'Table 3 185 MW (NTN) 2026)'!$B$14:$B$41,0),1)</f>
        <v>92.39</v>
      </c>
      <c r="L20" s="130">
        <f>INDEX('Table 3 YK Wind wS_2029'!$I$10:$I$33,MATCH($A20,'Table 3 YK Wind wS_2029'!$B$10:$B$33,0),1)</f>
        <v>62.130421905349671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56.307668256810906</v>
      </c>
      <c r="C21" s="130">
        <f>IF($A21&lt;C$3,0,INDEX('Table 3 ID Wind_2030'!$I$10:$I$33,MATCH($A21,'Table 3 ID Wind_2030'!$B$10:$B$33,0),1))</f>
        <v>45.951371486616715</v>
      </c>
      <c r="D21" s="130">
        <f>INDEX('Table 3 PV wS YK_2024'!$I$10:$I$33,MATCH($A21,'Table 3 PV wS YK_2024'!$B$10:$B$33,0),1)</f>
        <v>52.063575693712679</v>
      </c>
      <c r="E21" s="130">
        <f>INDEX('Table 3 PV wS SO_2024'!$I$10:$I$33,MATCH($A21,'Table 3 PV wS SO_2024'!$B$10:$B$33,0),1)</f>
        <v>45.416109343049982</v>
      </c>
      <c r="F21" s="130">
        <f>INDEX('Table 3 PV wS UTN_2024'!$I$10:$I$33,MATCH($A21,'Table 3 PV wS UTN_2024'!$B$10:$B$33,0),1)</f>
        <v>44.4333196802136</v>
      </c>
      <c r="G21" s="130">
        <f>INDEX('Table 3 PV wS JB_2024'!$I$10:$I$33,MATCH($A21,'Table 3 PV wS JB_2024'!$B$10:$B$33,0),1)</f>
        <v>43.143858371637918</v>
      </c>
      <c r="H21" s="130">
        <f>INDEX('Table 3 PV wS JB_2029'!$I$10:$I$33,MATCH($A21,'Table 3 PV wS JB_2029'!$B$10:$B$33,0),1)</f>
        <v>39.35511764438175</v>
      </c>
      <c r="I21" s="130">
        <f>INDEX('Table 3 PV wS UTS_2024'!$I$10:$I$36,MATCH($A21,'Table 3 PV wS UTS_2024'!$B$10:$B$36,0),1)</f>
        <v>40.667369160519847</v>
      </c>
      <c r="J21" s="130">
        <f>INDEX('Table 3 PV wS UTS_2030'!$I$10:$I$36,MATCH($A21,'Table 3 PV wS UTS_2030'!$B$10:$B$36,0),1)</f>
        <v>51.935370565507554</v>
      </c>
      <c r="K21" s="130">
        <f>INDEX('Table 3 185 MW (NTN) 2026)'!$K$14:$K$41,MATCH($A21,'Table 3 185 MW (NTN) 2026)'!$B$14:$B$41,0),1)</f>
        <v>94.09</v>
      </c>
      <c r="L21" s="130">
        <f>INDEX('Table 3 YK Wind wS_2029'!$I$10:$I$33,MATCH($A21,'Table 3 YK Wind wS_2029'!$B$10:$B$33,0),1)</f>
        <v>63.605742124047502</v>
      </c>
      <c r="M21" s="130">
        <f>INDEX('Table 3 ID Wind wS_2032'!$I$10:$I$33,MATCH($A21,'Table 3 ID Wind wS_2032'!$B$10:$B$33,0),1)</f>
        <v>49.861235174448204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57.619433622386993</v>
      </c>
      <c r="C22" s="130">
        <f>IF($A22&lt;C$3,0,INDEX('Table 3 ID Wind_2030'!$I$10:$I$33,MATCH($A22,'Table 3 ID Wind_2030'!$B$10:$B$33,0),1))</f>
        <v>47.037472402478002</v>
      </c>
      <c r="D22" s="130">
        <f>INDEX('Table 3 PV wS YK_2024'!$I$10:$I$33,MATCH($A22,'Table 3 PV wS YK_2024'!$B$10:$B$33,0),1)</f>
        <v>53.310502283105023</v>
      </c>
      <c r="E22" s="130">
        <f>INDEX('Table 3 PV wS SO_2024'!$I$10:$I$33,MATCH($A22,'Table 3 PV wS SO_2024'!$B$10:$B$33,0),1)</f>
        <v>46.503851298371856</v>
      </c>
      <c r="F22" s="130">
        <f>INDEX('Table 3 PV wS UTN_2024'!$I$10:$I$33,MATCH($A22,'Table 3 PV wS UTN_2024'!$B$10:$B$33,0),1)</f>
        <v>45.499021526418787</v>
      </c>
      <c r="G22" s="130">
        <f>INDEX('Table 3 PV wS JB_2024'!$I$10:$I$33,MATCH($A22,'Table 3 PV wS JB_2024'!$B$10:$B$33,0),1)</f>
        <v>44.179219951758981</v>
      </c>
      <c r="H22" s="130">
        <f>INDEX('Table 3 PV wS JB_2029'!$I$10:$I$33,MATCH($A22,'Table 3 PV wS JB_2029'!$B$10:$B$33,0),1)</f>
        <v>40.299458426250403</v>
      </c>
      <c r="I22" s="130">
        <f>INDEX('Table 3 PV wS UTS_2024'!$I$10:$I$36,MATCH($A22,'Table 3 PV wS UTS_2024'!$B$10:$B$36,0),1)</f>
        <v>41.643835616438359</v>
      </c>
      <c r="J22" s="130">
        <f>INDEX('Table 3 PV wS UTS_2030'!$I$10:$I$36,MATCH($A22,'Table 3 PV wS UTS_2030'!$B$10:$B$36,0),1)</f>
        <v>53.182297154899892</v>
      </c>
      <c r="K22" s="130">
        <f>INDEX('Table 3 185 MW (NTN) 2026)'!$K$14:$K$41,MATCH($A22,'Table 3 185 MW (NTN) 2026)'!$B$14:$B$41,0),1)</f>
        <v>96.01</v>
      </c>
      <c r="L22" s="130">
        <f>INDEX('Table 3 YK Wind wS_2029'!$I$10:$I$33,MATCH($A22,'Table 3 YK Wind wS_2029'!$B$10:$B$33,0),1)</f>
        <v>64.77260106937581</v>
      </c>
      <c r="M22" s="130">
        <f>INDEX('Table 3 ID Wind wS_2032'!$I$10:$I$33,MATCH($A22,'Table 3 ID Wind wS_2032'!$B$10:$B$33,0),1)</f>
        <v>51.045600235202087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58.923262448857052</v>
      </c>
      <c r="C23" s="130">
        <f>IF($A23&lt;C$3,0,INDEX('Table 3 ID Wind_2030'!$I$10:$I$33,MATCH($A23,'Table 3 ID Wind_2030'!$B$10:$B$33,0),1))</f>
        <v>48.117363753057184</v>
      </c>
      <c r="D23" s="130">
        <f>INDEX('Table 3 PV wS YK_2024'!$I$10:$I$33,MATCH($A23,'Table 3 PV wS YK_2024'!$B$10:$B$33,0),1)</f>
        <v>54.535475939585531</v>
      </c>
      <c r="E23" s="130">
        <f>INDEX('Table 3 PV wS SO_2024'!$I$10:$I$33,MATCH($A23,'Table 3 PV wS SO_2024'!$B$10:$B$33,0),1)</f>
        <v>47.572375197945973</v>
      </c>
      <c r="F23" s="130">
        <f>INDEX('Table 3 PV wS UTN_2024'!$I$10:$I$33,MATCH($A23,'Table 3 PV wS UTN_2024'!$B$10:$B$33,0),1)</f>
        <v>46.545760706321396</v>
      </c>
      <c r="G23" s="130">
        <f>INDEX('Table 3 PV wS JB_2024'!$I$10:$I$33,MATCH($A23,'Table 3 PV wS JB_2024'!$B$10:$B$33,0),1)</f>
        <v>45.195618865577458</v>
      </c>
      <c r="H23" s="130">
        <f>INDEX('Table 3 PV wS JB_2029'!$I$10:$I$33,MATCH($A23,'Table 3 PV wS JB_2029'!$B$10:$B$33,0),1)</f>
        <v>41.228629075076988</v>
      </c>
      <c r="I23" s="130">
        <f>INDEX('Table 3 PV wS UTS_2024'!$I$10:$I$36,MATCH($A23,'Table 3 PV wS UTS_2024'!$B$10:$B$36,0),1)</f>
        <v>42.599227256761502</v>
      </c>
      <c r="J23" s="130">
        <f>INDEX('Table 3 PV wS UTS_2030'!$I$10:$I$36,MATCH($A23,'Table 3 PV wS UTS_2030'!$B$10:$B$36,0),1)</f>
        <v>54.408148928696875</v>
      </c>
      <c r="K23" s="130">
        <f>INDEX('Table 3 185 MW (NTN) 2026)'!$K$14:$K$41,MATCH($A23,'Table 3 185 MW (NTN) 2026)'!$B$14:$B$41,0),1)</f>
        <v>98.21</v>
      </c>
      <c r="L23" s="130">
        <f>INDEX('Table 3 YK Wind wS_2029'!$I$10:$I$33,MATCH($A23,'Table 3 YK Wind wS_2029'!$B$10:$B$33,0),1)</f>
        <v>65.924075209968052</v>
      </c>
      <c r="M23" s="130">
        <f>INDEX('Table 3 ID Wind wS_2032'!$I$10:$I$33,MATCH($A23,'Table 3 ID Wind wS_2032'!$B$10:$B$33,0),1)</f>
        <v>52.216597836476694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60.250764525993887</v>
      </c>
      <c r="C24" s="130">
        <f>IF($A24&lt;C$3,0,INDEX('Table 3 ID Wind_2030'!$I$10:$I$33,MATCH($A24,'Table 3 ID Wind_2030'!$B$10:$B$33,0),1))</f>
        <v>49.218972599448485</v>
      </c>
      <c r="D24" s="130">
        <f>INDEX('Table 3 PV wS YK_2024'!$I$10:$I$33,MATCH($A24,'Table 3 PV wS YK_2024'!$B$10:$B$33,0),1)</f>
        <v>55.791183702142604</v>
      </c>
      <c r="E24" s="130">
        <f>INDEX('Table 3 PV wS SO_2024'!$I$10:$I$33,MATCH($A24,'Table 3 PV wS SO_2024'!$B$10:$B$33,0),1)</f>
        <v>48.667804375566938</v>
      </c>
      <c r="F24" s="130">
        <f>INDEX('Table 3 PV wS UTN_2024'!$I$10:$I$33,MATCH($A24,'Table 3 PV wS UTN_2024'!$B$10:$B$33,0),1)</f>
        <v>47.619047619047628</v>
      </c>
      <c r="G24" s="130">
        <f>INDEX('Table 3 PV wS JB_2024'!$I$10:$I$33,MATCH($A24,'Table 3 PV wS JB_2024'!$B$10:$B$33,0),1)</f>
        <v>46.234772978959029</v>
      </c>
      <c r="H24" s="130">
        <f>INDEX('Table 3 PV wS JB_2029'!$I$10:$I$33,MATCH($A24,'Table 3 PV wS JB_2029'!$B$10:$B$33,0),1)</f>
        <v>42.176762390206164</v>
      </c>
      <c r="I24" s="130">
        <f>INDEX('Table 3 PV wS UTS_2024'!$I$10:$I$36,MATCH($A24,'Table 3 PV wS UTS_2024'!$B$10:$B$36,0),1)</f>
        <v>43.582718651211806</v>
      </c>
      <c r="J24" s="130">
        <f>INDEX('Table 3 PV wS UTS_2030'!$I$10:$I$36,MATCH($A24,'Table 3 PV wS UTS_2030'!$B$10:$B$36,0),1)</f>
        <v>55.662100456621005</v>
      </c>
      <c r="K24" s="130">
        <f>INDEX('Table 3 185 MW (NTN) 2026)'!$K$14:$K$41,MATCH($A24,'Table 3 185 MW (NTN) 2026)'!$B$14:$B$41,0),1)</f>
        <v>100.33</v>
      </c>
      <c r="L24" s="130">
        <f>INDEX('Table 3 YK Wind wS_2029'!$I$10:$I$33,MATCH($A24,'Table 3 YK Wind wS_2029'!$B$10:$B$33,0),1)</f>
        <v>67.128485637876622</v>
      </c>
      <c r="M24" s="130">
        <f>INDEX('Table 3 ID Wind wS_2032'!$I$10:$I$33,MATCH($A24,'Table 3 ID Wind wS_2032'!$B$10:$B$33,0),1)</f>
        <v>53.419322776789762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61.612221899305993</v>
      </c>
      <c r="C25" s="130">
        <f>IF($A25&lt;C$3,0,INDEX('Table 3 ID Wind_2030'!$I$10:$I$33,MATCH($A25,'Table 3 ID Wind_2030'!$B$10:$B$33,0),1))</f>
        <v>50.351591387390492</v>
      </c>
      <c r="D25" s="130">
        <f>INDEX('Table 3 PV wS YK_2024'!$I$10:$I$33,MATCH($A25,'Table 3 PV wS YK_2024'!$B$10:$B$33,0),1)</f>
        <v>57.073234984193881</v>
      </c>
      <c r="E25" s="130">
        <f>INDEX('Table 3 PV wS SO_2024'!$I$10:$I$33,MATCH($A25,'Table 3 PV wS SO_2024'!$B$10:$B$33,0),1)</f>
        <v>49.790138831234735</v>
      </c>
      <c r="F25" s="130">
        <f>INDEX('Table 3 PV wS UTN_2024'!$I$10:$I$33,MATCH($A25,'Table 3 PV wS UTN_2024'!$B$10:$B$33,0),1)</f>
        <v>48.715089731336946</v>
      </c>
      <c r="G25" s="130">
        <f>INDEX('Table 3 PV wS JB_2024'!$I$10:$I$33,MATCH($A25,'Table 3 PV wS JB_2024'!$B$10:$B$33,0),1)</f>
        <v>47.300474825164223</v>
      </c>
      <c r="H25" s="130">
        <f>INDEX('Table 3 PV wS JB_2029'!$I$10:$I$33,MATCH($A25,'Table 3 PV wS JB_2029'!$B$10:$B$33,0),1)</f>
        <v>43.147650904898441</v>
      </c>
      <c r="I25" s="130">
        <f>INDEX('Table 3 PV wS UTS_2024'!$I$10:$I$36,MATCH($A25,'Table 3 PV wS UTS_2024'!$B$10:$B$36,0),1)</f>
        <v>44.587284861257466</v>
      </c>
      <c r="J25" s="130">
        <f>INDEX('Table 3 PV wS UTS_2030'!$I$10:$I$36,MATCH($A25,'Table 3 PV wS UTS_2030'!$B$10:$B$36,0),1)</f>
        <v>56.944151738672289</v>
      </c>
      <c r="K25" s="130">
        <f>INDEX('Table 3 185 MW (NTN) 2026)'!$K$14:$K$41,MATCH($A25,'Table 3 185 MW (NTN) 2026)'!$B$14:$B$41,0),1)</f>
        <v>103.28</v>
      </c>
      <c r="L25" s="130">
        <f>INDEX('Table 3 YK Wind wS_2029'!$I$10:$I$33,MATCH($A25,'Table 3 YK Wind wS_2029'!$B$10:$B$33,0),1)</f>
        <v>68.35443479241566</v>
      </c>
      <c r="M25" s="130">
        <f>INDEX('Table 3 ID Wind wS_2032'!$I$10:$I$33,MATCH($A25,'Table 3 ID Wind wS_2032'!$B$10:$B$33,0),1)</f>
        <v>54.646663404680517</v>
      </c>
    </row>
    <row r="26" spans="1:13">
      <c r="A26" s="135">
        <f t="shared" si="0"/>
        <v>2039</v>
      </c>
      <c r="B26" s="344">
        <f>B25*(1+$N$14)</f>
        <v>63.013899947515206</v>
      </c>
      <c r="C26" s="344">
        <f t="shared" ref="C26:C40" si="1">C25*(1+$N$14)</f>
        <v>51.497090091453629</v>
      </c>
      <c r="D26" s="344">
        <f t="shared" ref="D26:D40" si="2">D25*(1+$N$14)</f>
        <v>58.371651080084298</v>
      </c>
      <c r="E26" s="344">
        <f t="shared" ref="E26:E40" si="3">E25*(1+$N$14)</f>
        <v>50.922864489645328</v>
      </c>
      <c r="F26" s="344">
        <f t="shared" ref="F26:F40" si="4">F25*(1+$N$14)</f>
        <v>49.823358022724861</v>
      </c>
      <c r="G26" s="344">
        <f t="shared" ref="G26:G40" si="5">G25*(1+$N$14)</f>
        <v>48.37656062743671</v>
      </c>
      <c r="H26" s="344">
        <f t="shared" ref="H26:H40" si="6">H25*(1+$N$14)</f>
        <v>44.129259962984882</v>
      </c>
      <c r="I26" s="344">
        <f t="shared" ref="I26:I40" si="7">I25*(1+$N$14)</f>
        <v>45.601645591851074</v>
      </c>
      <c r="J26" s="344">
        <f t="shared" ref="J26:J40" si="8">J25*(1+$N$14)</f>
        <v>58.239631190727088</v>
      </c>
      <c r="K26" s="344">
        <f t="shared" ref="K26:K40" si="9">K25*(1+$N$14)</f>
        <v>105.62962</v>
      </c>
      <c r="L26" s="344">
        <f t="shared" ref="L26:L40" si="10">L25*(1+$N$14)</f>
        <v>69.909498183943114</v>
      </c>
      <c r="M26" s="344">
        <f t="shared" ref="M26:M46" si="11">M25*(1+$N$14)</f>
        <v>55.889874997136999</v>
      </c>
    </row>
    <row r="27" spans="1:13">
      <c r="A27" s="135">
        <f t="shared" si="0"/>
        <v>2040</v>
      </c>
      <c r="B27" s="344">
        <f t="shared" ref="B27:B40" si="12">B26*(1+$N$14)</f>
        <v>64.447466171321182</v>
      </c>
      <c r="C27" s="344">
        <f t="shared" si="1"/>
        <v>52.668648891034202</v>
      </c>
      <c r="D27" s="344">
        <f t="shared" si="2"/>
        <v>59.69960614215622</v>
      </c>
      <c r="E27" s="344">
        <f t="shared" si="3"/>
        <v>52.081359656784763</v>
      </c>
      <c r="F27" s="344">
        <f t="shared" si="4"/>
        <v>50.956839417741854</v>
      </c>
      <c r="G27" s="344">
        <f t="shared" si="5"/>
        <v>49.477127381710901</v>
      </c>
      <c r="H27" s="344">
        <f t="shared" si="6"/>
        <v>45.133200627142791</v>
      </c>
      <c r="I27" s="344">
        <f t="shared" si="7"/>
        <v>46.639083029065688</v>
      </c>
      <c r="J27" s="344">
        <f t="shared" si="8"/>
        <v>59.564582800316131</v>
      </c>
      <c r="K27" s="344">
        <f t="shared" si="9"/>
        <v>108.03269385500001</v>
      </c>
      <c r="L27" s="344">
        <f t="shared" si="10"/>
        <v>71.499939267627823</v>
      </c>
      <c r="M27" s="344">
        <f t="shared" si="11"/>
        <v>57.16136965332187</v>
      </c>
    </row>
    <row r="28" spans="1:13">
      <c r="A28" s="135">
        <f t="shared" si="0"/>
        <v>2041</v>
      </c>
      <c r="B28" s="344">
        <f t="shared" si="12"/>
        <v>65.913646026718737</v>
      </c>
      <c r="C28" s="344">
        <f t="shared" si="1"/>
        <v>53.866860653305231</v>
      </c>
      <c r="D28" s="344">
        <f t="shared" si="2"/>
        <v>61.057772181890279</v>
      </c>
      <c r="E28" s="344">
        <f t="shared" si="3"/>
        <v>53.26621058897662</v>
      </c>
      <c r="F28" s="344">
        <f t="shared" si="4"/>
        <v>52.116107514495482</v>
      </c>
      <c r="G28" s="344">
        <f t="shared" si="5"/>
        <v>50.602732029644827</v>
      </c>
      <c r="H28" s="344">
        <f t="shared" si="6"/>
        <v>46.159980941410289</v>
      </c>
      <c r="I28" s="344">
        <f t="shared" si="7"/>
        <v>47.700122167976936</v>
      </c>
      <c r="J28" s="344">
        <f t="shared" si="8"/>
        <v>60.919677059023329</v>
      </c>
      <c r="K28" s="344">
        <f t="shared" si="9"/>
        <v>110.49043764020126</v>
      </c>
      <c r="L28" s="344">
        <f t="shared" si="10"/>
        <v>73.126562885966365</v>
      </c>
      <c r="M28" s="344">
        <f t="shared" si="11"/>
        <v>58.461790812934943</v>
      </c>
    </row>
    <row r="29" spans="1:13">
      <c r="A29" s="135">
        <f t="shared" si="0"/>
        <v>2042</v>
      </c>
      <c r="B29" s="344">
        <f t="shared" si="12"/>
        <v>67.413181473826597</v>
      </c>
      <c r="C29" s="344">
        <f t="shared" si="1"/>
        <v>55.092331733167924</v>
      </c>
      <c r="D29" s="344">
        <f t="shared" si="2"/>
        <v>62.446836499028286</v>
      </c>
      <c r="E29" s="344">
        <f t="shared" si="3"/>
        <v>54.478016879875838</v>
      </c>
      <c r="F29" s="344">
        <f t="shared" si="4"/>
        <v>53.301748960450254</v>
      </c>
      <c r="G29" s="344">
        <f t="shared" si="5"/>
        <v>51.753944183319248</v>
      </c>
      <c r="H29" s="344">
        <f t="shared" si="6"/>
        <v>47.210120507827376</v>
      </c>
      <c r="I29" s="344">
        <f t="shared" si="7"/>
        <v>48.785299947298412</v>
      </c>
      <c r="J29" s="344">
        <f t="shared" si="8"/>
        <v>62.305599712116113</v>
      </c>
      <c r="K29" s="344">
        <f t="shared" si="9"/>
        <v>113.00409509651585</v>
      </c>
      <c r="L29" s="344">
        <f t="shared" si="10"/>
        <v>74.790192191622097</v>
      </c>
      <c r="M29" s="344">
        <f t="shared" si="11"/>
        <v>59.791796553929217</v>
      </c>
    </row>
    <row r="30" spans="1:13">
      <c r="A30" s="135">
        <f t="shared" si="0"/>
        <v>2043</v>
      </c>
      <c r="B30" s="344">
        <f t="shared" si="12"/>
        <v>68.946831352356156</v>
      </c>
      <c r="C30" s="344">
        <f t="shared" si="1"/>
        <v>56.345682280097499</v>
      </c>
      <c r="D30" s="344">
        <f t="shared" si="2"/>
        <v>63.867502029381185</v>
      </c>
      <c r="E30" s="344">
        <f t="shared" si="3"/>
        <v>55.717391763893019</v>
      </c>
      <c r="F30" s="344">
        <f t="shared" si="4"/>
        <v>54.5143637493005</v>
      </c>
      <c r="G30" s="344">
        <f t="shared" si="5"/>
        <v>52.931346413489763</v>
      </c>
      <c r="H30" s="344">
        <f t="shared" si="6"/>
        <v>48.284150749380451</v>
      </c>
      <c r="I30" s="344">
        <f t="shared" si="7"/>
        <v>49.89516552109945</v>
      </c>
      <c r="J30" s="344">
        <f t="shared" si="8"/>
        <v>63.723052105566758</v>
      </c>
      <c r="K30" s="344">
        <f t="shared" si="9"/>
        <v>115.5749382599616</v>
      </c>
      <c r="L30" s="344">
        <f t="shared" si="10"/>
        <v>76.491669063981504</v>
      </c>
      <c r="M30" s="344">
        <f t="shared" si="11"/>
        <v>61.152059925531113</v>
      </c>
    </row>
    <row r="31" spans="1:13">
      <c r="A31" s="135">
        <f t="shared" si="0"/>
        <v>2044</v>
      </c>
      <c r="B31" s="344">
        <f t="shared" si="12"/>
        <v>70.515371765622263</v>
      </c>
      <c r="C31" s="344">
        <f t="shared" si="1"/>
        <v>57.627546551969722</v>
      </c>
      <c r="D31" s="344">
        <f t="shared" si="2"/>
        <v>65.320487700549606</v>
      </c>
      <c r="E31" s="344">
        <f t="shared" si="3"/>
        <v>56.984962426521591</v>
      </c>
      <c r="F31" s="344">
        <f t="shared" si="4"/>
        <v>55.754565524597091</v>
      </c>
      <c r="G31" s="344">
        <f t="shared" si="5"/>
        <v>54.135534544396656</v>
      </c>
      <c r="H31" s="344">
        <f t="shared" si="6"/>
        <v>49.382615178928859</v>
      </c>
      <c r="I31" s="344">
        <f t="shared" si="7"/>
        <v>51.030280536704467</v>
      </c>
      <c r="J31" s="344">
        <f t="shared" si="8"/>
        <v>65.172751540968406</v>
      </c>
      <c r="K31" s="344">
        <f t="shared" si="9"/>
        <v>118.20426810537573</v>
      </c>
      <c r="L31" s="344">
        <f t="shared" si="10"/>
        <v>78.231854535187082</v>
      </c>
      <c r="M31" s="344">
        <f t="shared" si="11"/>
        <v>62.543269288836946</v>
      </c>
    </row>
    <row r="32" spans="1:13">
      <c r="A32" s="135">
        <f t="shared" si="0"/>
        <v>2045</v>
      </c>
      <c r="B32" s="344">
        <f t="shared" si="12"/>
        <v>72.119596473290173</v>
      </c>
      <c r="C32" s="344">
        <f t="shared" si="1"/>
        <v>58.93857323602704</v>
      </c>
      <c r="D32" s="344">
        <f t="shared" si="2"/>
        <v>66.806528795737108</v>
      </c>
      <c r="E32" s="344">
        <f t="shared" si="3"/>
        <v>58.281370321724957</v>
      </c>
      <c r="F32" s="344">
        <f t="shared" si="4"/>
        <v>57.022981890281677</v>
      </c>
      <c r="G32" s="344">
        <f t="shared" si="5"/>
        <v>55.367117955281685</v>
      </c>
      <c r="H32" s="344">
        <f t="shared" si="6"/>
        <v>50.506069674249495</v>
      </c>
      <c r="I32" s="344">
        <f t="shared" si="7"/>
        <v>52.191219418914493</v>
      </c>
      <c r="J32" s="344">
        <f t="shared" si="8"/>
        <v>66.655431638525442</v>
      </c>
      <c r="K32" s="344">
        <f t="shared" si="9"/>
        <v>120.89341520477304</v>
      </c>
      <c r="L32" s="344">
        <f t="shared" si="10"/>
        <v>80.011629225862592</v>
      </c>
      <c r="M32" s="344">
        <f t="shared" si="11"/>
        <v>63.966128665157989</v>
      </c>
    </row>
    <row r="33" spans="1:13">
      <c r="A33" s="135">
        <f t="shared" si="0"/>
        <v>2046</v>
      </c>
      <c r="B33" s="344">
        <f t="shared" si="12"/>
        <v>73.760317293057525</v>
      </c>
      <c r="C33" s="344">
        <f t="shared" si="1"/>
        <v>60.279425777146656</v>
      </c>
      <c r="D33" s="344">
        <f t="shared" si="2"/>
        <v>68.326377325840127</v>
      </c>
      <c r="E33" s="344">
        <f t="shared" si="3"/>
        <v>59.6072714965442</v>
      </c>
      <c r="F33" s="344">
        <f t="shared" si="4"/>
        <v>58.32025472828559</v>
      </c>
      <c r="G33" s="344">
        <f t="shared" si="5"/>
        <v>56.626719888764349</v>
      </c>
      <c r="H33" s="344">
        <f t="shared" si="6"/>
        <v>51.655082759338676</v>
      </c>
      <c r="I33" s="344">
        <f t="shared" si="7"/>
        <v>53.378569660694801</v>
      </c>
      <c r="J33" s="344">
        <f t="shared" si="8"/>
        <v>68.171842708301895</v>
      </c>
      <c r="K33" s="344">
        <f t="shared" si="9"/>
        <v>123.64374040068162</v>
      </c>
      <c r="L33" s="344">
        <f t="shared" si="10"/>
        <v>81.831893790750968</v>
      </c>
      <c r="M33" s="344">
        <f t="shared" si="11"/>
        <v>65.421358092290333</v>
      </c>
    </row>
    <row r="34" spans="1:13">
      <c r="A34" s="135">
        <f t="shared" si="0"/>
        <v>2047</v>
      </c>
      <c r="B34" s="344">
        <f t="shared" si="12"/>
        <v>75.438364511474589</v>
      </c>
      <c r="C34" s="344">
        <f t="shared" si="1"/>
        <v>61.650782713576746</v>
      </c>
      <c r="D34" s="344">
        <f t="shared" si="2"/>
        <v>69.880802410003</v>
      </c>
      <c r="E34" s="344">
        <f t="shared" si="3"/>
        <v>60.963336923090587</v>
      </c>
      <c r="F34" s="344">
        <f t="shared" si="4"/>
        <v>59.647040523354093</v>
      </c>
      <c r="G34" s="344">
        <f t="shared" si="5"/>
        <v>57.91497776623374</v>
      </c>
      <c r="H34" s="344">
        <f t="shared" si="6"/>
        <v>52.830235892113635</v>
      </c>
      <c r="I34" s="344">
        <f t="shared" si="7"/>
        <v>54.592932120475609</v>
      </c>
      <c r="J34" s="344">
        <f t="shared" si="8"/>
        <v>69.722752129915762</v>
      </c>
      <c r="K34" s="344">
        <f t="shared" si="9"/>
        <v>126.45663549479714</v>
      </c>
      <c r="L34" s="344">
        <f t="shared" si="10"/>
        <v>83.693569374490551</v>
      </c>
      <c r="M34" s="344">
        <f t="shared" si="11"/>
        <v>66.909693988889941</v>
      </c>
    </row>
    <row r="35" spans="1:13">
      <c r="A35" s="135">
        <f t="shared" si="0"/>
        <v>2048</v>
      </c>
      <c r="B35" s="344">
        <f t="shared" si="12"/>
        <v>77.154587304110635</v>
      </c>
      <c r="C35" s="344">
        <f t="shared" si="1"/>
        <v>63.053338020310619</v>
      </c>
      <c r="D35" s="344">
        <f t="shared" si="2"/>
        <v>71.470590664830567</v>
      </c>
      <c r="E35" s="344">
        <f t="shared" si="3"/>
        <v>62.350252838090903</v>
      </c>
      <c r="F35" s="344">
        <f t="shared" si="4"/>
        <v>61.004010695260405</v>
      </c>
      <c r="G35" s="344">
        <f t="shared" si="5"/>
        <v>59.23254351041556</v>
      </c>
      <c r="H35" s="344">
        <f t="shared" si="6"/>
        <v>54.032123758659225</v>
      </c>
      <c r="I35" s="344">
        <f t="shared" si="7"/>
        <v>55.834921326216431</v>
      </c>
      <c r="J35" s="344">
        <f t="shared" si="8"/>
        <v>71.308944740871354</v>
      </c>
      <c r="K35" s="344">
        <f t="shared" si="9"/>
        <v>129.33352395230378</v>
      </c>
      <c r="L35" s="344">
        <f t="shared" si="10"/>
        <v>85.59759807776021</v>
      </c>
      <c r="M35" s="344">
        <f t="shared" si="11"/>
        <v>68.431889527137187</v>
      </c>
    </row>
    <row r="36" spans="1:13">
      <c r="A36" s="135">
        <f t="shared" si="0"/>
        <v>2049</v>
      </c>
      <c r="B36" s="344">
        <f t="shared" si="12"/>
        <v>78.909854165279157</v>
      </c>
      <c r="C36" s="344">
        <f t="shared" si="1"/>
        <v>64.487801460272692</v>
      </c>
      <c r="D36" s="344">
        <f t="shared" si="2"/>
        <v>73.096546602455462</v>
      </c>
      <c r="E36" s="344">
        <f t="shared" si="3"/>
        <v>63.768721090157477</v>
      </c>
      <c r="F36" s="344">
        <f t="shared" si="4"/>
        <v>62.391851938577581</v>
      </c>
      <c r="G36" s="344">
        <f t="shared" si="5"/>
        <v>60.580083875277516</v>
      </c>
      <c r="H36" s="344">
        <f t="shared" si="6"/>
        <v>55.261354574168728</v>
      </c>
      <c r="I36" s="344">
        <f t="shared" si="7"/>
        <v>57.105165786387857</v>
      </c>
      <c r="J36" s="344">
        <f t="shared" si="8"/>
        <v>72.931223233726186</v>
      </c>
      <c r="K36" s="344">
        <f t="shared" si="9"/>
        <v>132.27586162221868</v>
      </c>
      <c r="L36" s="344">
        <f t="shared" si="10"/>
        <v>87.544943434029264</v>
      </c>
      <c r="M36" s="344">
        <f t="shared" si="11"/>
        <v>69.988715013879556</v>
      </c>
    </row>
    <row r="37" spans="1:13">
      <c r="A37" s="135">
        <f t="shared" si="0"/>
        <v>2050</v>
      </c>
      <c r="B37" s="344">
        <f t="shared" si="12"/>
        <v>80.705053347539263</v>
      </c>
      <c r="C37" s="344">
        <f t="shared" si="1"/>
        <v>65.954898943493902</v>
      </c>
      <c r="D37" s="344">
        <f t="shared" si="2"/>
        <v>74.759493037661329</v>
      </c>
      <c r="E37" s="344">
        <f t="shared" si="3"/>
        <v>65.219459494958556</v>
      </c>
      <c r="F37" s="344">
        <f t="shared" si="4"/>
        <v>63.811266570180223</v>
      </c>
      <c r="G37" s="344">
        <f t="shared" si="5"/>
        <v>61.958280783440081</v>
      </c>
      <c r="H37" s="344">
        <f t="shared" si="6"/>
        <v>56.518550390731072</v>
      </c>
      <c r="I37" s="344">
        <f t="shared" si="7"/>
        <v>58.404308308028185</v>
      </c>
      <c r="J37" s="344">
        <f t="shared" si="8"/>
        <v>74.590408562293462</v>
      </c>
      <c r="K37" s="344">
        <f t="shared" si="9"/>
        <v>135.28513747412416</v>
      </c>
      <c r="L37" s="344">
        <f t="shared" si="10"/>
        <v>89.536590897153431</v>
      </c>
      <c r="M37" s="344">
        <f t="shared" si="11"/>
        <v>71.580958280445316</v>
      </c>
    </row>
    <row r="38" spans="1:13">
      <c r="A38" s="135">
        <f t="shared" si="0"/>
        <v>2051</v>
      </c>
      <c r="B38" s="344">
        <f t="shared" si="12"/>
        <v>82.54109331119578</v>
      </c>
      <c r="C38" s="344">
        <f t="shared" si="1"/>
        <v>67.455372894458392</v>
      </c>
      <c r="D38" s="344">
        <f t="shared" si="2"/>
        <v>76.460271504268121</v>
      </c>
      <c r="E38" s="344">
        <f t="shared" si="3"/>
        <v>66.703202198468873</v>
      </c>
      <c r="F38" s="344">
        <f t="shared" si="4"/>
        <v>65.26297288465183</v>
      </c>
      <c r="G38" s="344">
        <f t="shared" si="5"/>
        <v>63.367831671263346</v>
      </c>
      <c r="H38" s="344">
        <f t="shared" si="6"/>
        <v>57.804347412120208</v>
      </c>
      <c r="I38" s="344">
        <f t="shared" si="7"/>
        <v>59.733006322035827</v>
      </c>
      <c r="J38" s="344">
        <f t="shared" si="8"/>
        <v>76.28734035708564</v>
      </c>
      <c r="K38" s="344">
        <f t="shared" si="9"/>
        <v>138.36287435166048</v>
      </c>
      <c r="L38" s="344">
        <f t="shared" si="10"/>
        <v>91.573548340063681</v>
      </c>
      <c r="M38" s="344">
        <f t="shared" si="11"/>
        <v>73.209425081325449</v>
      </c>
    </row>
    <row r="39" spans="1:13">
      <c r="A39" s="135">
        <f t="shared" si="0"/>
        <v>2052</v>
      </c>
      <c r="B39" s="344">
        <f t="shared" si="12"/>
        <v>84.418903184025481</v>
      </c>
      <c r="C39" s="344">
        <f t="shared" si="1"/>
        <v>68.989982627807322</v>
      </c>
      <c r="D39" s="344">
        <f t="shared" si="2"/>
        <v>78.199742680990227</v>
      </c>
      <c r="E39" s="344">
        <f t="shared" si="3"/>
        <v>68.220700048484048</v>
      </c>
      <c r="F39" s="344">
        <f t="shared" si="4"/>
        <v>66.747705517777661</v>
      </c>
      <c r="G39" s="344">
        <f t="shared" si="5"/>
        <v>64.809449841784584</v>
      </c>
      <c r="H39" s="344">
        <f t="shared" si="6"/>
        <v>59.119396315745945</v>
      </c>
      <c r="I39" s="344">
        <f t="shared" si="7"/>
        <v>61.091932215862144</v>
      </c>
      <c r="J39" s="344">
        <f t="shared" si="8"/>
        <v>78.022877350209342</v>
      </c>
      <c r="K39" s="344">
        <f t="shared" si="9"/>
        <v>141.51062974316076</v>
      </c>
      <c r="L39" s="344">
        <f t="shared" si="10"/>
        <v>93.656846564800134</v>
      </c>
      <c r="M39" s="344">
        <f t="shared" si="11"/>
        <v>74.87493950192561</v>
      </c>
    </row>
    <row r="40" spans="1:13">
      <c r="A40" s="135">
        <f t="shared" si="0"/>
        <v>2053</v>
      </c>
      <c r="B40" s="344">
        <f t="shared" si="12"/>
        <v>86.339433231462067</v>
      </c>
      <c r="C40" s="344">
        <f t="shared" si="1"/>
        <v>70.559504732589943</v>
      </c>
      <c r="D40" s="344">
        <f t="shared" si="2"/>
        <v>79.978786826982756</v>
      </c>
      <c r="E40" s="344">
        <f t="shared" si="3"/>
        <v>69.77272097458706</v>
      </c>
      <c r="F40" s="344">
        <f t="shared" si="4"/>
        <v>68.266215818307103</v>
      </c>
      <c r="G40" s="344">
        <f t="shared" si="5"/>
        <v>66.283864825685185</v>
      </c>
      <c r="H40" s="344">
        <f t="shared" si="6"/>
        <v>60.464362581929166</v>
      </c>
      <c r="I40" s="344">
        <f t="shared" si="7"/>
        <v>62.481773673773013</v>
      </c>
      <c r="J40" s="344">
        <f t="shared" si="8"/>
        <v>79.79789780992661</v>
      </c>
      <c r="K40" s="344">
        <f t="shared" si="9"/>
        <v>144.72999656981767</v>
      </c>
      <c r="L40" s="344">
        <f t="shared" si="10"/>
        <v>95.787539824149334</v>
      </c>
      <c r="M40" s="344">
        <f t="shared" si="11"/>
        <v>76.578344375594426</v>
      </c>
    </row>
    <row r="41" spans="1:13">
      <c r="A41" s="135">
        <f t="shared" si="0"/>
        <v>2054</v>
      </c>
      <c r="B41" s="344"/>
      <c r="C41" s="344">
        <f t="shared" ref="C41:C46" si="13">C40*(1+$N$14)</f>
        <v>72.164733465256361</v>
      </c>
      <c r="D41" s="344"/>
      <c r="E41" s="344"/>
      <c r="F41" s="344"/>
      <c r="G41" s="344"/>
      <c r="H41" s="344">
        <f t="shared" ref="H41:H45" si="14">H40*(1+$N$14)</f>
        <v>61.839926830668055</v>
      </c>
      <c r="I41" s="344"/>
      <c r="J41" s="344">
        <f t="shared" ref="J41:J46" si="15">J40*(1+$N$14)</f>
        <v>81.613299985102444</v>
      </c>
      <c r="K41" s="344">
        <f>K40*(1+$N$14)</f>
        <v>148.02260399178104</v>
      </c>
      <c r="L41" s="344">
        <f>L40*(1+$N$14)</f>
        <v>97.96670635514873</v>
      </c>
      <c r="M41" s="344">
        <f t="shared" si="11"/>
        <v>78.320501710139197</v>
      </c>
    </row>
    <row r="42" spans="1:13">
      <c r="A42" s="135">
        <f t="shared" si="0"/>
        <v>2055</v>
      </c>
      <c r="B42" s="344"/>
      <c r="C42" s="344">
        <f t="shared" si="13"/>
        <v>73.806481151590944</v>
      </c>
      <c r="D42" s="344"/>
      <c r="E42" s="344"/>
      <c r="F42" s="344"/>
      <c r="G42" s="344"/>
      <c r="H42" s="344">
        <f t="shared" si="14"/>
        <v>63.246785166065756</v>
      </c>
      <c r="I42" s="344"/>
      <c r="J42" s="344">
        <f t="shared" si="15"/>
        <v>83.470002559763529</v>
      </c>
      <c r="K42" s="344">
        <f>K41*(1+$N$14)</f>
        <v>151.39011823259406</v>
      </c>
      <c r="L42" s="344">
        <f>L41*(1+$N$14)</f>
        <v>100.19544892472837</v>
      </c>
      <c r="M42" s="344">
        <f t="shared" si="11"/>
        <v>80.102293124044863</v>
      </c>
    </row>
    <row r="43" spans="1:13">
      <c r="A43" s="135">
        <f t="shared" si="0"/>
        <v>2056</v>
      </c>
      <c r="B43" s="344"/>
      <c r="C43" s="344">
        <f t="shared" si="13"/>
        <v>75.48557859778964</v>
      </c>
      <c r="D43" s="344"/>
      <c r="E43" s="344"/>
      <c r="F43" s="344"/>
      <c r="G43" s="344"/>
      <c r="H43" s="344">
        <f t="shared" si="14"/>
        <v>64.685649528593757</v>
      </c>
      <c r="I43" s="344"/>
      <c r="J43" s="344">
        <f t="shared" si="15"/>
        <v>85.368945117998152</v>
      </c>
      <c r="K43" s="349"/>
      <c r="L43" s="344">
        <f>L42*(1+$N$14)</f>
        <v>102.47489538776594</v>
      </c>
      <c r="M43" s="344">
        <f t="shared" si="11"/>
        <v>81.924620292616893</v>
      </c>
    </row>
    <row r="44" spans="1:13">
      <c r="A44" s="135">
        <f t="shared" si="0"/>
        <v>2057</v>
      </c>
      <c r="B44" s="344"/>
      <c r="C44" s="344">
        <f t="shared" si="13"/>
        <v>77.202875510889356</v>
      </c>
      <c r="D44" s="344"/>
      <c r="E44" s="344"/>
      <c r="F44" s="344"/>
      <c r="G44" s="344"/>
      <c r="H44" s="344">
        <f t="shared" si="14"/>
        <v>66.157248055369266</v>
      </c>
      <c r="I44" s="344"/>
      <c r="J44" s="344">
        <f t="shared" si="15"/>
        <v>87.31108861943261</v>
      </c>
      <c r="K44" s="349"/>
      <c r="L44" s="344">
        <f>L43*(1+$N$14)</f>
        <v>104.80619925783762</v>
      </c>
      <c r="M44" s="344">
        <f t="shared" si="11"/>
        <v>83.788405404273931</v>
      </c>
    </row>
    <row r="45" spans="1:13">
      <c r="A45" s="135">
        <f t="shared" si="0"/>
        <v>2058</v>
      </c>
      <c r="B45" s="344"/>
      <c r="C45" s="344">
        <f t="shared" si="13"/>
        <v>78.9592409287621</v>
      </c>
      <c r="D45" s="344"/>
      <c r="E45" s="344"/>
      <c r="F45" s="344"/>
      <c r="G45" s="344"/>
      <c r="H45" s="344">
        <f t="shared" si="14"/>
        <v>67.66232544862892</v>
      </c>
      <c r="I45" s="344"/>
      <c r="J45" s="344">
        <f t="shared" si="15"/>
        <v>89.2974158855247</v>
      </c>
      <c r="K45" s="349"/>
      <c r="L45" s="344">
        <f>L44*(1+$N$14)</f>
        <v>107.19054029095344</v>
      </c>
      <c r="M45" s="344">
        <f t="shared" si="11"/>
        <v>85.694591627221172</v>
      </c>
    </row>
    <row r="46" spans="1:13">
      <c r="A46" s="135">
        <f t="shared" si="0"/>
        <v>2059</v>
      </c>
      <c r="B46" s="344"/>
      <c r="C46" s="344">
        <f t="shared" si="13"/>
        <v>80.755563659891436</v>
      </c>
      <c r="D46" s="344"/>
      <c r="E46" s="344"/>
      <c r="F46" s="344"/>
      <c r="G46" s="344"/>
      <c r="H46" s="344"/>
      <c r="I46" s="344"/>
      <c r="J46" s="344">
        <f t="shared" si="15"/>
        <v>91.328932096920397</v>
      </c>
      <c r="K46" s="349"/>
      <c r="L46" s="349"/>
      <c r="M46" s="344">
        <f t="shared" si="11"/>
        <v>87.644143586740455</v>
      </c>
    </row>
    <row r="47" spans="1:13">
      <c r="A47" s="135">
        <f t="shared" ref="A47:A48" si="16">A46+1</f>
        <v>2060</v>
      </c>
      <c r="B47" s="344"/>
      <c r="C47" s="344">
        <f t="shared" ref="C47:C48" si="17">C46*(1+$N$14)</f>
        <v>82.592752733153972</v>
      </c>
      <c r="D47" s="344"/>
      <c r="E47" s="344"/>
      <c r="F47" s="344"/>
      <c r="G47" s="344"/>
      <c r="H47" s="344"/>
      <c r="I47" s="344"/>
      <c r="J47" s="344"/>
      <c r="K47" s="349"/>
      <c r="L47" s="349"/>
      <c r="M47" s="344">
        <f t="shared" ref="M47:M48" si="18">M46*(1+$N$14)</f>
        <v>89.638047853338804</v>
      </c>
    </row>
    <row r="48" spans="1:13">
      <c r="A48" s="135">
        <f t="shared" si="16"/>
        <v>2061</v>
      </c>
      <c r="B48" s="344"/>
      <c r="C48" s="344">
        <f t="shared" si="17"/>
        <v>84.471737857833233</v>
      </c>
      <c r="D48" s="344"/>
      <c r="E48" s="344"/>
      <c r="F48" s="344"/>
      <c r="G48" s="344"/>
      <c r="H48" s="344"/>
      <c r="I48" s="344"/>
      <c r="J48" s="344"/>
      <c r="K48" s="349"/>
      <c r="L48" s="349"/>
      <c r="M48" s="344">
        <f t="shared" si="18"/>
        <v>91.677313442002273</v>
      </c>
    </row>
    <row r="49" spans="1:13" ht="12" customHeight="1">
      <c r="A49" s="135"/>
    </row>
    <row r="50" spans="1:13" ht="12" customHeight="1">
      <c r="A50" s="345" t="s">
        <v>161</v>
      </c>
      <c r="B50" s="346">
        <f>PMT(Discount_Rate,30,-NPV(Discount_Rate,Table3ACsummary!B$11:B$40))</f>
        <v>44.019262809575764</v>
      </c>
      <c r="C50" s="346">
        <f>PMT(Discount_Rate,30,-NPV(Discount_Rate,Table3ACsummary!C$17:C$46))</f>
        <v>53.248660446080905</v>
      </c>
      <c r="D50" s="346">
        <f>PMT(Discount_Rate,30,-NPV(Discount_Rate,Table3ACsummary!D$11:D$40))</f>
        <v>52.601097091796071</v>
      </c>
      <c r="E50" s="346">
        <f>PMT(Discount_Rate,30,-NPV(Discount_Rate,Table3ACsummary!E$11:E$40))</f>
        <v>45.887792201551207</v>
      </c>
      <c r="F50" s="346">
        <f>PMT(Discount_Rate,30,-NPV(Discount_Rate,Table3ACsummary!F$11:F$40))</f>
        <v>44.894070202097502</v>
      </c>
      <c r="G50" s="346">
        <f>PMT(Discount_Rate,30,-NPV(Discount_Rate,Table3ACsummary!G$11:G$40))</f>
        <v>43.59126007978621</v>
      </c>
      <c r="H50" s="346">
        <f>PMT(Discount_Rate,30,-NPV(Discount_Rate,Table3ACsummary!H$16:H$45))</f>
        <v>44.594060670905492</v>
      </c>
      <c r="I50" s="346">
        <f>PMT(Discount_Rate,30,-NPV(Discount_Rate,Table3ACsummary!I$11:I$40))</f>
        <v>41.091678956909441</v>
      </c>
      <c r="J50" s="346">
        <f>PMT(Discount_Rate,30,-NPV(Discount_Rate,Table3ACsummary!J$11:J$40))</f>
        <v>53.608612762797179</v>
      </c>
      <c r="K50" s="346">
        <f>PMT(Discount_Rate,30,-NPV(Discount_Rate,Table3ACsummary!K$13:K$42))</f>
        <v>98.323260890936652</v>
      </c>
      <c r="L50" s="346">
        <f>PMT(Discount_Rate,30,-NPV(Discount_Rate,Table3ACsummary!L$16:L$45))</f>
        <v>71.192576388331148</v>
      </c>
      <c r="M50" s="346">
        <f>PMT(Discount_Rate,30,-NPV(Discount_Rate,Table3ACsummary!M$19:M$48))</f>
        <v>60.463698380225445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5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B13" sqref="B13"/>
    </sheetView>
  </sheetViews>
  <sheetFormatPr defaultColWidth="9.33203125" defaultRowHeight="12.75" outlineLevelRow="1"/>
  <cols>
    <col min="1" max="1" width="18.33203125" style="56" customWidth="1"/>
    <col min="2" max="2" width="22.83203125" style="56" customWidth="1"/>
    <col min="3" max="3" width="18.1640625" style="56" customWidth="1"/>
    <col min="4" max="5" width="18.33203125" style="56" customWidth="1"/>
    <col min="6" max="7" width="16.1640625" style="56" customWidth="1"/>
    <col min="8" max="8" width="3.83203125" style="56" customWidth="1"/>
    <col min="9" max="9" width="9.3320312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2021.Q1_Solar - 80.0 MW and 32.2% CF</v>
      </c>
      <c r="C4" s="83"/>
      <c r="D4" s="83"/>
      <c r="E4" s="83"/>
      <c r="F4" s="83"/>
      <c r="G4" s="83"/>
      <c r="K4" s="56">
        <f>MIN(K13:K24)</f>
        <v>44197</v>
      </c>
      <c r="M4" s="391" t="s">
        <v>251</v>
      </c>
      <c r="P4" s="218" t="s">
        <v>231</v>
      </c>
      <c r="Q4" s="218" t="s">
        <v>232</v>
      </c>
      <c r="R4" s="218" t="s">
        <v>233</v>
      </c>
      <c r="S4" s="218" t="s">
        <v>234</v>
      </c>
    </row>
    <row r="5" spans="1:19">
      <c r="B5" s="83" t="str">
        <f>TEXT($K$5,"MMMM YYYY")&amp;"  through  "&amp;TEXT($K$6,"MMMM YYYY")</f>
        <v>January 2021  through  December 2035</v>
      </c>
      <c r="C5" s="83"/>
      <c r="D5" s="83"/>
      <c r="E5" s="83"/>
      <c r="F5" s="83"/>
      <c r="G5" s="83"/>
      <c r="J5" s="56" t="s">
        <v>38</v>
      </c>
      <c r="K5" s="188">
        <f>MIN(K13:K24)</f>
        <v>44197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EDATE(K5,15*12-1)</f>
        <v>49644</v>
      </c>
      <c r="M6" s="57">
        <v>80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S5+15*12-1</f>
        <v>192</v>
      </c>
    </row>
    <row r="7" spans="1:19">
      <c r="A7" s="107"/>
      <c r="C7" s="58"/>
      <c r="D7" s="58"/>
      <c r="E7" s="58"/>
      <c r="F7" s="380"/>
      <c r="G7" s="91"/>
      <c r="M7" s="381">
        <f ca="1">SUM(OFFSET(F12,MATCH(K5,B13:B24,0),0,12))/(EDATE(K5,12)-K5)/24/Study_MW</f>
        <v>0.32188227488944637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</v>
      </c>
      <c r="C9" s="58">
        <f ca="1">NPV($K$9,INDIRECT("C"&amp;$S$5&amp;":C"&amp;$S$6))</f>
        <v>20463728.764044393</v>
      </c>
      <c r="D9" s="58">
        <f ca="1">NPV($K$9,INDIRECT("d"&amp;$S$5&amp;":d"&amp;$S$6))</f>
        <v>17391364.452648539</v>
      </c>
      <c r="E9" s="58">
        <f ca="1">NPV($K$9,INDIRECT("e"&amp;$S$5&amp;":e"&amp;$S$6))</f>
        <v>37855093.216692954</v>
      </c>
      <c r="F9" s="380">
        <f ca="1">NPV($K$9,INDIRECT("f"&amp;$S$5&amp;":f"&amp;$S$6))</f>
        <v>2070920.6098843375</v>
      </c>
      <c r="G9" s="91">
        <f ca="1">($C9+D9)/$F9</f>
        <v>18.279355102273655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0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31.8% CF</v>
      </c>
      <c r="E12" s="66" t="s">
        <v>50</v>
      </c>
      <c r="F12" s="67" t="s">
        <v>46</v>
      </c>
      <c r="G12" s="65" t="str">
        <f>D12</f>
        <v>31.8%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44197</v>
      </c>
      <c r="C13" s="69">
        <v>214854.82921698689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214854.82921698689</v>
      </c>
      <c r="F13" s="69">
        <v>12454.06612107</v>
      </c>
      <c r="G13" s="72">
        <f t="shared" ref="G13:G17" si="1">IF(ISNUMBER($F13),E13/$F13,"")</f>
        <v>17.251781637283251</v>
      </c>
      <c r="I13" s="60">
        <v>1</v>
      </c>
      <c r="J13" s="73">
        <f>YEAR(B13)</f>
        <v>2021</v>
      </c>
      <c r="K13" s="74">
        <f t="shared" ref="K13:K24" si="2">IF(ISNUMBER(F13),B13,"")</f>
        <v>44197</v>
      </c>
      <c r="L13" s="56">
        <v>361</v>
      </c>
      <c r="M13" s="56" t="s">
        <v>49</v>
      </c>
    </row>
    <row r="14" spans="1:19">
      <c r="B14" s="78">
        <f t="shared" ref="B14:B77" si="3">EDATE(B13,1)</f>
        <v>44228</v>
      </c>
      <c r="C14" s="75">
        <v>243966.86915242672</v>
      </c>
      <c r="D14" s="71">
        <f>IF(ISNUMBER($F14),VLOOKUP($J14,'Table 1'!$B$13:$C$33,2,FALSE)/12*1000*Study_MW,"")</f>
        <v>0</v>
      </c>
      <c r="E14" s="71">
        <f t="shared" si="0"/>
        <v>243966.86915242672</v>
      </c>
      <c r="F14" s="75">
        <v>12147.1927727</v>
      </c>
      <c r="G14" s="76">
        <f t="shared" si="1"/>
        <v>20.084218116693254</v>
      </c>
      <c r="I14" s="77">
        <f>I13+1</f>
        <v>2</v>
      </c>
      <c r="J14" s="73">
        <f t="shared" ref="J14:J77" si="4">YEAR(B14)</f>
        <v>2021</v>
      </c>
      <c r="K14" s="78">
        <f t="shared" si="2"/>
        <v>44228</v>
      </c>
      <c r="L14" s="56">
        <v>462</v>
      </c>
      <c r="M14" s="90" t="s">
        <v>267</v>
      </c>
    </row>
    <row r="15" spans="1:19">
      <c r="B15" s="78">
        <f t="shared" si="3"/>
        <v>44256</v>
      </c>
      <c r="C15" s="75">
        <v>248763.67425335944</v>
      </c>
      <c r="D15" s="71">
        <f>IF(ISNUMBER($F15),VLOOKUP($J15,'Table 1'!$B$13:$C$33,2,FALSE)/12*1000*Study_MW,"")</f>
        <v>0</v>
      </c>
      <c r="E15" s="71">
        <f t="shared" si="0"/>
        <v>248763.67425335944</v>
      </c>
      <c r="F15" s="75">
        <v>16934.19331491</v>
      </c>
      <c r="G15" s="76">
        <f t="shared" si="1"/>
        <v>14.690022112498928</v>
      </c>
      <c r="I15" s="77">
        <f t="shared" ref="I15:I24" si="5">I14+1</f>
        <v>3</v>
      </c>
      <c r="J15" s="73">
        <f t="shared" si="4"/>
        <v>2021</v>
      </c>
      <c r="K15" s="78">
        <f t="shared" si="2"/>
        <v>44256</v>
      </c>
    </row>
    <row r="16" spans="1:19">
      <c r="B16" s="78">
        <f t="shared" si="3"/>
        <v>44287</v>
      </c>
      <c r="C16" s="75">
        <v>261084.198446244</v>
      </c>
      <c r="D16" s="71">
        <f>IF(ISNUMBER($F16),VLOOKUP($J16,'Table 1'!$B$13:$C$33,2,FALSE)/12*1000*Study_MW,"")</f>
        <v>0</v>
      </c>
      <c r="E16" s="71">
        <f t="shared" si="0"/>
        <v>261084.198446244</v>
      </c>
      <c r="F16" s="75">
        <v>20073.433628519</v>
      </c>
      <c r="G16" s="76">
        <f t="shared" si="1"/>
        <v>13.006454365401289</v>
      </c>
      <c r="I16" s="77">
        <f t="shared" si="5"/>
        <v>4</v>
      </c>
      <c r="J16" s="73">
        <f t="shared" si="4"/>
        <v>2021</v>
      </c>
      <c r="K16" s="78">
        <f t="shared" si="2"/>
        <v>44287</v>
      </c>
      <c r="L16" s="73">
        <f>YEAR(B13)</f>
        <v>2021</v>
      </c>
      <c r="M16" s="56">
        <f>SUMIF($J$13:$J$264,L16,$C$13:$C$264)</f>
        <v>4290501.8392131925</v>
      </c>
      <c r="N16" s="56">
        <f>SUMIF($J$13:$J$264,L16,$D$13:$D$264)</f>
        <v>0</v>
      </c>
      <c r="O16" s="56">
        <f t="shared" ref="O16:O25" si="6">SUMIF($J$13:$J$264,L16,$F$13:$F$264)</f>
        <v>225575.09824252399</v>
      </c>
      <c r="P16" s="113">
        <f t="shared" ref="P16:P25" si="7">(M16+N16)/O16</f>
        <v>19.020281372549011</v>
      </c>
      <c r="Q16" s="166">
        <f>M16/O16</f>
        <v>19.020281372549011</v>
      </c>
      <c r="R16" s="166">
        <f>IFERROR(N16/O16,0)</f>
        <v>0</v>
      </c>
    </row>
    <row r="17" spans="2:20">
      <c r="B17" s="78">
        <f t="shared" si="3"/>
        <v>44317</v>
      </c>
      <c r="C17" s="75">
        <v>365508.90423306823</v>
      </c>
      <c r="D17" s="71">
        <f>IF(ISNUMBER($F17),VLOOKUP($J17,'Table 1'!$B$13:$C$33,2,FALSE)/12*1000*Study_MW,"")</f>
        <v>0</v>
      </c>
      <c r="E17" s="71">
        <f t="shared" si="0"/>
        <v>365508.90423306823</v>
      </c>
      <c r="F17" s="75">
        <v>27469.954325530001</v>
      </c>
      <c r="G17" s="76">
        <f t="shared" si="1"/>
        <v>13.305770366475342</v>
      </c>
      <c r="I17" s="77">
        <f t="shared" si="5"/>
        <v>5</v>
      </c>
      <c r="J17" s="73">
        <f t="shared" si="4"/>
        <v>2021</v>
      </c>
      <c r="K17" s="78">
        <f t="shared" si="2"/>
        <v>44317</v>
      </c>
      <c r="L17" s="73">
        <f>L16+1</f>
        <v>2022</v>
      </c>
      <c r="M17" s="56">
        <f>SUMIF($J$13:$J$264,L17,$C$13:$C$264)</f>
        <v>4093591.452887252</v>
      </c>
      <c r="N17" s="56">
        <f t="shared" ref="N17:N36" si="8">SUMIF($J$13:$J$264,L17,$D$13:$D$264)</f>
        <v>0</v>
      </c>
      <c r="O17" s="56">
        <f t="shared" si="6"/>
        <v>224447.22200814396</v>
      </c>
      <c r="P17" s="113">
        <f t="shared" si="7"/>
        <v>18.23854809278378</v>
      </c>
      <c r="Q17" s="166">
        <f t="shared" ref="Q17:Q33" si="9">M17/O17</f>
        <v>18.23854809278378</v>
      </c>
      <c r="R17" s="166">
        <f t="shared" ref="R17:R33" si="10">IFERROR(N17/O17,0)</f>
        <v>0</v>
      </c>
    </row>
    <row r="18" spans="2:20">
      <c r="B18" s="78">
        <f t="shared" si="3"/>
        <v>44348</v>
      </c>
      <c r="C18" s="75">
        <v>397474.77115826309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397474.77115826309</v>
      </c>
      <c r="F18" s="75">
        <v>25167.392688029999</v>
      </c>
      <c r="G18" s="76">
        <f t="shared" ref="G18:G19" si="12">IF(ISNUMBER($F18),E18/$F18,"")</f>
        <v>15.793243904336116</v>
      </c>
      <c r="I18" s="77">
        <f t="shared" si="5"/>
        <v>6</v>
      </c>
      <c r="J18" s="73">
        <f t="shared" si="4"/>
        <v>2021</v>
      </c>
      <c r="K18" s="78">
        <f t="shared" si="2"/>
        <v>44348</v>
      </c>
      <c r="L18" s="73">
        <f t="shared" ref="L18:L42" si="13">L17+1</f>
        <v>2023</v>
      </c>
      <c r="M18" s="56">
        <f t="shared" ref="M18:M36" si="14">SUMIF($J$13:$J$264,L18,$C$13:$C$264)</f>
        <v>4136443.2181023657</v>
      </c>
      <c r="N18" s="56">
        <f t="shared" si="8"/>
        <v>0</v>
      </c>
      <c r="O18" s="56">
        <f t="shared" si="6"/>
        <v>223324.98583873498</v>
      </c>
      <c r="P18" s="113">
        <f t="shared" si="7"/>
        <v>18.522079840584112</v>
      </c>
      <c r="Q18" s="166">
        <f t="shared" si="9"/>
        <v>18.522079840584112</v>
      </c>
      <c r="R18" s="166">
        <f t="shared" si="10"/>
        <v>0</v>
      </c>
    </row>
    <row r="19" spans="2:20">
      <c r="B19" s="78">
        <f t="shared" si="3"/>
        <v>44378</v>
      </c>
      <c r="C19" s="75">
        <v>836241.4791456759</v>
      </c>
      <c r="D19" s="71">
        <f>IF(ISNUMBER($F19),VLOOKUP($J19,'Table 1'!$B$13:$C$33,2,FALSE)/12*1000*Study_MW,"")</f>
        <v>0</v>
      </c>
      <c r="E19" s="71">
        <f t="shared" si="11"/>
        <v>836241.4791456759</v>
      </c>
      <c r="F19" s="75">
        <v>25671.212399520002</v>
      </c>
      <c r="G19" s="76">
        <f t="shared" si="12"/>
        <v>32.575067594443333</v>
      </c>
      <c r="I19" s="77">
        <f t="shared" si="5"/>
        <v>7</v>
      </c>
      <c r="J19" s="73">
        <f t="shared" si="4"/>
        <v>2021</v>
      </c>
      <c r="K19" s="78">
        <f t="shared" si="2"/>
        <v>44378</v>
      </c>
      <c r="L19" s="73">
        <f t="shared" si="13"/>
        <v>2024</v>
      </c>
      <c r="M19" s="56">
        <f t="shared" si="14"/>
        <v>540353.95712098479</v>
      </c>
      <c r="N19" s="56">
        <f t="shared" si="8"/>
        <v>2302923.8473333078</v>
      </c>
      <c r="O19" s="56">
        <f t="shared" si="6"/>
        <v>222806.82945516502</v>
      </c>
      <c r="P19" s="113">
        <f t="shared" si="7"/>
        <v>12.761178871433291</v>
      </c>
      <c r="Q19" s="166">
        <f t="shared" si="9"/>
        <v>2.4252127210028775</v>
      </c>
      <c r="R19" s="166">
        <f t="shared" si="10"/>
        <v>10.335966150430414</v>
      </c>
    </row>
    <row r="20" spans="2:20">
      <c r="B20" s="78">
        <f t="shared" si="3"/>
        <v>44409</v>
      </c>
      <c r="C20" s="75">
        <v>662657.22970926762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662657.22970926762</v>
      </c>
      <c r="F20" s="75">
        <v>23041.309113399999</v>
      </c>
      <c r="G20" s="76">
        <f t="shared" ref="G20:G77" si="16">IF(ISNUMBER($F20),E20/$F20,"")</f>
        <v>28.759530391608259</v>
      </c>
      <c r="I20" s="77">
        <f t="shared" si="5"/>
        <v>8</v>
      </c>
      <c r="J20" s="73">
        <f t="shared" si="4"/>
        <v>2021</v>
      </c>
      <c r="K20" s="78">
        <f t="shared" si="2"/>
        <v>44409</v>
      </c>
      <c r="L20" s="73">
        <f t="shared" si="13"/>
        <v>2025</v>
      </c>
      <c r="M20" s="56">
        <f t="shared" si="14"/>
        <v>577009.76975443959</v>
      </c>
      <c r="N20" s="56">
        <f t="shared" si="8"/>
        <v>2358157.8622110533</v>
      </c>
      <c r="O20" s="56">
        <f t="shared" si="6"/>
        <v>221097.31986352298</v>
      </c>
      <c r="P20" s="113">
        <f t="shared" si="7"/>
        <v>13.275455504287828</v>
      </c>
      <c r="Q20" s="166">
        <f t="shared" si="9"/>
        <v>2.6097547003763371</v>
      </c>
      <c r="R20" s="166">
        <f t="shared" si="10"/>
        <v>10.665700803911491</v>
      </c>
    </row>
    <row r="21" spans="2:20">
      <c r="B21" s="78">
        <f t="shared" si="3"/>
        <v>44440</v>
      </c>
      <c r="C21" s="75">
        <v>392107.83123455942</v>
      </c>
      <c r="D21" s="71">
        <f>IF(ISNUMBER($F21),VLOOKUP($J21,'Table 1'!$B$13:$C$33,2,FALSE)/12*1000*Study_MW,"")</f>
        <v>0</v>
      </c>
      <c r="E21" s="71">
        <f t="shared" si="15"/>
        <v>392107.83123455942</v>
      </c>
      <c r="F21" s="75">
        <v>21985.178324010001</v>
      </c>
      <c r="G21" s="76">
        <f t="shared" si="16"/>
        <v>17.835098967850474</v>
      </c>
      <c r="I21" s="77">
        <f t="shared" si="5"/>
        <v>9</v>
      </c>
      <c r="J21" s="73">
        <f t="shared" si="4"/>
        <v>2021</v>
      </c>
      <c r="K21" s="78">
        <f t="shared" si="2"/>
        <v>44440</v>
      </c>
      <c r="L21" s="73">
        <f t="shared" si="13"/>
        <v>2026</v>
      </c>
      <c r="M21" s="56">
        <f t="shared" si="14"/>
        <v>679719.85062485933</v>
      </c>
      <c r="N21" s="56">
        <f t="shared" si="8"/>
        <v>2417080.9912302303</v>
      </c>
      <c r="O21" s="56">
        <f t="shared" si="6"/>
        <v>219991.83323326102</v>
      </c>
      <c r="P21" s="113">
        <f t="shared" si="7"/>
        <v>14.076890020601356</v>
      </c>
      <c r="Q21" s="166">
        <f t="shared" si="9"/>
        <v>3.0897503813432068</v>
      </c>
      <c r="R21" s="166">
        <f t="shared" si="10"/>
        <v>10.98713963925815</v>
      </c>
    </row>
    <row r="22" spans="2:20">
      <c r="B22" s="78">
        <f t="shared" si="3"/>
        <v>44470</v>
      </c>
      <c r="C22" s="75">
        <v>285227.10603407025</v>
      </c>
      <c r="D22" s="71">
        <f>IF(ISNUMBER($F22),VLOOKUP($J22,'Table 1'!$B$13:$C$33,2,FALSE)/12*1000*Study_MW,"")</f>
        <v>0</v>
      </c>
      <c r="E22" s="71">
        <f t="shared" si="15"/>
        <v>285227.10603407025</v>
      </c>
      <c r="F22" s="75">
        <v>18369.574849285</v>
      </c>
      <c r="G22" s="76">
        <f t="shared" si="16"/>
        <v>15.527147926625648</v>
      </c>
      <c r="I22" s="77">
        <f t="shared" si="5"/>
        <v>10</v>
      </c>
      <c r="J22" s="73">
        <f t="shared" si="4"/>
        <v>2021</v>
      </c>
      <c r="K22" s="78">
        <f t="shared" si="2"/>
        <v>44470</v>
      </c>
      <c r="L22" s="73">
        <f t="shared" si="13"/>
        <v>2027</v>
      </c>
      <c r="M22" s="56">
        <f t="shared" si="14"/>
        <v>824962.2847122401</v>
      </c>
      <c r="N22" s="56">
        <f t="shared" si="8"/>
        <v>2477483.3619821086</v>
      </c>
      <c r="O22" s="56">
        <f t="shared" si="6"/>
        <v>218891.87344765302</v>
      </c>
      <c r="P22" s="113">
        <f t="shared" si="7"/>
        <v>15.087109423841234</v>
      </c>
      <c r="Q22" s="166">
        <f t="shared" si="9"/>
        <v>3.7688118417494656</v>
      </c>
      <c r="R22" s="166">
        <f t="shared" si="10"/>
        <v>11.318297582091768</v>
      </c>
    </row>
    <row r="23" spans="2:20">
      <c r="B23" s="78">
        <f t="shared" si="3"/>
        <v>44501</v>
      </c>
      <c r="C23" s="75">
        <v>211964.06524632871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211964.06524632871</v>
      </c>
      <c r="F23" s="75">
        <v>12982.604379099999</v>
      </c>
      <c r="G23" s="76">
        <f t="shared" ref="G23" si="18">IF(ISNUMBER($F23),E23/$F23,"")</f>
        <v>16.326775356996809</v>
      </c>
      <c r="I23" s="77">
        <f t="shared" si="5"/>
        <v>11</v>
      </c>
      <c r="J23" s="73">
        <f t="shared" si="4"/>
        <v>2021</v>
      </c>
      <c r="K23" s="78">
        <f t="shared" si="2"/>
        <v>44501</v>
      </c>
      <c r="L23" s="73">
        <f t="shared" si="13"/>
        <v>2028</v>
      </c>
      <c r="M23" s="56">
        <f t="shared" si="14"/>
        <v>1827135.2911458611</v>
      </c>
      <c r="N23" s="56">
        <f t="shared" si="8"/>
        <v>2536899.5715788528</v>
      </c>
      <c r="O23" s="56">
        <f t="shared" si="6"/>
        <v>218384.00168653904</v>
      </c>
      <c r="P23" s="113">
        <f t="shared" si="7"/>
        <v>19.983308433869169</v>
      </c>
      <c r="Q23" s="166">
        <f t="shared" si="9"/>
        <v>8.3666169547001381</v>
      </c>
      <c r="R23" s="166">
        <f t="shared" si="10"/>
        <v>11.616691479169029</v>
      </c>
      <c r="T23" s="41">
        <v>2.1999999999999999E-2</v>
      </c>
    </row>
    <row r="24" spans="2:20">
      <c r="B24" s="82">
        <f t="shared" si="3"/>
        <v>44531</v>
      </c>
      <c r="C24" s="79">
        <v>170650.8813829422</v>
      </c>
      <c r="D24" s="80">
        <f>IF(F24&lt;&gt;0,VLOOKUP($J24,'Table 1'!$B$13:$C$33,2,FALSE)/12*1000*Study_MW,0)</f>
        <v>0</v>
      </c>
      <c r="E24" s="80">
        <f t="shared" ref="E24" si="19">IF(ISNUMBER(C24+D24),C24+D24,"")</f>
        <v>170650.8813829422</v>
      </c>
      <c r="F24" s="79">
        <v>9278.98632645</v>
      </c>
      <c r="G24" s="81">
        <f t="shared" ref="G24" si="20">IF(ISNUMBER($F24),E24/$F24,"")</f>
        <v>18.391112496469283</v>
      </c>
      <c r="I24" s="64">
        <f t="shared" si="5"/>
        <v>12</v>
      </c>
      <c r="J24" s="73">
        <f t="shared" si="4"/>
        <v>2021</v>
      </c>
      <c r="K24" s="82">
        <f t="shared" si="2"/>
        <v>44531</v>
      </c>
      <c r="L24" s="73">
        <f t="shared" si="13"/>
        <v>2029</v>
      </c>
      <c r="M24" s="56">
        <f t="shared" si="14"/>
        <v>2032609.6569692343</v>
      </c>
      <c r="N24" s="56">
        <f t="shared" si="8"/>
        <v>2597795.0229082964</v>
      </c>
      <c r="O24" s="56">
        <f t="shared" si="6"/>
        <v>216708.42804061002</v>
      </c>
      <c r="P24" s="113">
        <f t="shared" si="7"/>
        <v>21.366980148136268</v>
      </c>
      <c r="Q24" s="166">
        <f t="shared" si="9"/>
        <v>9.3794674962449278</v>
      </c>
      <c r="R24" s="166">
        <f t="shared" si="10"/>
        <v>11.98751265189134</v>
      </c>
    </row>
    <row r="25" spans="2:20" hidden="1" outlineLevel="1">
      <c r="B25" s="74">
        <f t="shared" si="3"/>
        <v>44562</v>
      </c>
      <c r="C25" s="69">
        <v>292486.48407423496</v>
      </c>
      <c r="D25" s="70">
        <f>IF(F25&lt;&gt;0,VLOOKUP($J25,'Table 1'!$B$13:$C$33,2,FALSE)/12*1000*Study_MW,0)</f>
        <v>0</v>
      </c>
      <c r="E25" s="70">
        <f t="shared" ref="E25:E77" si="21">C25+D25</f>
        <v>292486.48407423496</v>
      </c>
      <c r="F25" s="69">
        <v>12391.79581136</v>
      </c>
      <c r="G25" s="72">
        <f t="shared" si="16"/>
        <v>23.603236248139449</v>
      </c>
      <c r="I25" s="60">
        <f>I13+13</f>
        <v>14</v>
      </c>
      <c r="J25" s="73">
        <f t="shared" si="4"/>
        <v>2022</v>
      </c>
      <c r="K25" s="74">
        <f>IF(ISNUMBER(F25),IF(F25&lt;&gt;0,B25,""),"")</f>
        <v>44562</v>
      </c>
      <c r="L25" s="73">
        <f t="shared" si="13"/>
        <v>2030</v>
      </c>
      <c r="M25" s="56">
        <f t="shared" si="14"/>
        <v>1458596.1341369897</v>
      </c>
      <c r="N25" s="56">
        <f t="shared" si="8"/>
        <v>2657457.7727938253</v>
      </c>
      <c r="O25" s="56">
        <f t="shared" si="6"/>
        <v>215624.88621424901</v>
      </c>
      <c r="P25" s="113">
        <f t="shared" si="7"/>
        <v>19.088955728612074</v>
      </c>
      <c r="Q25" s="166">
        <f t="shared" si="9"/>
        <v>6.7645073801346873</v>
      </c>
      <c r="R25" s="166">
        <f t="shared" si="10"/>
        <v>12.324448348477384</v>
      </c>
    </row>
    <row r="26" spans="2:20" hidden="1" outlineLevel="1">
      <c r="B26" s="78">
        <f t="shared" si="3"/>
        <v>44593</v>
      </c>
      <c r="C26" s="75">
        <v>189769.85238456726</v>
      </c>
      <c r="D26" s="71">
        <f>IF(F26&lt;&gt;0,VLOOKUP($J26,'Table 1'!$B$13:$C$33,2,FALSE)/12*1000*Study_MW,0)</f>
        <v>0</v>
      </c>
      <c r="E26" s="71">
        <f t="shared" si="21"/>
        <v>189769.85238456726</v>
      </c>
      <c r="F26" s="75">
        <v>12086.45678554</v>
      </c>
      <c r="G26" s="76">
        <f t="shared" si="16"/>
        <v>15.701032631135057</v>
      </c>
      <c r="I26" s="77">
        <f t="shared" ref="I26:I89" si="22">I14+13</f>
        <v>15</v>
      </c>
      <c r="J26" s="73">
        <f t="shared" si="4"/>
        <v>2022</v>
      </c>
      <c r="K26" s="78">
        <f t="shared" ref="K26:K89" si="23">IF(ISNUMBER(F26),IF(F26&lt;&gt;0,B26,""),"")</f>
        <v>44593</v>
      </c>
      <c r="L26" s="73">
        <f t="shared" si="13"/>
        <v>2031</v>
      </c>
      <c r="M26" s="56">
        <f t="shared" si="14"/>
        <v>1760639.6209819615</v>
      </c>
      <c r="N26" s="56">
        <f t="shared" si="8"/>
        <v>2718599.7644120511</v>
      </c>
      <c r="O26" s="56">
        <f>SUMIF($J$13:$J$264,L26,$F$13:$F$264)</f>
        <v>214546.75980867096</v>
      </c>
      <c r="P26" s="113">
        <f>(M26+N26)/O26</f>
        <v>20.877683677854282</v>
      </c>
      <c r="Q26" s="166">
        <f t="shared" si="9"/>
        <v>8.2063211886866476</v>
      </c>
      <c r="R26" s="166">
        <f t="shared" si="10"/>
        <v>12.671362489167633</v>
      </c>
    </row>
    <row r="27" spans="2:20" hidden="1" outlineLevel="1">
      <c r="B27" s="78">
        <f t="shared" si="3"/>
        <v>44621</v>
      </c>
      <c r="C27" s="75">
        <v>271111.91682361066</v>
      </c>
      <c r="D27" s="71">
        <f>IF(F27&lt;&gt;0,VLOOKUP($J27,'Table 1'!$B$13:$C$33,2,FALSE)/12*1000*Study_MW,0)</f>
        <v>0</v>
      </c>
      <c r="E27" s="71">
        <f t="shared" si="21"/>
        <v>271111.91682361066</v>
      </c>
      <c r="F27" s="75">
        <v>16849.522339380001</v>
      </c>
      <c r="G27" s="76">
        <f t="shared" si="16"/>
        <v>16.090184122904137</v>
      </c>
      <c r="I27" s="77">
        <f t="shared" si="22"/>
        <v>16</v>
      </c>
      <c r="J27" s="73">
        <f t="shared" si="4"/>
        <v>2022</v>
      </c>
      <c r="K27" s="78">
        <f t="shared" si="23"/>
        <v>44621</v>
      </c>
      <c r="L27" s="73">
        <f t="shared" si="13"/>
        <v>2032</v>
      </c>
      <c r="M27" s="56">
        <f t="shared" si="14"/>
        <v>1839405.8156392276</v>
      </c>
      <c r="N27" s="56">
        <f t="shared" si="8"/>
        <v>2781220.9977629781</v>
      </c>
      <c r="O27" s="56">
        <f t="shared" ref="O27:O31" si="24">SUMIF($J$13:$J$264,L27,$F$13:$F$264)</f>
        <v>214048.97111704201</v>
      </c>
      <c r="P27" s="113">
        <f t="shared" ref="P27:P31" si="25">(M27+N27)/O27</f>
        <v>21.586774228761168</v>
      </c>
      <c r="Q27" s="166">
        <f t="shared" si="9"/>
        <v>8.5933877936439149</v>
      </c>
      <c r="R27" s="166">
        <f t="shared" si="10"/>
        <v>12.993386435117252</v>
      </c>
    </row>
    <row r="28" spans="2:20" hidden="1" outlineLevel="1">
      <c r="B28" s="78">
        <f t="shared" si="3"/>
        <v>44652</v>
      </c>
      <c r="C28" s="75">
        <v>260647.64061053097</v>
      </c>
      <c r="D28" s="71">
        <f>IF(F28&lt;&gt;0,VLOOKUP($J28,'Table 1'!$B$13:$C$33,2,FALSE)/12*1000*Study_MW,0)</f>
        <v>0</v>
      </c>
      <c r="E28" s="71">
        <f t="shared" si="21"/>
        <v>260647.64061053097</v>
      </c>
      <c r="F28" s="75">
        <v>19973.066258043</v>
      </c>
      <c r="G28" s="76">
        <f t="shared" si="16"/>
        <v>13.049956238220068</v>
      </c>
      <c r="I28" s="77">
        <f t="shared" si="22"/>
        <v>17</v>
      </c>
      <c r="J28" s="73">
        <f t="shared" si="4"/>
        <v>2022</v>
      </c>
      <c r="K28" s="78">
        <f t="shared" si="23"/>
        <v>44652</v>
      </c>
      <c r="L28" s="73">
        <f t="shared" si="13"/>
        <v>2033</v>
      </c>
      <c r="M28" s="56">
        <f t="shared" si="14"/>
        <v>2010882.7720005065</v>
      </c>
      <c r="N28" s="56">
        <f t="shared" si="8"/>
        <v>2845074.932557818</v>
      </c>
      <c r="O28" s="56">
        <f t="shared" si="24"/>
        <v>212406.65808452398</v>
      </c>
      <c r="P28" s="113">
        <f t="shared" si="25"/>
        <v>22.86160776855672</v>
      </c>
      <c r="Q28" s="166">
        <f t="shared" si="9"/>
        <v>9.4671362476797061</v>
      </c>
      <c r="R28" s="166">
        <f t="shared" si="10"/>
        <v>13.394471520877016</v>
      </c>
    </row>
    <row r="29" spans="2:20" hidden="1" outlineLevel="1">
      <c r="B29" s="78">
        <f t="shared" si="3"/>
        <v>44682</v>
      </c>
      <c r="C29" s="75">
        <v>326298.38953757286</v>
      </c>
      <c r="D29" s="71">
        <f>IF(F29&lt;&gt;0,VLOOKUP($J29,'Table 1'!$B$13:$C$33,2,FALSE)/12*1000*Study_MW,0)</f>
        <v>0</v>
      </c>
      <c r="E29" s="71">
        <f t="shared" si="21"/>
        <v>326298.38953757286</v>
      </c>
      <c r="F29" s="75">
        <v>27332.604437409998</v>
      </c>
      <c r="G29" s="76">
        <f t="shared" si="16"/>
        <v>11.938064310145649</v>
      </c>
      <c r="I29" s="77">
        <f t="shared" si="22"/>
        <v>18</v>
      </c>
      <c r="J29" s="73">
        <f t="shared" si="4"/>
        <v>2022</v>
      </c>
      <c r="K29" s="78">
        <f t="shared" si="23"/>
        <v>44682</v>
      </c>
      <c r="L29" s="73">
        <f t="shared" si="13"/>
        <v>2034</v>
      </c>
      <c r="M29" s="56">
        <f t="shared" si="14"/>
        <v>2146180.0412960052</v>
      </c>
      <c r="N29" s="56">
        <f t="shared" si="8"/>
        <v>2913120.0522619761</v>
      </c>
      <c r="O29" s="56">
        <f t="shared" si="24"/>
        <v>211344.62474938095</v>
      </c>
      <c r="P29" s="113">
        <f t="shared" si="25"/>
        <v>23.938626778691237</v>
      </c>
      <c r="Q29" s="166">
        <f t="shared" si="9"/>
        <v>10.154883493445894</v>
      </c>
      <c r="R29" s="166">
        <f t="shared" si="10"/>
        <v>13.783743285245341</v>
      </c>
    </row>
    <row r="30" spans="2:20" hidden="1" outlineLevel="1">
      <c r="B30" s="78">
        <f t="shared" si="3"/>
        <v>44713</v>
      </c>
      <c r="C30" s="75">
        <v>381668.58833627403</v>
      </c>
      <c r="D30" s="71">
        <f>IF(F30&lt;&gt;0,VLOOKUP($J30,'Table 1'!$B$13:$C$33,2,FALSE)/12*1000*Study_MW,0)</f>
        <v>0</v>
      </c>
      <c r="E30" s="71">
        <f t="shared" si="21"/>
        <v>381668.58833627403</v>
      </c>
      <c r="F30" s="75">
        <v>25041.555742459001</v>
      </c>
      <c r="G30" s="76">
        <f t="shared" si="16"/>
        <v>15.241408811080337</v>
      </c>
      <c r="I30" s="77">
        <f t="shared" si="22"/>
        <v>19</v>
      </c>
      <c r="J30" s="73">
        <f t="shared" si="4"/>
        <v>2022</v>
      </c>
      <c r="K30" s="78">
        <f t="shared" si="23"/>
        <v>44713</v>
      </c>
      <c r="L30" s="73">
        <f t="shared" si="13"/>
        <v>2035</v>
      </c>
      <c r="M30" s="56">
        <f t="shared" si="14"/>
        <v>2247501.1180644035</v>
      </c>
      <c r="N30" s="56">
        <f t="shared" si="8"/>
        <v>2982890.9539876147</v>
      </c>
      <c r="O30" s="56">
        <f t="shared" si="24"/>
        <v>210287.90038148698</v>
      </c>
      <c r="P30" s="113">
        <f t="shared" si="25"/>
        <v>24.872529815379167</v>
      </c>
      <c r="Q30" s="166">
        <f t="shared" si="9"/>
        <v>10.68773388286807</v>
      </c>
      <c r="R30" s="166">
        <f t="shared" si="10"/>
        <v>14.184795932511093</v>
      </c>
    </row>
    <row r="31" spans="2:20" hidden="1" outlineLevel="1">
      <c r="B31" s="78">
        <f t="shared" si="3"/>
        <v>44743</v>
      </c>
      <c r="C31" s="75">
        <v>731902.19858953357</v>
      </c>
      <c r="D31" s="71">
        <f>IF(F31&lt;&gt;0,VLOOKUP($J31,'Table 1'!$B$13:$C$33,2,FALSE)/12*1000*Study_MW,0)</f>
        <v>0</v>
      </c>
      <c r="E31" s="71">
        <f t="shared" si="21"/>
        <v>731902.19858953357</v>
      </c>
      <c r="F31" s="75">
        <v>25542.85618296</v>
      </c>
      <c r="G31" s="76">
        <f t="shared" si="16"/>
        <v>28.653890283334714</v>
      </c>
      <c r="I31" s="77">
        <f t="shared" si="22"/>
        <v>20</v>
      </c>
      <c r="J31" s="73">
        <f t="shared" si="4"/>
        <v>2022</v>
      </c>
      <c r="K31" s="78">
        <f t="shared" si="23"/>
        <v>44743</v>
      </c>
      <c r="L31" s="73">
        <f t="shared" si="13"/>
        <v>2036</v>
      </c>
      <c r="M31" s="56">
        <f t="shared" si="14"/>
        <v>2697380.5462009609</v>
      </c>
      <c r="N31" s="56">
        <f t="shared" si="8"/>
        <v>3051429.1542693353</v>
      </c>
      <c r="O31" s="56">
        <f t="shared" si="24"/>
        <v>209799.99288487999</v>
      </c>
      <c r="P31" s="113">
        <f t="shared" si="25"/>
        <v>27.40138177042143</v>
      </c>
      <c r="Q31" s="166">
        <f t="shared" si="9"/>
        <v>12.85691438360081</v>
      </c>
      <c r="R31" s="166">
        <f t="shared" si="10"/>
        <v>14.544467386820621</v>
      </c>
    </row>
    <row r="32" spans="2:20" hidden="1" outlineLevel="1">
      <c r="B32" s="78">
        <f t="shared" si="3"/>
        <v>44774</v>
      </c>
      <c r="C32" s="75">
        <v>577122.20180170238</v>
      </c>
      <c r="D32" s="71">
        <f>IF(F32&lt;&gt;0,VLOOKUP($J32,'Table 1'!$B$13:$C$33,2,FALSE)/12*1000*Study_MW,0)</f>
        <v>0</v>
      </c>
      <c r="E32" s="71">
        <f t="shared" si="21"/>
        <v>577122.20180170238</v>
      </c>
      <c r="F32" s="75">
        <v>22926.102485751999</v>
      </c>
      <c r="G32" s="76">
        <f t="shared" si="16"/>
        <v>25.173149346268929</v>
      </c>
      <c r="I32" s="77">
        <f t="shared" si="22"/>
        <v>21</v>
      </c>
      <c r="J32" s="73">
        <f t="shared" si="4"/>
        <v>2022</v>
      </c>
      <c r="K32" s="78">
        <f t="shared" si="23"/>
        <v>44774</v>
      </c>
      <c r="L32" s="73">
        <f t="shared" si="13"/>
        <v>2037</v>
      </c>
      <c r="M32" s="56">
        <f t="shared" si="14"/>
        <v>2680795.9060305357</v>
      </c>
      <c r="N32" s="56">
        <f t="shared" si="8"/>
        <v>3121693.1365725412</v>
      </c>
      <c r="O32" s="56">
        <f t="shared" ref="O32:O35" si="26">SUMIF($J$13:$J$264,L32,$F$13:$F$264)</f>
        <v>208190.27800826399</v>
      </c>
      <c r="P32" s="113">
        <f t="shared" ref="P32:P34" si="27">(M32+N32)/O32</f>
        <v>27.871085519049792</v>
      </c>
      <c r="Q32" s="166">
        <f t="shared" si="9"/>
        <v>12.876662309486532</v>
      </c>
      <c r="R32" s="166">
        <f t="shared" si="10"/>
        <v>14.99442320956326</v>
      </c>
    </row>
    <row r="33" spans="2:20" hidden="1" outlineLevel="1">
      <c r="B33" s="78">
        <f t="shared" si="3"/>
        <v>44805</v>
      </c>
      <c r="C33" s="75">
        <v>391912.56959819794</v>
      </c>
      <c r="D33" s="71">
        <f>IF(F33&lt;&gt;0,VLOOKUP($J33,'Table 1'!$B$13:$C$33,2,FALSE)/12*1000*Study_MW,0)</f>
        <v>0</v>
      </c>
      <c r="E33" s="71">
        <f t="shared" si="21"/>
        <v>391912.56959819794</v>
      </c>
      <c r="F33" s="75">
        <v>21875.2524022</v>
      </c>
      <c r="G33" s="76">
        <f t="shared" si="16"/>
        <v>17.915796462251709</v>
      </c>
      <c r="I33" s="77">
        <f t="shared" si="22"/>
        <v>22</v>
      </c>
      <c r="J33" s="73">
        <f t="shared" si="4"/>
        <v>2022</v>
      </c>
      <c r="K33" s="78">
        <f t="shared" si="23"/>
        <v>44805</v>
      </c>
      <c r="L33" s="73">
        <f t="shared" si="13"/>
        <v>2038</v>
      </c>
      <c r="M33" s="56">
        <f t="shared" si="14"/>
        <v>1557411.263333112</v>
      </c>
      <c r="N33" s="56">
        <f t="shared" si="8"/>
        <v>3193682.9008972277</v>
      </c>
      <c r="O33" s="56">
        <f t="shared" si="26"/>
        <v>207149.32712718498</v>
      </c>
      <c r="P33" s="113">
        <f t="shared" si="27"/>
        <v>22.935600275029014</v>
      </c>
      <c r="Q33" s="166">
        <f t="shared" si="9"/>
        <v>7.5183023036174133</v>
      </c>
      <c r="R33" s="166">
        <f t="shared" si="10"/>
        <v>15.417297971411603</v>
      </c>
    </row>
    <row r="34" spans="2:20" hidden="1" outlineLevel="1">
      <c r="B34" s="78">
        <f t="shared" si="3"/>
        <v>44835</v>
      </c>
      <c r="C34" s="75">
        <v>290925.95070827007</v>
      </c>
      <c r="D34" s="71">
        <f>IF(F34&lt;&gt;0,VLOOKUP($J34,'Table 1'!$B$13:$C$33,2,FALSE)/12*1000*Study_MW,0)</f>
        <v>0</v>
      </c>
      <c r="E34" s="71">
        <f t="shared" si="21"/>
        <v>290925.95070827007</v>
      </c>
      <c r="F34" s="75">
        <v>18277.726816980001</v>
      </c>
      <c r="G34" s="76">
        <f t="shared" si="16"/>
        <v>15.916965693895806</v>
      </c>
      <c r="I34" s="77">
        <f t="shared" si="22"/>
        <v>23</v>
      </c>
      <c r="J34" s="73">
        <f t="shared" si="4"/>
        <v>2022</v>
      </c>
      <c r="K34" s="78">
        <f t="shared" si="23"/>
        <v>44835</v>
      </c>
      <c r="L34" s="73">
        <f t="shared" si="13"/>
        <v>2039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 outlineLevel="1">
      <c r="B35" s="78">
        <f t="shared" si="3"/>
        <v>44866</v>
      </c>
      <c r="C35" s="75">
        <v>209647.64795288444</v>
      </c>
      <c r="D35" s="71">
        <f>IF(F35&lt;&gt;0,VLOOKUP($J35,'Table 1'!$B$13:$C$33,2,FALSE)/12*1000*Study_MW,0)</f>
        <v>0</v>
      </c>
      <c r="E35" s="71">
        <f t="shared" si="21"/>
        <v>209647.64795288444</v>
      </c>
      <c r="F35" s="75">
        <v>12917.691371000001</v>
      </c>
      <c r="G35" s="76">
        <f t="shared" si="16"/>
        <v>16.229498130257227</v>
      </c>
      <c r="I35" s="77">
        <f t="shared" si="22"/>
        <v>24</v>
      </c>
      <c r="J35" s="73">
        <f t="shared" si="4"/>
        <v>2022</v>
      </c>
      <c r="K35" s="78">
        <f t="shared" si="23"/>
        <v>44866</v>
      </c>
      <c r="L35" s="73">
        <f t="shared" si="13"/>
        <v>2040</v>
      </c>
      <c r="M35" s="56">
        <f t="shared" si="14"/>
        <v>0</v>
      </c>
      <c r="N35" s="56">
        <f t="shared" si="8"/>
        <v>0</v>
      </c>
      <c r="O35" s="56">
        <f t="shared" si="26"/>
        <v>0</v>
      </c>
      <c r="P35" s="113" t="e">
        <f t="shared" ref="P35" si="30">(M35+N35)/O35</f>
        <v>#DIV/0!</v>
      </c>
      <c r="Q35" s="166" t="e">
        <f t="shared" ref="Q35" si="31">M35/O35</f>
        <v>#DIV/0!</v>
      </c>
      <c r="R35" s="166">
        <f t="shared" ref="R35" si="32">IFERROR(N35/O35,0)</f>
        <v>0</v>
      </c>
    </row>
    <row r="36" spans="2:20" hidden="1" outlineLevel="1">
      <c r="B36" s="82">
        <f t="shared" si="3"/>
        <v>44896</v>
      </c>
      <c r="C36" s="79">
        <v>170098.01246987283</v>
      </c>
      <c r="D36" s="80">
        <f>IF(F36&lt;&gt;0,VLOOKUP($J36,'Table 1'!$B$13:$C$33,2,FALSE)/12*1000*Study_MW,0)</f>
        <v>0</v>
      </c>
      <c r="E36" s="80">
        <f t="shared" si="21"/>
        <v>170098.01246987283</v>
      </c>
      <c r="F36" s="79">
        <v>9232.5913750599993</v>
      </c>
      <c r="G36" s="81">
        <f t="shared" si="16"/>
        <v>18.423647875217203</v>
      </c>
      <c r="I36" s="64">
        <f t="shared" si="22"/>
        <v>25</v>
      </c>
      <c r="J36" s="73">
        <f t="shared" si="4"/>
        <v>2022</v>
      </c>
      <c r="K36" s="82">
        <f t="shared" si="23"/>
        <v>44896</v>
      </c>
      <c r="L36" s="73">
        <f t="shared" si="13"/>
        <v>2041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44927</v>
      </c>
      <c r="C37" s="69">
        <v>212610.63328923285</v>
      </c>
      <c r="D37" s="70">
        <f>IF(F37&lt;&gt;0,VLOOKUP($J37,'Table 1'!$B$13:$C$33,2,FALSE)/12*1000*Study_MW,0)</f>
        <v>0</v>
      </c>
      <c r="E37" s="70">
        <f t="shared" si="21"/>
        <v>212610.63328923285</v>
      </c>
      <c r="F37" s="69">
        <v>12329.83680427</v>
      </c>
      <c r="G37" s="72">
        <f t="shared" si="16"/>
        <v>17.243588594425088</v>
      </c>
      <c r="I37" s="60">
        <f>I25+13</f>
        <v>27</v>
      </c>
      <c r="J37" s="73">
        <f t="shared" si="4"/>
        <v>2023</v>
      </c>
      <c r="K37" s="74">
        <f t="shared" si="23"/>
        <v>44927</v>
      </c>
      <c r="L37" s="73">
        <f t="shared" si="13"/>
        <v>2042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44958</v>
      </c>
      <c r="C38" s="75">
        <v>196439.03035058081</v>
      </c>
      <c r="D38" s="71">
        <f>IF(F38&lt;&gt;0,VLOOKUP($J38,'Table 1'!$B$13:$C$33,2,FALSE)/12*1000*Study_MW,0)</f>
        <v>0</v>
      </c>
      <c r="E38" s="71">
        <f t="shared" si="21"/>
        <v>196439.03035058081</v>
      </c>
      <c r="F38" s="75">
        <v>12026.0245118</v>
      </c>
      <c r="G38" s="76">
        <f t="shared" si="16"/>
        <v>16.334494425637814</v>
      </c>
      <c r="I38" s="77">
        <f t="shared" si="22"/>
        <v>28</v>
      </c>
      <c r="J38" s="73">
        <f t="shared" si="4"/>
        <v>2023</v>
      </c>
      <c r="K38" s="78">
        <f t="shared" si="23"/>
        <v>44958</v>
      </c>
      <c r="L38" s="73">
        <f t="shared" si="13"/>
        <v>2043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44986</v>
      </c>
      <c r="C39" s="75">
        <v>270110.47250422835</v>
      </c>
      <c r="D39" s="71">
        <f>IF(F39&lt;&gt;0,VLOOKUP($J39,'Table 1'!$B$13:$C$33,2,FALSE)/12*1000*Study_MW,0)</f>
        <v>0</v>
      </c>
      <c r="E39" s="71">
        <f t="shared" si="21"/>
        <v>270110.47250422835</v>
      </c>
      <c r="F39" s="75">
        <v>16765.274775530001</v>
      </c>
      <c r="G39" s="76">
        <f t="shared" si="16"/>
        <v>16.111306025146217</v>
      </c>
      <c r="I39" s="77">
        <f t="shared" si="22"/>
        <v>29</v>
      </c>
      <c r="J39" s="73">
        <f t="shared" si="4"/>
        <v>2023</v>
      </c>
      <c r="K39" s="78">
        <f t="shared" si="23"/>
        <v>44986</v>
      </c>
      <c r="L39" s="73">
        <f t="shared" si="13"/>
        <v>2044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45017</v>
      </c>
      <c r="C40" s="75">
        <v>248085.70479463041</v>
      </c>
      <c r="D40" s="71">
        <f>IF(F40&lt;&gt;0,VLOOKUP($J40,'Table 1'!$B$13:$C$33,2,FALSE)/12*1000*Study_MW,0)</f>
        <v>0</v>
      </c>
      <c r="E40" s="71">
        <f t="shared" si="21"/>
        <v>248085.70479463041</v>
      </c>
      <c r="F40" s="75">
        <v>19873.200924317</v>
      </c>
      <c r="G40" s="76">
        <f t="shared" si="16"/>
        <v>12.483429606504449</v>
      </c>
      <c r="I40" s="77">
        <f t="shared" si="22"/>
        <v>30</v>
      </c>
      <c r="J40" s="73">
        <f t="shared" si="4"/>
        <v>2023</v>
      </c>
      <c r="K40" s="78">
        <f t="shared" si="23"/>
        <v>45017</v>
      </c>
      <c r="L40" s="73">
        <f t="shared" si="13"/>
        <v>2045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45047</v>
      </c>
      <c r="C41" s="75">
        <v>349443.74073818326</v>
      </c>
      <c r="D41" s="71">
        <f>IF(F41&lt;&gt;0,VLOOKUP($J41,'Table 1'!$B$13:$C$33,2,FALSE)/12*1000*Study_MW,0)</f>
        <v>0</v>
      </c>
      <c r="E41" s="71">
        <f t="shared" si="21"/>
        <v>349443.74073818326</v>
      </c>
      <c r="F41" s="75">
        <v>27195.941358249998</v>
      </c>
      <c r="G41" s="76">
        <f t="shared" si="16"/>
        <v>12.849113628206075</v>
      </c>
      <c r="I41" s="77">
        <f t="shared" si="22"/>
        <v>31</v>
      </c>
      <c r="J41" s="73">
        <f t="shared" si="4"/>
        <v>2023</v>
      </c>
      <c r="K41" s="78">
        <f t="shared" si="23"/>
        <v>45047</v>
      </c>
      <c r="L41" s="73">
        <f t="shared" si="13"/>
        <v>2046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45078</v>
      </c>
      <c r="C42" s="75">
        <v>357150.83776426315</v>
      </c>
      <c r="D42" s="71">
        <f>IF(F42&lt;&gt;0,VLOOKUP($J42,'Table 1'!$B$13:$C$33,2,FALSE)/12*1000*Study_MW,0)</f>
        <v>0</v>
      </c>
      <c r="E42" s="71">
        <f t="shared" si="21"/>
        <v>357150.83776426315</v>
      </c>
      <c r="F42" s="75">
        <v>24916.347933233999</v>
      </c>
      <c r="G42" s="76">
        <f t="shared" si="16"/>
        <v>14.333996247013678</v>
      </c>
      <c r="I42" s="77">
        <f t="shared" si="22"/>
        <v>32</v>
      </c>
      <c r="J42" s="73">
        <f t="shared" si="4"/>
        <v>2023</v>
      </c>
      <c r="K42" s="78">
        <f t="shared" si="23"/>
        <v>45078</v>
      </c>
      <c r="L42" s="73">
        <f t="shared" si="13"/>
        <v>2047</v>
      </c>
      <c r="P42" s="113"/>
      <c r="Q42" s="166"/>
      <c r="R42" s="166"/>
    </row>
    <row r="43" spans="2:20" hidden="1" outlineLevel="1">
      <c r="B43" s="78">
        <f t="shared" si="3"/>
        <v>45108</v>
      </c>
      <c r="C43" s="75">
        <v>807124.49098414183</v>
      </c>
      <c r="D43" s="71">
        <f>IF(F43&lt;&gt;0,VLOOKUP($J43,'Table 1'!$B$13:$C$33,2,FALSE)/12*1000*Study_MW,0)</f>
        <v>0</v>
      </c>
      <c r="E43" s="71">
        <f t="shared" si="21"/>
        <v>807124.49098414183</v>
      </c>
      <c r="F43" s="75">
        <v>25415.141965334002</v>
      </c>
      <c r="G43" s="76">
        <f t="shared" si="16"/>
        <v>31.757622762251398</v>
      </c>
      <c r="I43" s="77">
        <f t="shared" si="22"/>
        <v>33</v>
      </c>
      <c r="J43" s="73">
        <f t="shared" si="4"/>
        <v>2023</v>
      </c>
      <c r="K43" s="78">
        <f t="shared" si="23"/>
        <v>45108</v>
      </c>
    </row>
    <row r="44" spans="2:20" hidden="1" outlineLevel="1">
      <c r="B44" s="78">
        <f t="shared" si="3"/>
        <v>45139</v>
      </c>
      <c r="C44" s="75">
        <v>633113.80143296719</v>
      </c>
      <c r="D44" s="71">
        <f>IF(F44&lt;&gt;0,VLOOKUP($J44,'Table 1'!$B$13:$C$33,2,FALSE)/12*1000*Study_MW,0)</f>
        <v>0</v>
      </c>
      <c r="E44" s="71">
        <f t="shared" si="21"/>
        <v>633113.80143296719</v>
      </c>
      <c r="F44" s="75">
        <v>22811.471804060999</v>
      </c>
      <c r="G44" s="76">
        <f t="shared" si="16"/>
        <v>27.754184687033543</v>
      </c>
      <c r="I44" s="77">
        <f t="shared" si="22"/>
        <v>34</v>
      </c>
      <c r="J44" s="73">
        <f t="shared" si="4"/>
        <v>2023</v>
      </c>
      <c r="K44" s="78">
        <f t="shared" si="23"/>
        <v>45139</v>
      </c>
    </row>
    <row r="45" spans="2:20" hidden="1" outlineLevel="1">
      <c r="B45" s="78">
        <f t="shared" si="3"/>
        <v>45170</v>
      </c>
      <c r="C45" s="75">
        <v>401611.67473262548</v>
      </c>
      <c r="D45" s="71">
        <f>IF(F45&lt;&gt;0,VLOOKUP($J45,'Table 1'!$B$13:$C$33,2,FALSE)/12*1000*Study_MW,0)</f>
        <v>0</v>
      </c>
      <c r="E45" s="71">
        <f t="shared" si="21"/>
        <v>401611.67473262548</v>
      </c>
      <c r="F45" s="75">
        <v>21765.876148079999</v>
      </c>
      <c r="G45" s="76">
        <f t="shared" si="16"/>
        <v>18.451436183884208</v>
      </c>
      <c r="I45" s="77">
        <f t="shared" si="22"/>
        <v>35</v>
      </c>
      <c r="J45" s="73">
        <f t="shared" si="4"/>
        <v>2023</v>
      </c>
      <c r="K45" s="78">
        <f t="shared" si="23"/>
        <v>45170</v>
      </c>
    </row>
    <row r="46" spans="2:20" hidden="1" outlineLevel="1">
      <c r="B46" s="78">
        <f t="shared" si="3"/>
        <v>45200</v>
      </c>
      <c r="C46" s="75">
        <v>282979.49651314318</v>
      </c>
      <c r="D46" s="71">
        <f>IF(F46&lt;&gt;0,VLOOKUP($J46,'Table 1'!$B$13:$C$33,2,FALSE)/12*1000*Study_MW,0)</f>
        <v>0</v>
      </c>
      <c r="E46" s="71">
        <f t="shared" si="21"/>
        <v>282979.49651314318</v>
      </c>
      <c r="F46" s="75">
        <v>18186.338355249001</v>
      </c>
      <c r="G46" s="76">
        <f t="shared" si="16"/>
        <v>15.560003942820558</v>
      </c>
      <c r="I46" s="77">
        <f t="shared" si="22"/>
        <v>36</v>
      </c>
      <c r="J46" s="73">
        <f t="shared" si="4"/>
        <v>2023</v>
      </c>
      <c r="K46" s="78">
        <f t="shared" si="23"/>
        <v>45200</v>
      </c>
    </row>
    <row r="47" spans="2:20" hidden="1" outlineLevel="1">
      <c r="B47" s="78">
        <f t="shared" si="3"/>
        <v>45231</v>
      </c>
      <c r="C47" s="75">
        <v>207498.84754183888</v>
      </c>
      <c r="D47" s="71">
        <f>IF(F47&lt;&gt;0,VLOOKUP($J47,'Table 1'!$B$13:$C$33,2,FALSE)/12*1000*Study_MW,0)</f>
        <v>0</v>
      </c>
      <c r="E47" s="71">
        <f t="shared" si="21"/>
        <v>207498.84754183888</v>
      </c>
      <c r="F47" s="75">
        <v>12853.1028738</v>
      </c>
      <c r="G47" s="76">
        <f t="shared" si="16"/>
        <v>16.143871995672605</v>
      </c>
      <c r="I47" s="77">
        <f t="shared" si="22"/>
        <v>37</v>
      </c>
      <c r="J47" s="73">
        <f t="shared" si="4"/>
        <v>2023</v>
      </c>
      <c r="K47" s="78">
        <f t="shared" si="23"/>
        <v>45231</v>
      </c>
    </row>
    <row r="48" spans="2:20" hidden="1" outlineLevel="1">
      <c r="B48" s="82">
        <f t="shared" si="3"/>
        <v>45261</v>
      </c>
      <c r="C48" s="79">
        <v>170274.48745653033</v>
      </c>
      <c r="D48" s="80">
        <f>IF(F48&lt;&gt;0,VLOOKUP($J48,'Table 1'!$B$13:$C$33,2,FALSE)/12*1000*Study_MW,0)</f>
        <v>0</v>
      </c>
      <c r="E48" s="80">
        <f t="shared" si="21"/>
        <v>170274.48745653033</v>
      </c>
      <c r="F48" s="79">
        <v>9186.4283848100004</v>
      </c>
      <c r="G48" s="81">
        <f t="shared" si="16"/>
        <v>18.535439490072513</v>
      </c>
      <c r="I48" s="64">
        <f t="shared" si="22"/>
        <v>38</v>
      </c>
      <c r="J48" s="73">
        <f t="shared" si="4"/>
        <v>2023</v>
      </c>
      <c r="K48" s="82">
        <f t="shared" si="23"/>
        <v>45261</v>
      </c>
    </row>
    <row r="49" spans="2:11" hidden="1" outlineLevel="1">
      <c r="B49" s="74">
        <f t="shared" si="3"/>
        <v>45292</v>
      </c>
      <c r="C49" s="69">
        <v>44681.191012665629</v>
      </c>
      <c r="D49" s="70">
        <f>IF(F49&lt;&gt;0,VLOOKUP($J49,'Table 1'!$B$13:$C$33,2,FALSE)/12*1000*Study_MW,0)</f>
        <v>191910.32061110897</v>
      </c>
      <c r="E49" s="70">
        <f t="shared" si="21"/>
        <v>236591.5116237746</v>
      </c>
      <c r="F49" s="69">
        <v>12268.187594479999</v>
      </c>
      <c r="G49" s="72">
        <f t="shared" si="16"/>
        <v>19.284960374279539</v>
      </c>
      <c r="I49" s="60">
        <f>I37+13</f>
        <v>40</v>
      </c>
      <c r="J49" s="73">
        <f t="shared" si="4"/>
        <v>2024</v>
      </c>
      <c r="K49" s="74">
        <f t="shared" si="23"/>
        <v>45292</v>
      </c>
    </row>
    <row r="50" spans="2:11" hidden="1" outlineLevel="1">
      <c r="B50" s="78">
        <f t="shared" si="3"/>
        <v>45323</v>
      </c>
      <c r="C50" s="75">
        <v>19682.163222238421</v>
      </c>
      <c r="D50" s="71">
        <f>IF(F50&lt;&gt;0,VLOOKUP($J50,'Table 1'!$B$13:$C$33,2,FALSE)/12*1000*Study_MW,0)</f>
        <v>191910.32061110897</v>
      </c>
      <c r="E50" s="71">
        <f t="shared" si="21"/>
        <v>211592.48383334739</v>
      </c>
      <c r="F50" s="75">
        <v>12564.362378940001</v>
      </c>
      <c r="G50" s="76">
        <f t="shared" si="16"/>
        <v>16.840686176642933</v>
      </c>
      <c r="I50" s="77">
        <f t="shared" si="22"/>
        <v>41</v>
      </c>
      <c r="J50" s="73">
        <f t="shared" si="4"/>
        <v>2024</v>
      </c>
      <c r="K50" s="78">
        <f t="shared" si="23"/>
        <v>45323</v>
      </c>
    </row>
    <row r="51" spans="2:11" hidden="1" outlineLevel="1">
      <c r="B51" s="78">
        <f t="shared" si="3"/>
        <v>45352</v>
      </c>
      <c r="C51" s="75">
        <v>-30022.257527604699</v>
      </c>
      <c r="D51" s="71">
        <f>IF(F51&lt;&gt;0,VLOOKUP($J51,'Table 1'!$B$13:$C$33,2,FALSE)/12*1000*Study_MW,0)</f>
        <v>191910.32061110897</v>
      </c>
      <c r="E51" s="71">
        <f t="shared" si="21"/>
        <v>161888.06308350427</v>
      </c>
      <c r="F51" s="75">
        <v>16681.44841451</v>
      </c>
      <c r="G51" s="76">
        <f t="shared" si="16"/>
        <v>9.7046766600128933</v>
      </c>
      <c r="I51" s="77">
        <f t="shared" si="22"/>
        <v>42</v>
      </c>
      <c r="J51" s="73">
        <f t="shared" si="4"/>
        <v>2024</v>
      </c>
      <c r="K51" s="78">
        <f t="shared" si="23"/>
        <v>45352</v>
      </c>
    </row>
    <row r="52" spans="2:11" hidden="1" outlineLevel="1">
      <c r="B52" s="78">
        <f t="shared" si="3"/>
        <v>45383</v>
      </c>
      <c r="C52" s="75">
        <v>-71587.896411791444</v>
      </c>
      <c r="D52" s="71">
        <f>IF(F52&lt;&gt;0,VLOOKUP($J52,'Table 1'!$B$13:$C$33,2,FALSE)/12*1000*Study_MW,0)</f>
        <v>191910.32061110897</v>
      </c>
      <c r="E52" s="71">
        <f t="shared" si="21"/>
        <v>120322.42419931752</v>
      </c>
      <c r="F52" s="75">
        <v>19773.834961835</v>
      </c>
      <c r="G52" s="76">
        <f t="shared" si="16"/>
        <v>6.0849311441887179</v>
      </c>
      <c r="I52" s="77">
        <f t="shared" si="22"/>
        <v>43</v>
      </c>
      <c r="J52" s="73">
        <f t="shared" si="4"/>
        <v>2024</v>
      </c>
      <c r="K52" s="78">
        <f t="shared" si="23"/>
        <v>45383</v>
      </c>
    </row>
    <row r="53" spans="2:11" hidden="1" outlineLevel="1">
      <c r="B53" s="78">
        <f t="shared" si="3"/>
        <v>45413</v>
      </c>
      <c r="C53" s="75">
        <v>84966.291535168886</v>
      </c>
      <c r="D53" s="71">
        <f>IF(F53&lt;&gt;0,VLOOKUP($J53,'Table 1'!$B$13:$C$33,2,FALSE)/12*1000*Study_MW,0)</f>
        <v>191910.32061110897</v>
      </c>
      <c r="E53" s="71">
        <f t="shared" si="21"/>
        <v>276876.61214627785</v>
      </c>
      <c r="F53" s="75">
        <v>27059.961754169999</v>
      </c>
      <c r="G53" s="76">
        <f t="shared" si="16"/>
        <v>10.231966129945123</v>
      </c>
      <c r="I53" s="77">
        <f t="shared" si="22"/>
        <v>44</v>
      </c>
      <c r="J53" s="73">
        <f t="shared" si="4"/>
        <v>2024</v>
      </c>
      <c r="K53" s="78">
        <f t="shared" si="23"/>
        <v>45413</v>
      </c>
    </row>
    <row r="54" spans="2:11" hidden="1" outlineLevel="1">
      <c r="B54" s="78">
        <f t="shared" si="3"/>
        <v>45444</v>
      </c>
      <c r="C54" s="75">
        <v>81748.374054014683</v>
      </c>
      <c r="D54" s="71">
        <f>IF(F54&lt;&gt;0,VLOOKUP($J54,'Table 1'!$B$13:$C$33,2,FALSE)/12*1000*Study_MW,0)</f>
        <v>191910.32061110897</v>
      </c>
      <c r="E54" s="71">
        <f t="shared" si="21"/>
        <v>273658.69466512365</v>
      </c>
      <c r="F54" s="75">
        <v>24791.766135156999</v>
      </c>
      <c r="G54" s="76">
        <f t="shared" si="16"/>
        <v>11.038289614915756</v>
      </c>
      <c r="I54" s="77">
        <f t="shared" si="22"/>
        <v>45</v>
      </c>
      <c r="J54" s="73">
        <f t="shared" si="4"/>
        <v>2024</v>
      </c>
      <c r="K54" s="78">
        <f t="shared" si="23"/>
        <v>45444</v>
      </c>
    </row>
    <row r="55" spans="2:11" hidden="1" outlineLevel="1">
      <c r="B55" s="78">
        <f t="shared" si="3"/>
        <v>45474</v>
      </c>
      <c r="C55" s="75">
        <v>229559.50929483771</v>
      </c>
      <c r="D55" s="71">
        <f>IF(F55&lt;&gt;0,VLOOKUP($J55,'Table 1'!$B$13:$C$33,2,FALSE)/12*1000*Study_MW,0)</f>
        <v>191910.32061110897</v>
      </c>
      <c r="E55" s="71">
        <f t="shared" si="21"/>
        <v>421469.82990594668</v>
      </c>
      <c r="F55" s="75">
        <v>25288.06627209</v>
      </c>
      <c r="G55" s="76">
        <f t="shared" si="16"/>
        <v>16.66674807678417</v>
      </c>
      <c r="I55" s="77">
        <f t="shared" si="22"/>
        <v>46</v>
      </c>
      <c r="J55" s="73">
        <f t="shared" si="4"/>
        <v>2024</v>
      </c>
      <c r="K55" s="78">
        <f t="shared" si="23"/>
        <v>45474</v>
      </c>
    </row>
    <row r="56" spans="2:11" hidden="1" outlineLevel="1">
      <c r="B56" s="78">
        <f t="shared" si="3"/>
        <v>45505</v>
      </c>
      <c r="C56" s="75">
        <v>116428.87543474138</v>
      </c>
      <c r="D56" s="71">
        <f>IF(F56&lt;&gt;0,VLOOKUP($J56,'Table 1'!$B$13:$C$33,2,FALSE)/12*1000*Study_MW,0)</f>
        <v>191910.32061110897</v>
      </c>
      <c r="E56" s="71">
        <f t="shared" si="21"/>
        <v>308339.19604585035</v>
      </c>
      <c r="F56" s="75">
        <v>22697.414629226001</v>
      </c>
      <c r="G56" s="76">
        <f t="shared" si="16"/>
        <v>13.584771705620684</v>
      </c>
      <c r="I56" s="77">
        <f t="shared" si="22"/>
        <v>47</v>
      </c>
      <c r="J56" s="73">
        <f t="shared" si="4"/>
        <v>2024</v>
      </c>
      <c r="K56" s="78">
        <f t="shared" si="23"/>
        <v>45505</v>
      </c>
    </row>
    <row r="57" spans="2:11" hidden="1" outlineLevel="1">
      <c r="B57" s="78">
        <f t="shared" si="3"/>
        <v>45536</v>
      </c>
      <c r="C57" s="75">
        <v>26697.753833949566</v>
      </c>
      <c r="D57" s="71">
        <f>IF(F57&lt;&gt;0,VLOOKUP($J57,'Table 1'!$B$13:$C$33,2,FALSE)/12*1000*Study_MW,0)</f>
        <v>191910.32061110897</v>
      </c>
      <c r="E57" s="71">
        <f t="shared" si="21"/>
        <v>218608.07444505853</v>
      </c>
      <c r="F57" s="75">
        <v>21657.046770519999</v>
      </c>
      <c r="G57" s="76">
        <f t="shared" si="16"/>
        <v>10.09408516135414</v>
      </c>
      <c r="I57" s="77">
        <f t="shared" si="22"/>
        <v>48</v>
      </c>
      <c r="J57" s="73">
        <f t="shared" si="4"/>
        <v>2024</v>
      </c>
      <c r="K57" s="78">
        <f t="shared" si="23"/>
        <v>45536</v>
      </c>
    </row>
    <row r="58" spans="2:11" hidden="1" outlineLevel="1">
      <c r="B58" s="78">
        <f t="shared" si="3"/>
        <v>45566</v>
      </c>
      <c r="C58" s="75">
        <v>-22453.089255601168</v>
      </c>
      <c r="D58" s="71">
        <f>IF(F58&lt;&gt;0,VLOOKUP($J58,'Table 1'!$B$13:$C$33,2,FALSE)/12*1000*Study_MW,0)</f>
        <v>191910.32061110897</v>
      </c>
      <c r="E58" s="71">
        <f t="shared" si="21"/>
        <v>169457.2313555078</v>
      </c>
      <c r="F58" s="75">
        <v>18095.406816196999</v>
      </c>
      <c r="G58" s="76">
        <f t="shared" si="16"/>
        <v>9.3646544162703496</v>
      </c>
      <c r="I58" s="77">
        <f t="shared" si="22"/>
        <v>49</v>
      </c>
      <c r="J58" s="73">
        <f t="shared" si="4"/>
        <v>2024</v>
      </c>
      <c r="K58" s="78">
        <f t="shared" si="23"/>
        <v>45566</v>
      </c>
    </row>
    <row r="59" spans="2:11" hidden="1" outlineLevel="1">
      <c r="B59" s="78">
        <f t="shared" si="3"/>
        <v>45597</v>
      </c>
      <c r="C59" s="75">
        <v>24047.394894257188</v>
      </c>
      <c r="D59" s="71">
        <f>IF(F59&lt;&gt;0,VLOOKUP($J59,'Table 1'!$B$13:$C$33,2,FALSE)/12*1000*Study_MW,0)</f>
        <v>191910.32061110897</v>
      </c>
      <c r="E59" s="71">
        <f t="shared" si="21"/>
        <v>215957.71550536616</v>
      </c>
      <c r="F59" s="75">
        <v>12788.8374518</v>
      </c>
      <c r="G59" s="76">
        <f t="shared" si="16"/>
        <v>16.886422735396529</v>
      </c>
      <c r="I59" s="77">
        <f t="shared" si="22"/>
        <v>50</v>
      </c>
      <c r="J59" s="73">
        <f t="shared" si="4"/>
        <v>2024</v>
      </c>
      <c r="K59" s="78">
        <f t="shared" si="23"/>
        <v>45597</v>
      </c>
    </row>
    <row r="60" spans="2:11" hidden="1" outlineLevel="1">
      <c r="B60" s="82">
        <f t="shared" si="3"/>
        <v>45627</v>
      </c>
      <c r="C60" s="79">
        <v>36605.647034108639</v>
      </c>
      <c r="D60" s="80">
        <f>IF(F60&lt;&gt;0,VLOOKUP($J60,'Table 1'!$B$13:$C$33,2,FALSE)/12*1000*Study_MW,0)</f>
        <v>191910.32061110897</v>
      </c>
      <c r="E60" s="80">
        <f t="shared" si="21"/>
        <v>228515.96764521761</v>
      </c>
      <c r="F60" s="79">
        <v>9140.4962762399991</v>
      </c>
      <c r="G60" s="81">
        <f t="shared" si="16"/>
        <v>25.00038955644311</v>
      </c>
      <c r="I60" s="64">
        <f t="shared" si="22"/>
        <v>51</v>
      </c>
      <c r="J60" s="73">
        <f t="shared" si="4"/>
        <v>2024</v>
      </c>
      <c r="K60" s="82">
        <f t="shared" si="23"/>
        <v>45627</v>
      </c>
    </row>
    <row r="61" spans="2:11" hidden="1" outlineLevel="1">
      <c r="B61" s="74">
        <f t="shared" si="3"/>
        <v>45658</v>
      </c>
      <c r="C61" s="69">
        <v>36688.222883954644</v>
      </c>
      <c r="D61" s="70">
        <f>IF(F61&lt;&gt;0,VLOOKUP($J61,'Table 1'!$B$13:$C$33,2,FALSE)/12*1000*Study_MW,0)</f>
        <v>196513.1551842544</v>
      </c>
      <c r="E61" s="70">
        <f t="shared" si="21"/>
        <v>233201.37806820904</v>
      </c>
      <c r="F61" s="69">
        <v>12206.846692589999</v>
      </c>
      <c r="G61" s="72">
        <f t="shared" si="16"/>
        <v>19.104145725838499</v>
      </c>
      <c r="I61" s="60">
        <f>I49+13</f>
        <v>53</v>
      </c>
      <c r="J61" s="73">
        <f t="shared" si="4"/>
        <v>2025</v>
      </c>
      <c r="K61" s="74">
        <f t="shared" si="23"/>
        <v>45658</v>
      </c>
    </row>
    <row r="62" spans="2:11" hidden="1" outlineLevel="1">
      <c r="B62" s="78">
        <f t="shared" si="3"/>
        <v>45689</v>
      </c>
      <c r="C62" s="75">
        <v>27263.162376821041</v>
      </c>
      <c r="D62" s="71">
        <f>IF(F62&lt;&gt;0,VLOOKUP($J62,'Table 1'!$B$13:$C$33,2,FALSE)/12*1000*Study_MW,0)</f>
        <v>196513.1551842544</v>
      </c>
      <c r="E62" s="71">
        <f t="shared" si="21"/>
        <v>223776.31756107544</v>
      </c>
      <c r="F62" s="75">
        <v>11906.064928199999</v>
      </c>
      <c r="G62" s="76">
        <f t="shared" si="16"/>
        <v>18.795153470988733</v>
      </c>
      <c r="I62" s="77">
        <f t="shared" si="22"/>
        <v>54</v>
      </c>
      <c r="J62" s="73">
        <f t="shared" si="4"/>
        <v>2025</v>
      </c>
      <c r="K62" s="78">
        <f t="shared" si="23"/>
        <v>45689</v>
      </c>
    </row>
    <row r="63" spans="2:11" hidden="1" outlineLevel="1">
      <c r="B63" s="78">
        <f t="shared" si="3"/>
        <v>45717</v>
      </c>
      <c r="C63" s="75">
        <v>-37363.418996542692</v>
      </c>
      <c r="D63" s="71">
        <f>IF(F63&lt;&gt;0,VLOOKUP($J63,'Table 1'!$B$13:$C$33,2,FALSE)/12*1000*Study_MW,0)</f>
        <v>196513.1551842544</v>
      </c>
      <c r="E63" s="71">
        <f t="shared" si="21"/>
        <v>159149.73618771171</v>
      </c>
      <c r="F63" s="75">
        <v>16598.041413660001</v>
      </c>
      <c r="G63" s="76">
        <f t="shared" si="16"/>
        <v>9.5884648207187428</v>
      </c>
      <c r="I63" s="77">
        <f t="shared" si="22"/>
        <v>55</v>
      </c>
      <c r="J63" s="73">
        <f t="shared" si="4"/>
        <v>2025</v>
      </c>
      <c r="K63" s="78">
        <f t="shared" si="23"/>
        <v>45717</v>
      </c>
    </row>
    <row r="64" spans="2:11" hidden="1" outlineLevel="1">
      <c r="B64" s="78">
        <f t="shared" si="3"/>
        <v>45748</v>
      </c>
      <c r="C64" s="75">
        <v>-91653.971915096045</v>
      </c>
      <c r="D64" s="71">
        <f>IF(F64&lt;&gt;0,VLOOKUP($J64,'Table 1'!$B$13:$C$33,2,FALSE)/12*1000*Study_MW,0)</f>
        <v>196513.1551842544</v>
      </c>
      <c r="E64" s="71">
        <f t="shared" si="21"/>
        <v>104859.18326915835</v>
      </c>
      <c r="F64" s="75">
        <v>19674.965664561001</v>
      </c>
      <c r="G64" s="76">
        <f t="shared" si="16"/>
        <v>5.329573888814104</v>
      </c>
      <c r="I64" s="77">
        <f t="shared" si="22"/>
        <v>56</v>
      </c>
      <c r="J64" s="73">
        <f t="shared" si="4"/>
        <v>2025</v>
      </c>
      <c r="K64" s="78">
        <f t="shared" si="23"/>
        <v>45748</v>
      </c>
    </row>
    <row r="65" spans="2:11" hidden="1" outlineLevel="1">
      <c r="B65" s="78">
        <f t="shared" si="3"/>
        <v>45778</v>
      </c>
      <c r="C65" s="75">
        <v>48155.310605674982</v>
      </c>
      <c r="D65" s="71">
        <f>IF(F65&lt;&gt;0,VLOOKUP($J65,'Table 1'!$B$13:$C$33,2,FALSE)/12*1000*Study_MW,0)</f>
        <v>196513.1551842544</v>
      </c>
      <c r="E65" s="71">
        <f t="shared" si="21"/>
        <v>244668.46578992938</v>
      </c>
      <c r="F65" s="75">
        <v>26924.66196682</v>
      </c>
      <c r="G65" s="76">
        <f t="shared" si="16"/>
        <v>9.0871508838789161</v>
      </c>
      <c r="I65" s="77">
        <f t="shared" si="22"/>
        <v>57</v>
      </c>
      <c r="J65" s="73">
        <f t="shared" si="4"/>
        <v>2025</v>
      </c>
      <c r="K65" s="78">
        <f t="shared" si="23"/>
        <v>45778</v>
      </c>
    </row>
    <row r="66" spans="2:11" hidden="1" outlineLevel="1">
      <c r="B66" s="78">
        <f t="shared" si="3"/>
        <v>45809</v>
      </c>
      <c r="C66" s="75">
        <v>70860.874209314585</v>
      </c>
      <c r="D66" s="71">
        <f>IF(F66&lt;&gt;0,VLOOKUP($J66,'Table 1'!$B$13:$C$33,2,FALSE)/12*1000*Study_MW,0)</f>
        <v>196513.1551842544</v>
      </c>
      <c r="E66" s="71">
        <f t="shared" si="21"/>
        <v>267374.02939356898</v>
      </c>
      <c r="F66" s="75">
        <v>24667.807382125</v>
      </c>
      <c r="G66" s="76">
        <f t="shared" si="16"/>
        <v>10.838986426791863</v>
      </c>
      <c r="I66" s="77">
        <f t="shared" si="22"/>
        <v>58</v>
      </c>
      <c r="J66" s="73">
        <f t="shared" si="4"/>
        <v>2025</v>
      </c>
      <c r="K66" s="78">
        <f t="shared" si="23"/>
        <v>45809</v>
      </c>
    </row>
    <row r="67" spans="2:11" hidden="1" outlineLevel="1">
      <c r="B67" s="78">
        <f t="shared" si="3"/>
        <v>45839</v>
      </c>
      <c r="C67" s="75">
        <v>223576.06597913802</v>
      </c>
      <c r="D67" s="71">
        <f>IF(F67&lt;&gt;0,VLOOKUP($J67,'Table 1'!$B$13:$C$33,2,FALSE)/12*1000*Study_MW,0)</f>
        <v>196513.1551842544</v>
      </c>
      <c r="E67" s="71">
        <f t="shared" si="21"/>
        <v>420089.22116339242</v>
      </c>
      <c r="F67" s="75">
        <v>25161.62593735</v>
      </c>
      <c r="G67" s="76">
        <f t="shared" si="16"/>
        <v>16.69563096635224</v>
      </c>
      <c r="I67" s="77">
        <f t="shared" si="22"/>
        <v>59</v>
      </c>
      <c r="J67" s="73">
        <f t="shared" si="4"/>
        <v>2025</v>
      </c>
      <c r="K67" s="78">
        <f t="shared" si="23"/>
        <v>45839</v>
      </c>
    </row>
    <row r="68" spans="2:11" hidden="1" outlineLevel="1">
      <c r="B68" s="78">
        <f t="shared" si="3"/>
        <v>45870</v>
      </c>
      <c r="C68" s="75">
        <v>171403.50229288638</v>
      </c>
      <c r="D68" s="71">
        <f>IF(F68&lt;&gt;0,VLOOKUP($J68,'Table 1'!$B$13:$C$33,2,FALSE)/12*1000*Study_MW,0)</f>
        <v>196513.1551842544</v>
      </c>
      <c r="E68" s="71">
        <f t="shared" si="21"/>
        <v>367916.65747714078</v>
      </c>
      <c r="F68" s="75">
        <v>22583.927771565999</v>
      </c>
      <c r="G68" s="76">
        <f t="shared" si="16"/>
        <v>16.291083694500717</v>
      </c>
      <c r="I68" s="77">
        <f t="shared" si="22"/>
        <v>60</v>
      </c>
      <c r="J68" s="73">
        <f t="shared" si="4"/>
        <v>2025</v>
      </c>
      <c r="K68" s="78">
        <f t="shared" si="23"/>
        <v>45870</v>
      </c>
    </row>
    <row r="69" spans="2:11" hidden="1" outlineLevel="1">
      <c r="B69" s="78">
        <f t="shared" si="3"/>
        <v>45901</v>
      </c>
      <c r="C69" s="75">
        <v>66687.41157309711</v>
      </c>
      <c r="D69" s="71">
        <f>IF(F69&lt;&gt;0,VLOOKUP($J69,'Table 1'!$B$13:$C$33,2,FALSE)/12*1000*Study_MW,0)</f>
        <v>196513.1551842544</v>
      </c>
      <c r="E69" s="71">
        <f t="shared" si="21"/>
        <v>263200.56675735151</v>
      </c>
      <c r="F69" s="75">
        <v>21548.76155585</v>
      </c>
      <c r="G69" s="76">
        <f t="shared" si="16"/>
        <v>12.214185305971727</v>
      </c>
      <c r="I69" s="77">
        <f t="shared" si="22"/>
        <v>61</v>
      </c>
      <c r="J69" s="73">
        <f t="shared" si="4"/>
        <v>2025</v>
      </c>
      <c r="K69" s="78">
        <f t="shared" si="23"/>
        <v>45901</v>
      </c>
    </row>
    <row r="70" spans="2:11" hidden="1" outlineLevel="1">
      <c r="B70" s="78">
        <f t="shared" si="3"/>
        <v>45931</v>
      </c>
      <c r="C70" s="75">
        <v>-20732.016742289066</v>
      </c>
      <c r="D70" s="71">
        <f>IF(F70&lt;&gt;0,VLOOKUP($J70,'Table 1'!$B$13:$C$33,2,FALSE)/12*1000*Study_MW,0)</f>
        <v>196513.1551842544</v>
      </c>
      <c r="E70" s="71">
        <f t="shared" si="21"/>
        <v>175781.13844196533</v>
      </c>
      <c r="F70" s="75">
        <v>18004.929516371001</v>
      </c>
      <c r="G70" s="76">
        <f t="shared" si="16"/>
        <v>9.7629451024585325</v>
      </c>
      <c r="I70" s="77">
        <f t="shared" si="22"/>
        <v>62</v>
      </c>
      <c r="J70" s="73">
        <f t="shared" si="4"/>
        <v>2025</v>
      </c>
      <c r="K70" s="78">
        <f t="shared" si="23"/>
        <v>45931</v>
      </c>
    </row>
    <row r="71" spans="2:11" hidden="1" outlineLevel="1">
      <c r="B71" s="78">
        <f t="shared" si="3"/>
        <v>45962</v>
      </c>
      <c r="C71" s="75">
        <v>33837.498703151941</v>
      </c>
      <c r="D71" s="71">
        <f>IF(F71&lt;&gt;0,VLOOKUP($J71,'Table 1'!$B$13:$C$33,2,FALSE)/12*1000*Study_MW,0)</f>
        <v>196513.1551842544</v>
      </c>
      <c r="E71" s="71">
        <f t="shared" si="21"/>
        <v>230350.65388740634</v>
      </c>
      <c r="F71" s="75">
        <v>12724.893231</v>
      </c>
      <c r="G71" s="76">
        <f t="shared" si="16"/>
        <v>18.102364373968424</v>
      </c>
      <c r="I71" s="77">
        <f t="shared" si="22"/>
        <v>63</v>
      </c>
      <c r="J71" s="73">
        <f t="shared" si="4"/>
        <v>2025</v>
      </c>
      <c r="K71" s="78">
        <f t="shared" si="23"/>
        <v>45962</v>
      </c>
    </row>
    <row r="72" spans="2:11" hidden="1" outlineLevel="1">
      <c r="B72" s="82">
        <f t="shared" si="3"/>
        <v>45992</v>
      </c>
      <c r="C72" s="79">
        <v>48287.128784328699</v>
      </c>
      <c r="D72" s="80">
        <f>IF(F72&lt;&gt;0,VLOOKUP($J72,'Table 1'!$B$13:$C$33,2,FALSE)/12*1000*Study_MW,0)</f>
        <v>196513.1551842544</v>
      </c>
      <c r="E72" s="80">
        <f t="shared" si="21"/>
        <v>244800.2839685831</v>
      </c>
      <c r="F72" s="79">
        <v>9094.7938034300005</v>
      </c>
      <c r="G72" s="81">
        <f t="shared" si="16"/>
        <v>26.916529308917305</v>
      </c>
      <c r="I72" s="64">
        <f t="shared" si="22"/>
        <v>64</v>
      </c>
      <c r="J72" s="73">
        <f t="shared" si="4"/>
        <v>2025</v>
      </c>
      <c r="K72" s="82">
        <f t="shared" si="23"/>
        <v>45992</v>
      </c>
    </row>
    <row r="73" spans="2:11" hidden="1" outlineLevel="1">
      <c r="B73" s="74">
        <f t="shared" si="3"/>
        <v>46023</v>
      </c>
      <c r="C73" s="69">
        <v>38908.509427636862</v>
      </c>
      <c r="D73" s="70">
        <f>IF(F73&lt;&gt;0,VLOOKUP($J73,'Table 1'!$B$13:$C$33,2,FALSE)/12*1000*Study_MW,0)</f>
        <v>201423.41593585254</v>
      </c>
      <c r="E73" s="70">
        <f t="shared" si="21"/>
        <v>240331.9253634894</v>
      </c>
      <c r="F73" s="69">
        <v>12145.812450629999</v>
      </c>
      <c r="G73" s="72">
        <f t="shared" si="16"/>
        <v>19.787225131326927</v>
      </c>
      <c r="I73" s="60">
        <f>I61+13</f>
        <v>66</v>
      </c>
      <c r="J73" s="73">
        <f t="shared" si="4"/>
        <v>2026</v>
      </c>
      <c r="K73" s="74">
        <f t="shared" si="23"/>
        <v>46023</v>
      </c>
    </row>
    <row r="74" spans="2:11" hidden="1" outlineLevel="1">
      <c r="B74" s="78">
        <f t="shared" si="3"/>
        <v>46054</v>
      </c>
      <c r="C74" s="75">
        <v>31453.843708515167</v>
      </c>
      <c r="D74" s="71">
        <f>IF(F74&lt;&gt;0,VLOOKUP($J74,'Table 1'!$B$13:$C$33,2,FALSE)/12*1000*Study_MW,0)</f>
        <v>201423.41593585254</v>
      </c>
      <c r="E74" s="71">
        <f t="shared" si="21"/>
        <v>232877.2596443677</v>
      </c>
      <c r="F74" s="75">
        <v>11846.5346059</v>
      </c>
      <c r="G74" s="76">
        <f t="shared" si="16"/>
        <v>19.657838126635486</v>
      </c>
      <c r="I74" s="77">
        <f t="shared" si="22"/>
        <v>67</v>
      </c>
      <c r="J74" s="73">
        <f t="shared" si="4"/>
        <v>2026</v>
      </c>
      <c r="K74" s="78">
        <f t="shared" si="23"/>
        <v>46054</v>
      </c>
    </row>
    <row r="75" spans="2:11" hidden="1" outlineLevel="1">
      <c r="B75" s="78">
        <f t="shared" si="3"/>
        <v>46082</v>
      </c>
      <c r="C75" s="75">
        <v>-18159.575650185347</v>
      </c>
      <c r="D75" s="71">
        <f>IF(F75&lt;&gt;0,VLOOKUP($J75,'Table 1'!$B$13:$C$33,2,FALSE)/12*1000*Study_MW,0)</f>
        <v>201423.41593585254</v>
      </c>
      <c r="E75" s="71">
        <f t="shared" si="21"/>
        <v>183263.84028566719</v>
      </c>
      <c r="F75" s="75">
        <v>16515.05102291</v>
      </c>
      <c r="G75" s="76">
        <f t="shared" si="16"/>
        <v>11.096777117517835</v>
      </c>
      <c r="I75" s="77">
        <f t="shared" si="22"/>
        <v>68</v>
      </c>
      <c r="J75" s="73">
        <f t="shared" si="4"/>
        <v>2026</v>
      </c>
      <c r="K75" s="78">
        <f t="shared" si="23"/>
        <v>46082</v>
      </c>
    </row>
    <row r="76" spans="2:11" hidden="1" outlineLevel="1">
      <c r="B76" s="78">
        <f t="shared" si="3"/>
        <v>46113</v>
      </c>
      <c r="C76" s="75">
        <v>-27489.908720195293</v>
      </c>
      <c r="D76" s="71">
        <f>IF(F76&lt;&gt;0,VLOOKUP($J76,'Table 1'!$B$13:$C$33,2,FALSE)/12*1000*Study_MW,0)</f>
        <v>201423.41593585254</v>
      </c>
      <c r="E76" s="71">
        <f t="shared" si="21"/>
        <v>173933.50721565724</v>
      </c>
      <c r="F76" s="75">
        <v>19576.590852276</v>
      </c>
      <c r="G76" s="76">
        <f t="shared" si="16"/>
        <v>8.8847700055720118</v>
      </c>
      <c r="I76" s="77">
        <f t="shared" si="22"/>
        <v>69</v>
      </c>
      <c r="J76" s="73">
        <f t="shared" si="4"/>
        <v>2026</v>
      </c>
      <c r="K76" s="78">
        <f t="shared" si="23"/>
        <v>46113</v>
      </c>
    </row>
    <row r="77" spans="2:11" hidden="1" outlineLevel="1">
      <c r="B77" s="78">
        <f t="shared" si="3"/>
        <v>46143</v>
      </c>
      <c r="C77" s="75">
        <v>55813.618182003498</v>
      </c>
      <c r="D77" s="71">
        <f>IF(F77&lt;&gt;0,VLOOKUP($J77,'Table 1'!$B$13:$C$33,2,FALSE)/12*1000*Study_MW,0)</f>
        <v>201423.41593585254</v>
      </c>
      <c r="E77" s="71">
        <f t="shared" si="21"/>
        <v>257237.03411785603</v>
      </c>
      <c r="F77" s="75">
        <v>26790.038652030002</v>
      </c>
      <c r="G77" s="76">
        <f t="shared" si="16"/>
        <v>9.6019657701525567</v>
      </c>
      <c r="I77" s="77">
        <f t="shared" si="22"/>
        <v>70</v>
      </c>
      <c r="J77" s="73">
        <f t="shared" si="4"/>
        <v>2026</v>
      </c>
      <c r="K77" s="78">
        <f t="shared" si="23"/>
        <v>46143</v>
      </c>
    </row>
    <row r="78" spans="2:11" hidden="1" outlineLevel="1">
      <c r="B78" s="78">
        <f t="shared" ref="B78:B141" si="49">EDATE(B77,1)</f>
        <v>46174</v>
      </c>
      <c r="C78" s="75">
        <v>106497.43439349532</v>
      </c>
      <c r="D78" s="71">
        <f>IF(F78&lt;&gt;0,VLOOKUP($J78,'Table 1'!$B$13:$C$33,2,FALSE)/12*1000*Study_MW,0)</f>
        <v>201423.41593585254</v>
      </c>
      <c r="E78" s="71">
        <f t="shared" ref="E78:E141" si="50">C78+D78</f>
        <v>307920.85032934789</v>
      </c>
      <c r="F78" s="75">
        <v>24544.468252539999</v>
      </c>
      <c r="G78" s="76">
        <f t="shared" ref="G78:G141" si="51">IF(ISNUMBER($F78),E78/$F78,"")</f>
        <v>12.545427636122552</v>
      </c>
      <c r="I78" s="77">
        <f t="shared" si="22"/>
        <v>71</v>
      </c>
      <c r="J78" s="73">
        <f t="shared" ref="J78:J141" si="52">YEAR(B78)</f>
        <v>2026</v>
      </c>
      <c r="K78" s="78">
        <f t="shared" si="23"/>
        <v>46174</v>
      </c>
    </row>
    <row r="79" spans="2:11" hidden="1" outlineLevel="1">
      <c r="B79" s="78">
        <f t="shared" si="49"/>
        <v>46204</v>
      </c>
      <c r="C79" s="75">
        <v>224937.18620279431</v>
      </c>
      <c r="D79" s="71">
        <f>IF(F79&lt;&gt;0,VLOOKUP($J79,'Table 1'!$B$13:$C$33,2,FALSE)/12*1000*Study_MW,0)</f>
        <v>201423.41593585254</v>
      </c>
      <c r="E79" s="71">
        <f t="shared" si="50"/>
        <v>426360.60213864688</v>
      </c>
      <c r="F79" s="75">
        <v>25035.81805672</v>
      </c>
      <c r="G79" s="76">
        <f t="shared" si="51"/>
        <v>17.030024789791327</v>
      </c>
      <c r="I79" s="77">
        <f t="shared" si="22"/>
        <v>72</v>
      </c>
      <c r="J79" s="73">
        <f t="shared" si="52"/>
        <v>2026</v>
      </c>
      <c r="K79" s="78">
        <f t="shared" si="23"/>
        <v>46204</v>
      </c>
    </row>
    <row r="80" spans="2:11" hidden="1" outlineLevel="1">
      <c r="B80" s="78">
        <f t="shared" si="49"/>
        <v>46235</v>
      </c>
      <c r="C80" s="75">
        <v>157890.80492518842</v>
      </c>
      <c r="D80" s="71">
        <f>IF(F80&lt;&gt;0,VLOOKUP($J80,'Table 1'!$B$13:$C$33,2,FALSE)/12*1000*Study_MW,0)</f>
        <v>201423.41593585254</v>
      </c>
      <c r="E80" s="71">
        <f t="shared" si="50"/>
        <v>359314.22086104099</v>
      </c>
      <c r="F80" s="75">
        <v>22471.007949047002</v>
      </c>
      <c r="G80" s="76">
        <f t="shared" si="51"/>
        <v>15.990124772141321</v>
      </c>
      <c r="I80" s="77">
        <f t="shared" si="22"/>
        <v>73</v>
      </c>
      <c r="J80" s="73">
        <f t="shared" si="52"/>
        <v>2026</v>
      </c>
      <c r="K80" s="78">
        <f t="shared" si="23"/>
        <v>46235</v>
      </c>
    </row>
    <row r="81" spans="2:11" hidden="1" outlineLevel="1">
      <c r="B81" s="78">
        <f t="shared" si="49"/>
        <v>46266</v>
      </c>
      <c r="C81" s="75">
        <v>14049.422437369823</v>
      </c>
      <c r="D81" s="71">
        <f>IF(F81&lt;&gt;0,VLOOKUP($J81,'Table 1'!$B$13:$C$33,2,FALSE)/12*1000*Study_MW,0)</f>
        <v>201423.41593585254</v>
      </c>
      <c r="E81" s="71">
        <f t="shared" si="50"/>
        <v>215472.83837322236</v>
      </c>
      <c r="F81" s="75">
        <v>21441.01769787</v>
      </c>
      <c r="G81" s="76">
        <f t="shared" si="51"/>
        <v>10.04956207813904</v>
      </c>
      <c r="I81" s="77">
        <f t="shared" si="22"/>
        <v>74</v>
      </c>
      <c r="J81" s="73">
        <f t="shared" si="52"/>
        <v>2026</v>
      </c>
      <c r="K81" s="78">
        <f t="shared" si="23"/>
        <v>46266</v>
      </c>
    </row>
    <row r="82" spans="2:11" hidden="1" outlineLevel="1">
      <c r="B82" s="78">
        <f t="shared" si="49"/>
        <v>46296</v>
      </c>
      <c r="C82" s="75">
        <v>-477.40135264396667</v>
      </c>
      <c r="D82" s="71">
        <f>IF(F82&lt;&gt;0,VLOOKUP($J82,'Table 1'!$B$13:$C$33,2,FALSE)/12*1000*Study_MW,0)</f>
        <v>201423.41593585254</v>
      </c>
      <c r="E82" s="71">
        <f t="shared" si="50"/>
        <v>200946.01458320857</v>
      </c>
      <c r="F82" s="75">
        <v>17914.905165322001</v>
      </c>
      <c r="G82" s="76">
        <f t="shared" si="51"/>
        <v>11.216694296109425</v>
      </c>
      <c r="I82" s="77">
        <f t="shared" si="22"/>
        <v>75</v>
      </c>
      <c r="J82" s="73">
        <f t="shared" si="52"/>
        <v>2026</v>
      </c>
      <c r="K82" s="78">
        <f t="shared" si="23"/>
        <v>46296</v>
      </c>
    </row>
    <row r="83" spans="2:11" hidden="1" outlineLevel="1">
      <c r="B83" s="78">
        <f t="shared" si="49"/>
        <v>46327</v>
      </c>
      <c r="C83" s="75">
        <v>41116.684459328651</v>
      </c>
      <c r="D83" s="71">
        <f>IF(F83&lt;&gt;0,VLOOKUP($J83,'Table 1'!$B$13:$C$33,2,FALSE)/12*1000*Study_MW,0)</f>
        <v>201423.41593585254</v>
      </c>
      <c r="E83" s="71">
        <f t="shared" si="50"/>
        <v>242540.10039518119</v>
      </c>
      <c r="F83" s="75">
        <v>12661.2687121</v>
      </c>
      <c r="G83" s="76">
        <f t="shared" si="51"/>
        <v>19.156066102869516</v>
      </c>
      <c r="I83" s="77">
        <f t="shared" si="22"/>
        <v>76</v>
      </c>
      <c r="J83" s="73">
        <f t="shared" si="52"/>
        <v>2026</v>
      </c>
      <c r="K83" s="78">
        <f t="shared" si="23"/>
        <v>46327</v>
      </c>
    </row>
    <row r="84" spans="2:11" hidden="1" outlineLevel="1">
      <c r="B84" s="82">
        <f t="shared" si="49"/>
        <v>46357</v>
      </c>
      <c r="C84" s="79">
        <v>55179.232611551881</v>
      </c>
      <c r="D84" s="80">
        <f>IF(F84&lt;&gt;0,VLOOKUP($J84,'Table 1'!$B$13:$C$33,2,FALSE)/12*1000*Study_MW,0)</f>
        <v>201423.41593585254</v>
      </c>
      <c r="E84" s="80">
        <f t="shared" si="50"/>
        <v>256602.64854740442</v>
      </c>
      <c r="F84" s="79">
        <v>9049.3198159160002</v>
      </c>
      <c r="G84" s="81">
        <f t="shared" si="51"/>
        <v>28.356015011878579</v>
      </c>
      <c r="I84" s="64">
        <f t="shared" si="22"/>
        <v>77</v>
      </c>
      <c r="J84" s="73">
        <f t="shared" si="52"/>
        <v>2026</v>
      </c>
      <c r="K84" s="82">
        <f t="shared" si="23"/>
        <v>46357</v>
      </c>
    </row>
    <row r="85" spans="2:11" hidden="1" outlineLevel="1">
      <c r="B85" s="74">
        <f t="shared" si="49"/>
        <v>46388</v>
      </c>
      <c r="C85" s="69">
        <v>42973.8080509305</v>
      </c>
      <c r="D85" s="70">
        <f>IF(F85&lt;&gt;0,VLOOKUP($J85,'Table 1'!$B$13:$C$33,2,FALSE)/12*1000*Study_MW,0)</f>
        <v>206456.94683184236</v>
      </c>
      <c r="E85" s="70">
        <f t="shared" si="50"/>
        <v>249430.75488277286</v>
      </c>
      <c r="F85" s="69">
        <v>12085.083379015001</v>
      </c>
      <c r="G85" s="72">
        <f t="shared" si="51"/>
        <v>20.639555976576375</v>
      </c>
      <c r="I85" s="60">
        <f>I73+13</f>
        <v>79</v>
      </c>
      <c r="J85" s="73">
        <f t="shared" si="52"/>
        <v>2027</v>
      </c>
      <c r="K85" s="74">
        <f t="shared" si="23"/>
        <v>46388</v>
      </c>
    </row>
    <row r="86" spans="2:11" hidden="1" outlineLevel="1">
      <c r="B86" s="78">
        <f t="shared" si="49"/>
        <v>46419</v>
      </c>
      <c r="C86" s="75">
        <v>37323.953020855784</v>
      </c>
      <c r="D86" s="71">
        <f>IF(F86&lt;&gt;0,VLOOKUP($J86,'Table 1'!$B$13:$C$33,2,FALSE)/12*1000*Study_MW,0)</f>
        <v>206456.94683184236</v>
      </c>
      <c r="E86" s="71">
        <f t="shared" si="50"/>
        <v>243780.89985269814</v>
      </c>
      <c r="F86" s="75">
        <v>11787.3019078</v>
      </c>
      <c r="G86" s="76">
        <f t="shared" si="51"/>
        <v>20.681654017140364</v>
      </c>
      <c r="I86" s="77">
        <f t="shared" si="22"/>
        <v>80</v>
      </c>
      <c r="J86" s="73">
        <f t="shared" si="52"/>
        <v>2027</v>
      </c>
      <c r="K86" s="78">
        <f t="shared" si="23"/>
        <v>46419</v>
      </c>
    </row>
    <row r="87" spans="2:11" hidden="1" outlineLevel="1">
      <c r="B87" s="78">
        <f t="shared" si="49"/>
        <v>46447</v>
      </c>
      <c r="C87" s="75">
        <v>25084.024775952101</v>
      </c>
      <c r="D87" s="71">
        <f>IF(F87&lt;&gt;0,VLOOKUP($J87,'Table 1'!$B$13:$C$33,2,FALSE)/12*1000*Study_MW,0)</f>
        <v>206456.94683184236</v>
      </c>
      <c r="E87" s="71">
        <f t="shared" si="50"/>
        <v>231540.97160779446</v>
      </c>
      <c r="F87" s="75">
        <v>16432.475882089999</v>
      </c>
      <c r="G87" s="76">
        <f t="shared" si="51"/>
        <v>14.090449501900954</v>
      </c>
      <c r="I87" s="77">
        <f t="shared" si="22"/>
        <v>81</v>
      </c>
      <c r="J87" s="73">
        <f t="shared" si="52"/>
        <v>2027</v>
      </c>
      <c r="K87" s="78">
        <f t="shared" si="23"/>
        <v>46447</v>
      </c>
    </row>
    <row r="88" spans="2:11" hidden="1" outlineLevel="1">
      <c r="B88" s="78">
        <f t="shared" si="49"/>
        <v>46478</v>
      </c>
      <c r="C88" s="75">
        <v>-40405.88460829854</v>
      </c>
      <c r="D88" s="71">
        <f>IF(F88&lt;&gt;0,VLOOKUP($J88,'Table 1'!$B$13:$C$33,2,FALSE)/12*1000*Study_MW,0)</f>
        <v>206456.94683184236</v>
      </c>
      <c r="E88" s="71">
        <f t="shared" si="50"/>
        <v>166051.06222354382</v>
      </c>
      <c r="F88" s="75">
        <v>19478.707732817002</v>
      </c>
      <c r="G88" s="76">
        <f t="shared" si="51"/>
        <v>8.5247473549688912</v>
      </c>
      <c r="I88" s="77">
        <f t="shared" si="22"/>
        <v>82</v>
      </c>
      <c r="J88" s="73">
        <f t="shared" si="52"/>
        <v>2027</v>
      </c>
      <c r="K88" s="78">
        <f t="shared" si="23"/>
        <v>46478</v>
      </c>
    </row>
    <row r="89" spans="2:11" hidden="1" outlineLevel="1">
      <c r="B89" s="78">
        <f t="shared" si="49"/>
        <v>46508</v>
      </c>
      <c r="C89" s="75">
        <v>64897.268756300211</v>
      </c>
      <c r="D89" s="71">
        <f>IF(F89&lt;&gt;0,VLOOKUP($J89,'Table 1'!$B$13:$C$33,2,FALSE)/12*1000*Study_MW,0)</f>
        <v>206456.94683184236</v>
      </c>
      <c r="E89" s="71">
        <f t="shared" si="50"/>
        <v>271354.21558814257</v>
      </c>
      <c r="F89" s="75">
        <v>26656.088482499999</v>
      </c>
      <c r="G89" s="76">
        <f t="shared" si="51"/>
        <v>10.179821235448308</v>
      </c>
      <c r="I89" s="77">
        <f t="shared" si="22"/>
        <v>83</v>
      </c>
      <c r="J89" s="73">
        <f t="shared" si="52"/>
        <v>2027</v>
      </c>
      <c r="K89" s="78">
        <f t="shared" si="23"/>
        <v>46508</v>
      </c>
    </row>
    <row r="90" spans="2:11" hidden="1" outlineLevel="1">
      <c r="B90" s="78">
        <f t="shared" si="49"/>
        <v>46539</v>
      </c>
      <c r="C90" s="75">
        <v>105607.12851317227</v>
      </c>
      <c r="D90" s="71">
        <f>IF(F90&lt;&gt;0,VLOOKUP($J90,'Table 1'!$B$13:$C$33,2,FALSE)/12*1000*Study_MW,0)</f>
        <v>206456.94683184236</v>
      </c>
      <c r="E90" s="71">
        <f t="shared" si="50"/>
        <v>312064.07534501463</v>
      </c>
      <c r="F90" s="75">
        <v>24421.745959800999</v>
      </c>
      <c r="G90" s="76">
        <f t="shared" si="51"/>
        <v>12.778123065348497</v>
      </c>
      <c r="I90" s="77">
        <f t="shared" ref="I90:I96" si="53">I78+13</f>
        <v>84</v>
      </c>
      <c r="J90" s="73">
        <f t="shared" si="52"/>
        <v>2027</v>
      </c>
      <c r="K90" s="78">
        <f t="shared" ref="K90:K153" si="54">IF(ISNUMBER(F90),IF(F90&lt;&gt;0,B90,""),"")</f>
        <v>46539</v>
      </c>
    </row>
    <row r="91" spans="2:11" hidden="1" outlineLevel="1">
      <c r="B91" s="78">
        <f t="shared" si="49"/>
        <v>46569</v>
      </c>
      <c r="C91" s="75">
        <v>229591.46388986707</v>
      </c>
      <c r="D91" s="71">
        <f>IF(F91&lt;&gt;0,VLOOKUP($J91,'Table 1'!$B$13:$C$33,2,FALSE)/12*1000*Study_MW,0)</f>
        <v>206456.94683184236</v>
      </c>
      <c r="E91" s="71">
        <f t="shared" si="50"/>
        <v>436048.41072170943</v>
      </c>
      <c r="F91" s="75">
        <v>24910.63865524</v>
      </c>
      <c r="G91" s="76">
        <f t="shared" si="51"/>
        <v>17.504505474811896</v>
      </c>
      <c r="I91" s="77">
        <f t="shared" si="53"/>
        <v>85</v>
      </c>
      <c r="J91" s="73">
        <f t="shared" si="52"/>
        <v>2027</v>
      </c>
      <c r="K91" s="78">
        <f t="shared" si="54"/>
        <v>46569</v>
      </c>
    </row>
    <row r="92" spans="2:11" hidden="1" outlineLevel="1">
      <c r="B92" s="78">
        <f t="shared" si="49"/>
        <v>46600</v>
      </c>
      <c r="C92" s="75">
        <v>220251.54326748848</v>
      </c>
      <c r="D92" s="71">
        <f>IF(F92&lt;&gt;0,VLOOKUP($J92,'Table 1'!$B$13:$C$33,2,FALSE)/12*1000*Study_MW,0)</f>
        <v>206456.94683184236</v>
      </c>
      <c r="E92" s="71">
        <f t="shared" si="50"/>
        <v>426708.49009933084</v>
      </c>
      <c r="F92" s="75">
        <v>22358.652856344001</v>
      </c>
      <c r="G92" s="76">
        <f t="shared" si="51"/>
        <v>19.08471377237996</v>
      </c>
      <c r="I92" s="77">
        <f t="shared" si="53"/>
        <v>86</v>
      </c>
      <c r="J92" s="73">
        <f t="shared" si="52"/>
        <v>2027</v>
      </c>
      <c r="K92" s="78">
        <f t="shared" si="54"/>
        <v>46600</v>
      </c>
    </row>
    <row r="93" spans="2:11" hidden="1" outlineLevel="1">
      <c r="B93" s="78">
        <f t="shared" si="49"/>
        <v>46631</v>
      </c>
      <c r="C93" s="75">
        <v>34184.314113885164</v>
      </c>
      <c r="D93" s="71">
        <f>IF(F93&lt;&gt;0,VLOOKUP($J93,'Table 1'!$B$13:$C$33,2,FALSE)/12*1000*Study_MW,0)</f>
        <v>206456.94683184236</v>
      </c>
      <c r="E93" s="71">
        <f t="shared" si="50"/>
        <v>240641.26094572752</v>
      </c>
      <c r="F93" s="75">
        <v>21333.812679480001</v>
      </c>
      <c r="G93" s="76">
        <f t="shared" si="51"/>
        <v>11.27980565692269</v>
      </c>
      <c r="I93" s="77">
        <f t="shared" si="53"/>
        <v>87</v>
      </c>
      <c r="J93" s="73">
        <f t="shared" si="52"/>
        <v>2027</v>
      </c>
      <c r="K93" s="78">
        <f t="shared" si="54"/>
        <v>46631</v>
      </c>
    </row>
    <row r="94" spans="2:11" hidden="1" outlineLevel="1">
      <c r="B94" s="78">
        <f t="shared" si="49"/>
        <v>46661</v>
      </c>
      <c r="C94" s="75">
        <v>8718.4588685929775</v>
      </c>
      <c r="D94" s="71">
        <f>IF(F94&lt;&gt;0,VLOOKUP($J94,'Table 1'!$B$13:$C$33,2,FALSE)/12*1000*Study_MW,0)</f>
        <v>206456.94683184236</v>
      </c>
      <c r="E94" s="71">
        <f t="shared" si="50"/>
        <v>215175.40570043534</v>
      </c>
      <c r="F94" s="75">
        <v>17825.330290230999</v>
      </c>
      <c r="G94" s="76">
        <f t="shared" si="51"/>
        <v>12.071327834994459</v>
      </c>
      <c r="I94" s="77">
        <f t="shared" si="53"/>
        <v>88</v>
      </c>
      <c r="J94" s="73">
        <f t="shared" si="52"/>
        <v>2027</v>
      </c>
      <c r="K94" s="78">
        <f t="shared" si="54"/>
        <v>46661</v>
      </c>
    </row>
    <row r="95" spans="2:11" hidden="1" outlineLevel="1">
      <c r="B95" s="78">
        <f t="shared" si="49"/>
        <v>46692</v>
      </c>
      <c r="C95" s="75">
        <v>46213.035720765591</v>
      </c>
      <c r="D95" s="71">
        <f>IF(F95&lt;&gt;0,VLOOKUP($J95,'Table 1'!$B$13:$C$33,2,FALSE)/12*1000*Study_MW,0)</f>
        <v>206456.94683184236</v>
      </c>
      <c r="E95" s="71">
        <f t="shared" si="50"/>
        <v>252669.98255260795</v>
      </c>
      <c r="F95" s="75">
        <v>12597.962383</v>
      </c>
      <c r="G95" s="76">
        <f t="shared" si="51"/>
        <v>20.056416654614484</v>
      </c>
      <c r="I95" s="77">
        <f t="shared" si="53"/>
        <v>89</v>
      </c>
      <c r="J95" s="73">
        <f t="shared" si="52"/>
        <v>2027</v>
      </c>
      <c r="K95" s="78">
        <f t="shared" si="54"/>
        <v>46692</v>
      </c>
    </row>
    <row r="96" spans="2:11" hidden="1" outlineLevel="1">
      <c r="B96" s="82">
        <f t="shared" si="49"/>
        <v>46722</v>
      </c>
      <c r="C96" s="79">
        <v>50523.170342728496</v>
      </c>
      <c r="D96" s="80">
        <f>IF(F96&lt;&gt;0,VLOOKUP($J96,'Table 1'!$B$13:$C$33,2,FALSE)/12*1000*Study_MW,0)</f>
        <v>206456.94683184236</v>
      </c>
      <c r="E96" s="80">
        <f t="shared" si="50"/>
        <v>256980.11717457086</v>
      </c>
      <c r="F96" s="79">
        <v>9004.0732393350008</v>
      </c>
      <c r="G96" s="81">
        <f t="shared" si="51"/>
        <v>28.540429463848987</v>
      </c>
      <c r="I96" s="64">
        <f t="shared" si="53"/>
        <v>90</v>
      </c>
      <c r="J96" s="73">
        <f t="shared" si="52"/>
        <v>2027</v>
      </c>
      <c r="K96" s="82">
        <f t="shared" si="54"/>
        <v>46722</v>
      </c>
    </row>
    <row r="97" spans="2:11" hidden="1" outlineLevel="1">
      <c r="B97" s="74">
        <f t="shared" si="49"/>
        <v>46753</v>
      </c>
      <c r="C97" s="69">
        <v>102221.14500910044</v>
      </c>
      <c r="D97" s="70">
        <f>IF(F97&lt;&gt;0,VLOOKUP($J97,'Table 1'!$B$13:$C$33,2,FALSE)/12*1000*Study_MW,0)</f>
        <v>211408.29763157107</v>
      </c>
      <c r="E97" s="70">
        <f t="shared" si="50"/>
        <v>313629.44264067151</v>
      </c>
      <c r="F97" s="69">
        <v>12024.657922603999</v>
      </c>
      <c r="G97" s="72">
        <f t="shared" si="51"/>
        <v>26.082192496396065</v>
      </c>
      <c r="I97" s="60">
        <f>I85+13</f>
        <v>92</v>
      </c>
      <c r="J97" s="73">
        <f t="shared" si="52"/>
        <v>2028</v>
      </c>
      <c r="K97" s="74">
        <f t="shared" si="54"/>
        <v>46753</v>
      </c>
    </row>
    <row r="98" spans="2:11" hidden="1" outlineLevel="1">
      <c r="B98" s="78">
        <f t="shared" si="49"/>
        <v>46784</v>
      </c>
      <c r="C98" s="75">
        <v>95968.732623383403</v>
      </c>
      <c r="D98" s="71">
        <f>IF(F98&lt;&gt;0,VLOOKUP($J98,'Table 1'!$B$13:$C$33,2,FALSE)/12*1000*Study_MW,0)</f>
        <v>211408.29763157107</v>
      </c>
      <c r="E98" s="71">
        <f t="shared" si="50"/>
        <v>307377.03025495447</v>
      </c>
      <c r="F98" s="75">
        <v>12314.953508543</v>
      </c>
      <c r="G98" s="76">
        <f t="shared" si="51"/>
        <v>24.959658194545689</v>
      </c>
      <c r="I98" s="77">
        <f t="shared" ref="I98:I120" si="55">I86+13</f>
        <v>93</v>
      </c>
      <c r="J98" s="73">
        <f t="shared" si="52"/>
        <v>2028</v>
      </c>
      <c r="K98" s="78">
        <f t="shared" si="54"/>
        <v>46784</v>
      </c>
    </row>
    <row r="99" spans="2:11" hidden="1" outlineLevel="1">
      <c r="B99" s="78">
        <f t="shared" si="49"/>
        <v>46813</v>
      </c>
      <c r="C99" s="75">
        <v>67538.584955200553</v>
      </c>
      <c r="D99" s="71">
        <f>IF(F99&lt;&gt;0,VLOOKUP($J99,'Table 1'!$B$13:$C$33,2,FALSE)/12*1000*Study_MW,0)</f>
        <v>211408.29763157107</v>
      </c>
      <c r="E99" s="71">
        <f t="shared" si="50"/>
        <v>278946.88258677162</v>
      </c>
      <c r="F99" s="75">
        <v>16350.31314276</v>
      </c>
      <c r="G99" s="76">
        <f t="shared" si="51"/>
        <v>17.060644658679866</v>
      </c>
      <c r="I99" s="77">
        <f t="shared" si="55"/>
        <v>94</v>
      </c>
      <c r="J99" s="73">
        <f t="shared" si="52"/>
        <v>2028</v>
      </c>
      <c r="K99" s="78">
        <f t="shared" si="54"/>
        <v>46813</v>
      </c>
    </row>
    <row r="100" spans="2:11" hidden="1" outlineLevel="1">
      <c r="B100" s="78">
        <f t="shared" si="49"/>
        <v>46844</v>
      </c>
      <c r="C100" s="75">
        <v>18709.952843800187</v>
      </c>
      <c r="D100" s="71">
        <f>IF(F100&lt;&gt;0,VLOOKUP($J100,'Table 1'!$B$13:$C$33,2,FALSE)/12*1000*Study_MW,0)</f>
        <v>211408.29763157107</v>
      </c>
      <c r="E100" s="71">
        <f t="shared" si="50"/>
        <v>230118.25047537126</v>
      </c>
      <c r="F100" s="75">
        <v>19381.314442555999</v>
      </c>
      <c r="G100" s="76">
        <f t="shared" si="51"/>
        <v>11.873201436229492</v>
      </c>
      <c r="I100" s="77">
        <f t="shared" si="55"/>
        <v>95</v>
      </c>
      <c r="J100" s="73">
        <f t="shared" si="52"/>
        <v>2028</v>
      </c>
      <c r="K100" s="78">
        <f t="shared" si="54"/>
        <v>46844</v>
      </c>
    </row>
    <row r="101" spans="2:11" hidden="1" outlineLevel="1">
      <c r="B101" s="78">
        <f t="shared" si="49"/>
        <v>46874</v>
      </c>
      <c r="C101" s="75">
        <v>129322.67581361532</v>
      </c>
      <c r="D101" s="71">
        <f>IF(F101&lt;&gt;0,VLOOKUP($J101,'Table 1'!$B$13:$C$33,2,FALSE)/12*1000*Study_MW,0)</f>
        <v>211408.29763157107</v>
      </c>
      <c r="E101" s="71">
        <f t="shared" si="50"/>
        <v>340730.97344518639</v>
      </c>
      <c r="F101" s="75">
        <v>26522.807739020001</v>
      </c>
      <c r="G101" s="76">
        <f t="shared" si="51"/>
        <v>12.846715807689829</v>
      </c>
      <c r="I101" s="77">
        <f t="shared" si="55"/>
        <v>96</v>
      </c>
      <c r="J101" s="73">
        <f t="shared" si="52"/>
        <v>2028</v>
      </c>
      <c r="K101" s="78">
        <f t="shared" si="54"/>
        <v>46874</v>
      </c>
    </row>
    <row r="102" spans="2:11" hidden="1" outlineLevel="1">
      <c r="B102" s="78">
        <f t="shared" si="49"/>
        <v>46905</v>
      </c>
      <c r="C102" s="75">
        <v>169539.90769203007</v>
      </c>
      <c r="D102" s="71">
        <f>IF(F102&lt;&gt;0,VLOOKUP($J102,'Table 1'!$B$13:$C$33,2,FALSE)/12*1000*Study_MW,0)</f>
        <v>211408.29763157107</v>
      </c>
      <c r="E102" s="71">
        <f t="shared" si="50"/>
        <v>380948.20532360114</v>
      </c>
      <c r="F102" s="75">
        <v>24299.637252707998</v>
      </c>
      <c r="G102" s="76">
        <f t="shared" si="51"/>
        <v>15.677114903480609</v>
      </c>
      <c r="I102" s="77">
        <f t="shared" si="55"/>
        <v>97</v>
      </c>
      <c r="J102" s="73">
        <f t="shared" si="52"/>
        <v>2028</v>
      </c>
      <c r="K102" s="78">
        <f t="shared" si="54"/>
        <v>46905</v>
      </c>
    </row>
    <row r="103" spans="2:11" hidden="1" outlineLevel="1">
      <c r="B103" s="78">
        <f t="shared" si="49"/>
        <v>46935</v>
      </c>
      <c r="C103" s="75">
        <v>427522.7574890852</v>
      </c>
      <c r="D103" s="71">
        <f>IF(F103&lt;&gt;0,VLOOKUP($J103,'Table 1'!$B$13:$C$33,2,FALSE)/12*1000*Study_MW,0)</f>
        <v>211408.29763157107</v>
      </c>
      <c r="E103" s="71">
        <f t="shared" si="50"/>
        <v>638931.05512065627</v>
      </c>
      <c r="F103" s="75">
        <v>24786.085363589998</v>
      </c>
      <c r="G103" s="76">
        <f t="shared" si="51"/>
        <v>25.777812258293373</v>
      </c>
      <c r="I103" s="77">
        <f t="shared" si="55"/>
        <v>98</v>
      </c>
      <c r="J103" s="73">
        <f t="shared" si="52"/>
        <v>2028</v>
      </c>
      <c r="K103" s="78">
        <f t="shared" si="54"/>
        <v>46935</v>
      </c>
    </row>
    <row r="104" spans="2:11" hidden="1" outlineLevel="1">
      <c r="B104" s="78">
        <f t="shared" si="49"/>
        <v>46966</v>
      </c>
      <c r="C104" s="75">
        <v>400402.28896063566</v>
      </c>
      <c r="D104" s="71">
        <f>IF(F104&lt;&gt;0,VLOOKUP($J104,'Table 1'!$B$13:$C$33,2,FALSE)/12*1000*Study_MW,0)</f>
        <v>211408.29763157107</v>
      </c>
      <c r="E104" s="71">
        <f t="shared" si="50"/>
        <v>611810.58659220673</v>
      </c>
      <c r="F104" s="75">
        <v>22246.859472111999</v>
      </c>
      <c r="G104" s="76">
        <f t="shared" si="51"/>
        <v>27.500986705973229</v>
      </c>
      <c r="I104" s="77">
        <f t="shared" si="55"/>
        <v>99</v>
      </c>
      <c r="J104" s="73">
        <f t="shared" si="52"/>
        <v>2028</v>
      </c>
      <c r="K104" s="78">
        <f t="shared" si="54"/>
        <v>46966</v>
      </c>
    </row>
    <row r="105" spans="2:11" hidden="1" outlineLevel="1">
      <c r="B105" s="78">
        <f t="shared" si="49"/>
        <v>46997</v>
      </c>
      <c r="C105" s="75">
        <v>125813.20917840302</v>
      </c>
      <c r="D105" s="71">
        <f>IF(F105&lt;&gt;0,VLOOKUP($J105,'Table 1'!$B$13:$C$33,2,FALSE)/12*1000*Study_MW,0)</f>
        <v>211408.29763157107</v>
      </c>
      <c r="E105" s="71">
        <f t="shared" si="50"/>
        <v>337221.50680997409</v>
      </c>
      <c r="F105" s="75">
        <v>21227.143606950001</v>
      </c>
      <c r="G105" s="76">
        <f t="shared" si="51"/>
        <v>15.886334640877637</v>
      </c>
      <c r="I105" s="77">
        <f t="shared" si="55"/>
        <v>100</v>
      </c>
      <c r="J105" s="73">
        <f t="shared" si="52"/>
        <v>2028</v>
      </c>
      <c r="K105" s="78">
        <f t="shared" si="54"/>
        <v>46997</v>
      </c>
    </row>
    <row r="106" spans="2:11" hidden="1" outlineLevel="1">
      <c r="B106" s="78">
        <f t="shared" si="49"/>
        <v>47027</v>
      </c>
      <c r="C106" s="75">
        <v>78840.121422410011</v>
      </c>
      <c r="D106" s="71">
        <f>IF(F106&lt;&gt;0,VLOOKUP($J106,'Table 1'!$B$13:$C$33,2,FALSE)/12*1000*Study_MW,0)</f>
        <v>211408.29763157107</v>
      </c>
      <c r="E106" s="71">
        <f t="shared" si="50"/>
        <v>290248.41905398108</v>
      </c>
      <c r="F106" s="75">
        <v>17736.203772736</v>
      </c>
      <c r="G106" s="76">
        <f t="shared" si="51"/>
        <v>16.364743141942778</v>
      </c>
      <c r="I106" s="77">
        <f t="shared" si="55"/>
        <v>101</v>
      </c>
      <c r="J106" s="73">
        <f t="shared" si="52"/>
        <v>2028</v>
      </c>
      <c r="K106" s="78">
        <f t="shared" si="54"/>
        <v>47027</v>
      </c>
    </row>
    <row r="107" spans="2:11" hidden="1" outlineLevel="1">
      <c r="B107" s="78">
        <f t="shared" si="49"/>
        <v>47058</v>
      </c>
      <c r="C107" s="75">
        <v>118863.21401062608</v>
      </c>
      <c r="D107" s="71">
        <f>IF(F107&lt;&gt;0,VLOOKUP($J107,'Table 1'!$B$13:$C$33,2,FALSE)/12*1000*Study_MW,0)</f>
        <v>211408.29763157107</v>
      </c>
      <c r="E107" s="71">
        <f t="shared" si="50"/>
        <v>330271.51164219715</v>
      </c>
      <c r="F107" s="75">
        <v>12534.9725796</v>
      </c>
      <c r="G107" s="76">
        <f t="shared" si="51"/>
        <v>26.348004317113261</v>
      </c>
      <c r="I107" s="77">
        <f t="shared" si="55"/>
        <v>102</v>
      </c>
      <c r="J107" s="73">
        <f t="shared" si="52"/>
        <v>2028</v>
      </c>
      <c r="K107" s="78">
        <f t="shared" si="54"/>
        <v>47058</v>
      </c>
    </row>
    <row r="108" spans="2:11" hidden="1" outlineLevel="1">
      <c r="B108" s="82">
        <f t="shared" si="49"/>
        <v>47088</v>
      </c>
      <c r="C108" s="79">
        <v>92392.701147571206</v>
      </c>
      <c r="D108" s="80">
        <f>IF(F108&lt;&gt;0,VLOOKUP($J108,'Table 1'!$B$13:$C$33,2,FALSE)/12*1000*Study_MW,0)</f>
        <v>211408.29763157107</v>
      </c>
      <c r="E108" s="80">
        <f t="shared" si="50"/>
        <v>303800.99877914228</v>
      </c>
      <c r="F108" s="79">
        <v>8959.0528833600001</v>
      </c>
      <c r="G108" s="81">
        <f t="shared" si="51"/>
        <v>33.90994592111447</v>
      </c>
      <c r="I108" s="64">
        <f t="shared" si="55"/>
        <v>103</v>
      </c>
      <c r="J108" s="73">
        <f t="shared" si="52"/>
        <v>2028</v>
      </c>
      <c r="K108" s="82">
        <f t="shared" si="54"/>
        <v>47088</v>
      </c>
    </row>
    <row r="109" spans="2:11" hidden="1" outlineLevel="1">
      <c r="B109" s="74">
        <f t="shared" si="49"/>
        <v>47119</v>
      </c>
      <c r="C109" s="69">
        <v>137105.06200753152</v>
      </c>
      <c r="D109" s="70">
        <f>IF(F109&lt;&gt;0,VLOOKUP($J109,'Table 1'!$B$13:$C$33,2,FALSE)/12*1000*Study_MW,0)</f>
        <v>216482.91857569135</v>
      </c>
      <c r="E109" s="70">
        <f t="shared" si="50"/>
        <v>353587.98058322287</v>
      </c>
      <c r="F109" s="69">
        <v>11964.534679619999</v>
      </c>
      <c r="G109" s="72">
        <f t="shared" si="51"/>
        <v>29.553007287906748</v>
      </c>
      <c r="I109" s="60">
        <f>I97+13</f>
        <v>105</v>
      </c>
      <c r="J109" s="73">
        <f t="shared" si="52"/>
        <v>2029</v>
      </c>
      <c r="K109" s="74">
        <f t="shared" si="54"/>
        <v>47119</v>
      </c>
    </row>
    <row r="110" spans="2:11" hidden="1" outlineLevel="1">
      <c r="B110" s="78">
        <f t="shared" si="49"/>
        <v>47150</v>
      </c>
      <c r="C110" s="75">
        <v>96016.145065709949</v>
      </c>
      <c r="D110" s="71">
        <f>IF(F110&lt;&gt;0,VLOOKUP($J110,'Table 1'!$B$13:$C$33,2,FALSE)/12*1000*Study_MW,0)</f>
        <v>216482.91857569135</v>
      </c>
      <c r="E110" s="71">
        <f t="shared" si="50"/>
        <v>312499.0636414013</v>
      </c>
      <c r="F110" s="75">
        <v>11669.72359433</v>
      </c>
      <c r="G110" s="76">
        <f t="shared" si="51"/>
        <v>26.778617429571</v>
      </c>
      <c r="I110" s="77">
        <f t="shared" si="55"/>
        <v>106</v>
      </c>
      <c r="J110" s="73">
        <f t="shared" si="52"/>
        <v>2029</v>
      </c>
      <c r="K110" s="78">
        <f t="shared" si="54"/>
        <v>47150</v>
      </c>
    </row>
    <row r="111" spans="2:11" hidden="1" outlineLevel="1">
      <c r="B111" s="78">
        <f t="shared" si="49"/>
        <v>47178</v>
      </c>
      <c r="C111" s="75">
        <v>85564.857438102365</v>
      </c>
      <c r="D111" s="71">
        <f>IF(F111&lt;&gt;0,VLOOKUP($J111,'Table 1'!$B$13:$C$33,2,FALSE)/12*1000*Study_MW,0)</f>
        <v>216482.91857569135</v>
      </c>
      <c r="E111" s="71">
        <f t="shared" si="50"/>
        <v>302047.77601379371</v>
      </c>
      <c r="F111" s="75">
        <v>16268.561881595</v>
      </c>
      <c r="G111" s="76">
        <f t="shared" si="51"/>
        <v>18.566347671794354</v>
      </c>
      <c r="I111" s="77">
        <f t="shared" si="55"/>
        <v>107</v>
      </c>
      <c r="J111" s="73">
        <f t="shared" si="52"/>
        <v>2029</v>
      </c>
      <c r="K111" s="78">
        <f t="shared" si="54"/>
        <v>47178</v>
      </c>
    </row>
    <row r="112" spans="2:11" hidden="1" outlineLevel="1">
      <c r="B112" s="78">
        <f t="shared" si="49"/>
        <v>47209</v>
      </c>
      <c r="C112" s="75">
        <v>55736.874780312181</v>
      </c>
      <c r="D112" s="71">
        <f>IF(F112&lt;&gt;0,VLOOKUP($J112,'Table 1'!$B$13:$C$33,2,FALSE)/12*1000*Study_MW,0)</f>
        <v>216482.91857569135</v>
      </c>
      <c r="E112" s="71">
        <f t="shared" si="50"/>
        <v>272219.79335600353</v>
      </c>
      <c r="F112" s="75">
        <v>19284.407818602998</v>
      </c>
      <c r="G112" s="76">
        <f t="shared" si="51"/>
        <v>14.116056656580481</v>
      </c>
      <c r="I112" s="77">
        <f t="shared" si="55"/>
        <v>108</v>
      </c>
      <c r="J112" s="73">
        <f t="shared" si="52"/>
        <v>2029</v>
      </c>
      <c r="K112" s="78">
        <f t="shared" si="54"/>
        <v>47209</v>
      </c>
    </row>
    <row r="113" spans="2:11" hidden="1" outlineLevel="1">
      <c r="B113" s="78">
        <f t="shared" si="49"/>
        <v>47239</v>
      </c>
      <c r="C113" s="75">
        <v>113712.11823830009</v>
      </c>
      <c r="D113" s="71">
        <f>IF(F113&lt;&gt;0,VLOOKUP($J113,'Table 1'!$B$13:$C$33,2,FALSE)/12*1000*Study_MW,0)</f>
        <v>216482.91857569135</v>
      </c>
      <c r="E113" s="71">
        <f t="shared" si="50"/>
        <v>330195.03681399144</v>
      </c>
      <c r="F113" s="75">
        <v>26390.194385539999</v>
      </c>
      <c r="G113" s="76">
        <f t="shared" si="51"/>
        <v>12.51203503809413</v>
      </c>
      <c r="I113" s="77">
        <f t="shared" si="55"/>
        <v>109</v>
      </c>
      <c r="J113" s="73">
        <f t="shared" si="52"/>
        <v>2029</v>
      </c>
      <c r="K113" s="78">
        <f t="shared" si="54"/>
        <v>47239</v>
      </c>
    </row>
    <row r="114" spans="2:11" hidden="1" outlineLevel="1">
      <c r="B114" s="78">
        <f t="shared" si="49"/>
        <v>47270</v>
      </c>
      <c r="C114" s="75">
        <v>157207.42894327641</v>
      </c>
      <c r="D114" s="71">
        <f>IF(F114&lt;&gt;0,VLOOKUP($J114,'Table 1'!$B$13:$C$33,2,FALSE)/12*1000*Study_MW,0)</f>
        <v>216482.91857569135</v>
      </c>
      <c r="E114" s="71">
        <f t="shared" si="50"/>
        <v>373690.34751896776</v>
      </c>
      <c r="F114" s="75">
        <v>24178.139073558999</v>
      </c>
      <c r="G114" s="76">
        <f t="shared" si="51"/>
        <v>15.455711722976739</v>
      </c>
      <c r="I114" s="77">
        <f t="shared" si="55"/>
        <v>110</v>
      </c>
      <c r="J114" s="73">
        <f t="shared" si="52"/>
        <v>2029</v>
      </c>
      <c r="K114" s="78">
        <f t="shared" si="54"/>
        <v>47270</v>
      </c>
    </row>
    <row r="115" spans="2:11" hidden="1" outlineLevel="1">
      <c r="B115" s="78">
        <f t="shared" si="49"/>
        <v>47300</v>
      </c>
      <c r="C115" s="75">
        <v>432070.41959118843</v>
      </c>
      <c r="D115" s="71">
        <f>IF(F115&lt;&gt;0,VLOOKUP($J115,'Table 1'!$B$13:$C$33,2,FALSE)/12*1000*Study_MW,0)</f>
        <v>216482.91857569135</v>
      </c>
      <c r="E115" s="71">
        <f t="shared" si="50"/>
        <v>648553.33816687972</v>
      </c>
      <c r="F115" s="75">
        <v>24662.155299244001</v>
      </c>
      <c r="G115" s="76">
        <f t="shared" si="51"/>
        <v>26.297512536820356</v>
      </c>
      <c r="I115" s="77">
        <f t="shared" si="55"/>
        <v>111</v>
      </c>
      <c r="J115" s="73">
        <f t="shared" si="52"/>
        <v>2029</v>
      </c>
      <c r="K115" s="78">
        <f t="shared" si="54"/>
        <v>47300</v>
      </c>
    </row>
    <row r="116" spans="2:11" hidden="1" outlineLevel="1">
      <c r="B116" s="78">
        <f t="shared" si="49"/>
        <v>47331</v>
      </c>
      <c r="C116" s="75">
        <v>380393.14851674438</v>
      </c>
      <c r="D116" s="71">
        <f>IF(F116&lt;&gt;0,VLOOKUP($J116,'Table 1'!$B$13:$C$33,2,FALSE)/12*1000*Study_MW,0)</f>
        <v>216482.91857569135</v>
      </c>
      <c r="E116" s="71">
        <f t="shared" si="50"/>
        <v>596876.06709243567</v>
      </c>
      <c r="F116" s="75">
        <v>22135.625562562</v>
      </c>
      <c r="G116" s="76">
        <f t="shared" si="51"/>
        <v>26.964499621006087</v>
      </c>
      <c r="I116" s="77">
        <f t="shared" si="55"/>
        <v>112</v>
      </c>
      <c r="J116" s="73">
        <f t="shared" si="52"/>
        <v>2029</v>
      </c>
      <c r="K116" s="78">
        <f t="shared" si="54"/>
        <v>47331</v>
      </c>
    </row>
    <row r="117" spans="2:11" hidden="1" outlineLevel="1">
      <c r="B117" s="78">
        <f t="shared" si="49"/>
        <v>47362</v>
      </c>
      <c r="C117" s="75">
        <v>189940.64820127189</v>
      </c>
      <c r="D117" s="71">
        <f>IF(F117&lt;&gt;0,VLOOKUP($J117,'Table 1'!$B$13:$C$33,2,FALSE)/12*1000*Study_MW,0)</f>
        <v>216482.91857569135</v>
      </c>
      <c r="E117" s="71">
        <f t="shared" si="50"/>
        <v>406423.56677696324</v>
      </c>
      <c r="F117" s="75">
        <v>21121.00792321</v>
      </c>
      <c r="G117" s="76">
        <f t="shared" si="51"/>
        <v>19.242621765713274</v>
      </c>
      <c r="I117" s="77">
        <f t="shared" si="55"/>
        <v>113</v>
      </c>
      <c r="J117" s="73">
        <f t="shared" si="52"/>
        <v>2029</v>
      </c>
      <c r="K117" s="78">
        <f t="shared" si="54"/>
        <v>47362</v>
      </c>
    </row>
    <row r="118" spans="2:11" hidden="1" outlineLevel="1">
      <c r="B118" s="78">
        <f t="shared" si="49"/>
        <v>47392</v>
      </c>
      <c r="C118" s="75">
        <v>157047.8711990118</v>
      </c>
      <c r="D118" s="71">
        <f>IF(F118&lt;&gt;0,VLOOKUP($J118,'Table 1'!$B$13:$C$33,2,FALSE)/12*1000*Study_MW,0)</f>
        <v>216482.91857569135</v>
      </c>
      <c r="E118" s="71">
        <f t="shared" si="50"/>
        <v>373530.78977470315</v>
      </c>
      <c r="F118" s="75">
        <v>17647.522461617002</v>
      </c>
      <c r="G118" s="76">
        <f t="shared" si="51"/>
        <v>21.166188658330082</v>
      </c>
      <c r="I118" s="77">
        <f t="shared" si="55"/>
        <v>114</v>
      </c>
      <c r="J118" s="73">
        <f t="shared" si="52"/>
        <v>2029</v>
      </c>
      <c r="K118" s="78">
        <f t="shared" si="54"/>
        <v>47392</v>
      </c>
    </row>
    <row r="119" spans="2:11" hidden="1" outlineLevel="1">
      <c r="B119" s="78">
        <f t="shared" si="49"/>
        <v>47423</v>
      </c>
      <c r="C119" s="75">
        <v>128260.92618499696</v>
      </c>
      <c r="D119" s="71">
        <f>IF(F119&lt;&gt;0,VLOOKUP($J119,'Table 1'!$B$13:$C$33,2,FALSE)/12*1000*Study_MW,0)</f>
        <v>216482.91857569135</v>
      </c>
      <c r="E119" s="71">
        <f t="shared" si="50"/>
        <v>344743.84476068831</v>
      </c>
      <c r="F119" s="75">
        <v>12472.297755400001</v>
      </c>
      <c r="G119" s="76">
        <f t="shared" si="51"/>
        <v>27.64076447833585</v>
      </c>
      <c r="I119" s="77">
        <f t="shared" si="55"/>
        <v>115</v>
      </c>
      <c r="J119" s="73">
        <f t="shared" si="52"/>
        <v>2029</v>
      </c>
      <c r="K119" s="78">
        <f t="shared" si="54"/>
        <v>47423</v>
      </c>
    </row>
    <row r="120" spans="2:11" hidden="1" outlineLevel="1">
      <c r="B120" s="82">
        <f t="shared" si="49"/>
        <v>47453</v>
      </c>
      <c r="C120" s="79">
        <v>99554.156802788377</v>
      </c>
      <c r="D120" s="80">
        <f>IF(F120&lt;&gt;0,VLOOKUP($J120,'Table 1'!$B$13:$C$33,2,FALSE)/12*1000*Study_MW,0)</f>
        <v>216482.91857569135</v>
      </c>
      <c r="E120" s="80">
        <f t="shared" si="50"/>
        <v>316037.07537847973</v>
      </c>
      <c r="F120" s="79">
        <v>8914.2576053299999</v>
      </c>
      <c r="G120" s="81">
        <f t="shared" si="51"/>
        <v>35.452988837737344</v>
      </c>
      <c r="I120" s="64">
        <f t="shared" si="55"/>
        <v>116</v>
      </c>
      <c r="J120" s="73">
        <f t="shared" si="52"/>
        <v>2029</v>
      </c>
      <c r="K120" s="82">
        <f t="shared" si="54"/>
        <v>47453</v>
      </c>
    </row>
    <row r="121" spans="2:11" hidden="1" outlineLevel="1">
      <c r="B121" s="74">
        <f t="shared" si="49"/>
        <v>47484</v>
      </c>
      <c r="C121" s="69">
        <v>99816.469554364681</v>
      </c>
      <c r="D121" s="70">
        <f>IF(F121&lt;&gt;0,VLOOKUP($J121,'Table 1'!$B$13:$C$33,2,FALSE)/12*1000*Study_MW,0)</f>
        <v>221454.81439948536</v>
      </c>
      <c r="E121" s="70">
        <f t="shared" si="50"/>
        <v>321271.28395385004</v>
      </c>
      <c r="F121" s="69">
        <v>11904.7120192</v>
      </c>
      <c r="G121" s="72">
        <f t="shared" si="51"/>
        <v>26.986900937687661</v>
      </c>
      <c r="I121" s="60">
        <f>I109+13</f>
        <v>118</v>
      </c>
      <c r="J121" s="73">
        <f t="shared" si="52"/>
        <v>2030</v>
      </c>
      <c r="K121" s="74">
        <f t="shared" si="54"/>
        <v>47484</v>
      </c>
    </row>
    <row r="122" spans="2:11" hidden="1" outlineLevel="1">
      <c r="B122" s="78">
        <f t="shared" si="49"/>
        <v>47515</v>
      </c>
      <c r="C122" s="75">
        <v>52321.126500934362</v>
      </c>
      <c r="D122" s="71">
        <f>IF(F122&lt;&gt;0,VLOOKUP($J122,'Table 1'!$B$13:$C$33,2,FALSE)/12*1000*Study_MW,0)</f>
        <v>221454.81439948536</v>
      </c>
      <c r="E122" s="71">
        <f t="shared" si="50"/>
        <v>273775.94090041972</v>
      </c>
      <c r="F122" s="75">
        <v>11611.3749484</v>
      </c>
      <c r="G122" s="76">
        <f t="shared" si="51"/>
        <v>23.578253403843867</v>
      </c>
      <c r="I122" s="77">
        <f t="shared" ref="I122:I132" si="56">I110+13</f>
        <v>119</v>
      </c>
      <c r="J122" s="73">
        <f t="shared" si="52"/>
        <v>2030</v>
      </c>
      <c r="K122" s="78">
        <f t="shared" si="54"/>
        <v>47515</v>
      </c>
    </row>
    <row r="123" spans="2:11" hidden="1" outlineLevel="1">
      <c r="B123" s="78">
        <f t="shared" si="49"/>
        <v>47543</v>
      </c>
      <c r="C123" s="75">
        <v>88450.456847339869</v>
      </c>
      <c r="D123" s="71">
        <f>IF(F123&lt;&gt;0,VLOOKUP($J123,'Table 1'!$B$13:$C$33,2,FALSE)/12*1000*Study_MW,0)</f>
        <v>221454.81439948536</v>
      </c>
      <c r="E123" s="71">
        <f t="shared" si="50"/>
        <v>309905.27124682523</v>
      </c>
      <c r="F123" s="75">
        <v>16187.218935139999</v>
      </c>
      <c r="G123" s="76">
        <f t="shared" si="51"/>
        <v>19.145059598475427</v>
      </c>
      <c r="I123" s="77">
        <f t="shared" si="56"/>
        <v>120</v>
      </c>
      <c r="J123" s="73">
        <f t="shared" si="52"/>
        <v>2030</v>
      </c>
      <c r="K123" s="78">
        <f t="shared" si="54"/>
        <v>47543</v>
      </c>
    </row>
    <row r="124" spans="2:11" hidden="1" outlineLevel="1">
      <c r="B124" s="78">
        <f t="shared" si="49"/>
        <v>47574</v>
      </c>
      <c r="C124" s="75">
        <v>49462.142126277089</v>
      </c>
      <c r="D124" s="71">
        <f>IF(F124&lt;&gt;0,VLOOKUP($J124,'Table 1'!$B$13:$C$33,2,FALSE)/12*1000*Study_MW,0)</f>
        <v>221454.81439948536</v>
      </c>
      <c r="E124" s="71">
        <f t="shared" si="50"/>
        <v>270916.95652576245</v>
      </c>
      <c r="F124" s="75">
        <v>19187.985946684999</v>
      </c>
      <c r="G124" s="76">
        <f t="shared" si="51"/>
        <v>14.1190929198365</v>
      </c>
      <c r="I124" s="77">
        <f t="shared" si="56"/>
        <v>121</v>
      </c>
      <c r="J124" s="73">
        <f t="shared" si="52"/>
        <v>2030</v>
      </c>
      <c r="K124" s="78">
        <f t="shared" si="54"/>
        <v>47574</v>
      </c>
    </row>
    <row r="125" spans="2:11" hidden="1" outlineLevel="1">
      <c r="B125" s="78">
        <f t="shared" si="49"/>
        <v>47604</v>
      </c>
      <c r="C125" s="75">
        <v>87572.415838688612</v>
      </c>
      <c r="D125" s="71">
        <f>IF(F125&lt;&gt;0,VLOOKUP($J125,'Table 1'!$B$13:$C$33,2,FALSE)/12*1000*Study_MW,0)</f>
        <v>221454.81439948536</v>
      </c>
      <c r="E125" s="71">
        <f t="shared" si="50"/>
        <v>309027.23023817397</v>
      </c>
      <c r="F125" s="75">
        <v>26258.24362148</v>
      </c>
      <c r="G125" s="76">
        <f t="shared" si="51"/>
        <v>11.768770017252059</v>
      </c>
      <c r="I125" s="77">
        <f t="shared" si="56"/>
        <v>122</v>
      </c>
      <c r="J125" s="73">
        <f t="shared" si="52"/>
        <v>2030</v>
      </c>
      <c r="K125" s="78">
        <f t="shared" si="54"/>
        <v>47604</v>
      </c>
    </row>
    <row r="126" spans="2:11" hidden="1" outlineLevel="1">
      <c r="B126" s="78">
        <f t="shared" si="49"/>
        <v>47635</v>
      </c>
      <c r="C126" s="75">
        <v>121823.20425255597</v>
      </c>
      <c r="D126" s="71">
        <f>IF(F126&lt;&gt;0,VLOOKUP($J126,'Table 1'!$B$13:$C$33,2,FALSE)/12*1000*Study_MW,0)</f>
        <v>221454.81439948536</v>
      </c>
      <c r="E126" s="71">
        <f t="shared" si="50"/>
        <v>343278.01865204133</v>
      </c>
      <c r="F126" s="75">
        <v>24057.248377157001</v>
      </c>
      <c r="G126" s="76">
        <f t="shared" si="51"/>
        <v>14.269213721798415</v>
      </c>
      <c r="I126" s="77">
        <f t="shared" si="56"/>
        <v>123</v>
      </c>
      <c r="J126" s="73">
        <f t="shared" si="52"/>
        <v>2030</v>
      </c>
      <c r="K126" s="78">
        <f t="shared" si="54"/>
        <v>47635</v>
      </c>
    </row>
    <row r="127" spans="2:11" hidden="1" outlineLevel="1">
      <c r="B127" s="78">
        <f t="shared" si="49"/>
        <v>47665</v>
      </c>
      <c r="C127" s="75">
        <v>287778.2080399394</v>
      </c>
      <c r="D127" s="71">
        <f>IF(F127&lt;&gt;0,VLOOKUP($J127,'Table 1'!$B$13:$C$33,2,FALSE)/12*1000*Study_MW,0)</f>
        <v>221454.81439948536</v>
      </c>
      <c r="E127" s="71">
        <f t="shared" si="50"/>
        <v>509233.02243942476</v>
      </c>
      <c r="F127" s="75">
        <v>24538.844625400001</v>
      </c>
      <c r="G127" s="76">
        <f t="shared" si="51"/>
        <v>20.752118945010189</v>
      </c>
      <c r="I127" s="77">
        <f t="shared" si="56"/>
        <v>124</v>
      </c>
      <c r="J127" s="73">
        <f t="shared" si="52"/>
        <v>2030</v>
      </c>
      <c r="K127" s="78">
        <f t="shared" si="54"/>
        <v>47665</v>
      </c>
    </row>
    <row r="128" spans="2:11" hidden="1" outlineLevel="1">
      <c r="B128" s="78">
        <f t="shared" si="49"/>
        <v>47696</v>
      </c>
      <c r="C128" s="75">
        <v>244079.26068665087</v>
      </c>
      <c r="D128" s="71">
        <f>IF(F128&lt;&gt;0,VLOOKUP($J128,'Table 1'!$B$13:$C$33,2,FALSE)/12*1000*Study_MW,0)</f>
        <v>221454.81439948536</v>
      </c>
      <c r="E128" s="71">
        <f t="shared" si="50"/>
        <v>465534.07508613623</v>
      </c>
      <c r="F128" s="75">
        <v>22024.947179882001</v>
      </c>
      <c r="G128" s="76">
        <f t="shared" si="51"/>
        <v>21.136671579006727</v>
      </c>
      <c r="I128" s="77">
        <f t="shared" si="56"/>
        <v>125</v>
      </c>
      <c r="J128" s="73">
        <f t="shared" si="52"/>
        <v>2030</v>
      </c>
      <c r="K128" s="78">
        <f t="shared" si="54"/>
        <v>47696</v>
      </c>
    </row>
    <row r="129" spans="2:11" hidden="1" outlineLevel="1">
      <c r="B129" s="78">
        <f t="shared" si="49"/>
        <v>47727</v>
      </c>
      <c r="C129" s="75">
        <v>151010.16440060735</v>
      </c>
      <c r="D129" s="71">
        <f>IF(F129&lt;&gt;0,VLOOKUP($J129,'Table 1'!$B$13:$C$33,2,FALSE)/12*1000*Study_MW,0)</f>
        <v>221454.81439948536</v>
      </c>
      <c r="E129" s="71">
        <f t="shared" si="50"/>
        <v>372464.97880009271</v>
      </c>
      <c r="F129" s="75">
        <v>21015.40282386</v>
      </c>
      <c r="G129" s="76">
        <f t="shared" si="51"/>
        <v>17.7234279981163</v>
      </c>
      <c r="I129" s="77">
        <f t="shared" si="56"/>
        <v>126</v>
      </c>
      <c r="J129" s="73">
        <f t="shared" si="52"/>
        <v>2030</v>
      </c>
      <c r="K129" s="78">
        <f t="shared" si="54"/>
        <v>47727</v>
      </c>
    </row>
    <row r="130" spans="2:11" hidden="1" outlineLevel="1">
      <c r="B130" s="78">
        <f t="shared" si="49"/>
        <v>47757</v>
      </c>
      <c r="C130" s="75">
        <v>94394.727241232991</v>
      </c>
      <c r="D130" s="71">
        <f>IF(F130&lt;&gt;0,VLOOKUP($J130,'Table 1'!$B$13:$C$33,2,FALSE)/12*1000*Study_MW,0)</f>
        <v>221454.81439948536</v>
      </c>
      <c r="E130" s="71">
        <f t="shared" si="50"/>
        <v>315849.54164071835</v>
      </c>
      <c r="F130" s="75">
        <v>17559.285117445001</v>
      </c>
      <c r="G130" s="76">
        <f t="shared" si="51"/>
        <v>17.987608238499671</v>
      </c>
      <c r="I130" s="77">
        <f t="shared" si="56"/>
        <v>127</v>
      </c>
      <c r="J130" s="73">
        <f t="shared" si="52"/>
        <v>2030</v>
      </c>
      <c r="K130" s="78">
        <f t="shared" si="54"/>
        <v>47757</v>
      </c>
    </row>
    <row r="131" spans="2:11" hidden="1" outlineLevel="1">
      <c r="B131" s="78">
        <f t="shared" si="49"/>
        <v>47788</v>
      </c>
      <c r="C131" s="75">
        <v>105450.3500983268</v>
      </c>
      <c r="D131" s="71">
        <f>IF(F131&lt;&gt;0,VLOOKUP($J131,'Table 1'!$B$13:$C$33,2,FALSE)/12*1000*Study_MW,0)</f>
        <v>221454.81439948536</v>
      </c>
      <c r="E131" s="71">
        <f t="shared" si="50"/>
        <v>326905.16449781216</v>
      </c>
      <c r="F131" s="75">
        <v>12409.936282500001</v>
      </c>
      <c r="G131" s="76">
        <f t="shared" si="51"/>
        <v>26.342211358393584</v>
      </c>
      <c r="I131" s="77">
        <f t="shared" si="56"/>
        <v>128</v>
      </c>
      <c r="J131" s="73">
        <f t="shared" si="52"/>
        <v>2030</v>
      </c>
      <c r="K131" s="78">
        <f t="shared" si="54"/>
        <v>47788</v>
      </c>
    </row>
    <row r="132" spans="2:11" hidden="1" outlineLevel="1">
      <c r="B132" s="82">
        <f t="shared" si="49"/>
        <v>47818</v>
      </c>
      <c r="C132" s="79">
        <v>76437.608550071716</v>
      </c>
      <c r="D132" s="80">
        <f>IF(F132&lt;&gt;0,VLOOKUP($J132,'Table 1'!$B$13:$C$33,2,FALSE)/12*1000*Study_MW,0)</f>
        <v>221454.81439948536</v>
      </c>
      <c r="E132" s="80">
        <f t="shared" si="50"/>
        <v>297892.42294955708</v>
      </c>
      <c r="F132" s="79">
        <v>8869.6863370999999</v>
      </c>
      <c r="G132" s="81">
        <f t="shared" si="51"/>
        <v>33.585451799297211</v>
      </c>
      <c r="I132" s="64">
        <f t="shared" si="56"/>
        <v>129</v>
      </c>
      <c r="J132" s="73">
        <f t="shared" si="52"/>
        <v>2030</v>
      </c>
      <c r="K132" s="82">
        <f t="shared" si="54"/>
        <v>47818</v>
      </c>
    </row>
    <row r="133" spans="2:11" hidden="1" outlineLevel="1">
      <c r="B133" s="74">
        <f t="shared" si="49"/>
        <v>47849</v>
      </c>
      <c r="C133" s="69">
        <v>118468.49274340272</v>
      </c>
      <c r="D133" s="70">
        <f>IF(F133&lt;&gt;0,VLOOKUP($J133,'Table 1'!$B$13:$C$33,2,FALSE)/12*1000*Study_MW,0)</f>
        <v>226549.98036767097</v>
      </c>
      <c r="E133" s="70">
        <f t="shared" si="50"/>
        <v>345018.47311107372</v>
      </c>
      <c r="F133" s="69">
        <v>11845.188425664999</v>
      </c>
      <c r="G133" s="72">
        <f t="shared" si="51"/>
        <v>29.127309816661196</v>
      </c>
      <c r="I133" s="60">
        <f>I13</f>
        <v>1</v>
      </c>
      <c r="J133" s="73">
        <f t="shared" si="52"/>
        <v>2031</v>
      </c>
      <c r="K133" s="74">
        <f t="shared" si="54"/>
        <v>47849</v>
      </c>
    </row>
    <row r="134" spans="2:11" hidden="1" outlineLevel="1">
      <c r="B134" s="78">
        <f t="shared" si="49"/>
        <v>47880</v>
      </c>
      <c r="C134" s="75">
        <v>54740.91815841198</v>
      </c>
      <c r="D134" s="71">
        <f>IF(F134&lt;&gt;0,VLOOKUP($J134,'Table 1'!$B$13:$C$33,2,FALSE)/12*1000*Study_MW,0)</f>
        <v>226549.98036767097</v>
      </c>
      <c r="E134" s="71">
        <f t="shared" si="50"/>
        <v>281290.89852608298</v>
      </c>
      <c r="F134" s="75">
        <v>11553.31808508</v>
      </c>
      <c r="G134" s="76">
        <f t="shared" si="51"/>
        <v>24.347195883868473</v>
      </c>
      <c r="I134" s="77">
        <f t="shared" ref="I134:I197" si="57">I14</f>
        <v>2</v>
      </c>
      <c r="J134" s="73">
        <f t="shared" si="52"/>
        <v>2031</v>
      </c>
      <c r="K134" s="78">
        <f t="shared" si="54"/>
        <v>47880</v>
      </c>
    </row>
    <row r="135" spans="2:11" hidden="1" outlineLevel="1">
      <c r="B135" s="78">
        <f t="shared" si="49"/>
        <v>47908</v>
      </c>
      <c r="C135" s="75">
        <v>163024.34824228287</v>
      </c>
      <c r="D135" s="71">
        <f>IF(F135&lt;&gt;0,VLOOKUP($J135,'Table 1'!$B$13:$C$33,2,FALSE)/12*1000*Study_MW,0)</f>
        <v>226549.98036767097</v>
      </c>
      <c r="E135" s="71">
        <f t="shared" si="50"/>
        <v>389574.32860995387</v>
      </c>
      <c r="F135" s="75">
        <v>16106.28267052</v>
      </c>
      <c r="G135" s="76">
        <f t="shared" si="51"/>
        <v>24.187724540747567</v>
      </c>
      <c r="I135" s="77">
        <f t="shared" si="57"/>
        <v>3</v>
      </c>
      <c r="J135" s="73">
        <f t="shared" si="52"/>
        <v>2031</v>
      </c>
      <c r="K135" s="78">
        <f t="shared" si="54"/>
        <v>47908</v>
      </c>
    </row>
    <row r="136" spans="2:11" hidden="1" outlineLevel="1">
      <c r="B136" s="78">
        <f t="shared" si="49"/>
        <v>47939</v>
      </c>
      <c r="C136" s="75">
        <v>90974.282314434648</v>
      </c>
      <c r="D136" s="71">
        <f>IF(F136&lt;&gt;0,VLOOKUP($J136,'Table 1'!$B$13:$C$33,2,FALSE)/12*1000*Study_MW,0)</f>
        <v>226549.98036767097</v>
      </c>
      <c r="E136" s="71">
        <f t="shared" si="50"/>
        <v>317524.26268210565</v>
      </c>
      <c r="F136" s="75">
        <v>19092.045848090998</v>
      </c>
      <c r="G136" s="76">
        <f t="shared" si="51"/>
        <v>16.63123298616291</v>
      </c>
      <c r="I136" s="77">
        <f t="shared" si="57"/>
        <v>4</v>
      </c>
      <c r="J136" s="73">
        <f t="shared" si="52"/>
        <v>2031</v>
      </c>
      <c r="K136" s="78">
        <f t="shared" si="54"/>
        <v>47939</v>
      </c>
    </row>
    <row r="137" spans="2:11" hidden="1" outlineLevel="1">
      <c r="B137" s="78">
        <f t="shared" si="49"/>
        <v>47969</v>
      </c>
      <c r="C137" s="75">
        <v>104595.06494259834</v>
      </c>
      <c r="D137" s="71">
        <f>IF(F137&lt;&gt;0,VLOOKUP($J137,'Table 1'!$B$13:$C$33,2,FALSE)/12*1000*Study_MW,0)</f>
        <v>226549.98036767097</v>
      </c>
      <c r="E137" s="71">
        <f t="shared" si="50"/>
        <v>331145.04531026934</v>
      </c>
      <c r="F137" s="75">
        <v>26126.951568820001</v>
      </c>
      <c r="G137" s="76">
        <f t="shared" si="51"/>
        <v>12.674461635450003</v>
      </c>
      <c r="I137" s="77">
        <f t="shared" si="57"/>
        <v>5</v>
      </c>
      <c r="J137" s="73">
        <f t="shared" si="52"/>
        <v>2031</v>
      </c>
      <c r="K137" s="78">
        <f t="shared" si="54"/>
        <v>47969</v>
      </c>
    </row>
    <row r="138" spans="2:11" hidden="1" outlineLevel="1">
      <c r="B138" s="78">
        <f t="shared" si="49"/>
        <v>48000</v>
      </c>
      <c r="C138" s="75">
        <v>167366.60930649936</v>
      </c>
      <c r="D138" s="71">
        <f>IF(F138&lt;&gt;0,VLOOKUP($J138,'Table 1'!$B$13:$C$33,2,FALSE)/12*1000*Study_MW,0)</f>
        <v>226549.98036767097</v>
      </c>
      <c r="E138" s="71">
        <f t="shared" si="50"/>
        <v>393916.58967417036</v>
      </c>
      <c r="F138" s="75">
        <v>23936.962111798999</v>
      </c>
      <c r="G138" s="76">
        <f t="shared" si="51"/>
        <v>16.456415305933962</v>
      </c>
      <c r="I138" s="77">
        <f t="shared" si="57"/>
        <v>6</v>
      </c>
      <c r="J138" s="73">
        <f t="shared" si="52"/>
        <v>2031</v>
      </c>
      <c r="K138" s="78">
        <f t="shared" si="54"/>
        <v>48000</v>
      </c>
    </row>
    <row r="139" spans="2:11" hidden="1" outlineLevel="1">
      <c r="B139" s="78">
        <f t="shared" si="49"/>
        <v>48030</v>
      </c>
      <c r="C139" s="75">
        <v>296234.43375474215</v>
      </c>
      <c r="D139" s="71">
        <f>IF(F139&lt;&gt;0,VLOOKUP($J139,'Table 1'!$B$13:$C$33,2,FALSE)/12*1000*Study_MW,0)</f>
        <v>226549.98036767097</v>
      </c>
      <c r="E139" s="71">
        <f t="shared" si="50"/>
        <v>522784.41412241315</v>
      </c>
      <c r="F139" s="75">
        <v>24416.1501465</v>
      </c>
      <c r="G139" s="76">
        <f t="shared" si="51"/>
        <v>21.411418712026272</v>
      </c>
      <c r="I139" s="77">
        <f t="shared" si="57"/>
        <v>7</v>
      </c>
      <c r="J139" s="73">
        <f t="shared" si="52"/>
        <v>2031</v>
      </c>
      <c r="K139" s="78">
        <f t="shared" si="54"/>
        <v>48030</v>
      </c>
    </row>
    <row r="140" spans="2:11" hidden="1" outlineLevel="1">
      <c r="B140" s="78">
        <f t="shared" si="49"/>
        <v>48061</v>
      </c>
      <c r="C140" s="75">
        <v>244122.03966042399</v>
      </c>
      <c r="D140" s="71">
        <f>IF(F140&lt;&gt;0,VLOOKUP($J140,'Table 1'!$B$13:$C$33,2,FALSE)/12*1000*Study_MW,0)</f>
        <v>226549.98036767097</v>
      </c>
      <c r="E140" s="71">
        <f t="shared" si="50"/>
        <v>470672.02002809499</v>
      </c>
      <c r="F140" s="75">
        <v>21914.822081061</v>
      </c>
      <c r="G140" s="76">
        <f t="shared" si="51"/>
        <v>21.477337040981695</v>
      </c>
      <c r="I140" s="77">
        <f t="shared" si="57"/>
        <v>8</v>
      </c>
      <c r="J140" s="73">
        <f t="shared" si="52"/>
        <v>2031</v>
      </c>
      <c r="K140" s="78">
        <f t="shared" si="54"/>
        <v>48061</v>
      </c>
    </row>
    <row r="141" spans="2:11" hidden="1" outlineLevel="1">
      <c r="B141" s="78">
        <f t="shared" si="49"/>
        <v>48092</v>
      </c>
      <c r="C141" s="75">
        <v>215121.55917842686</v>
      </c>
      <c r="D141" s="71">
        <f>IF(F141&lt;&gt;0,VLOOKUP($J141,'Table 1'!$B$13:$C$33,2,FALSE)/12*1000*Study_MW,0)</f>
        <v>226549.98036767097</v>
      </c>
      <c r="E141" s="71">
        <f t="shared" si="50"/>
        <v>441671.53954609786</v>
      </c>
      <c r="F141" s="75">
        <v>20910.3258193</v>
      </c>
      <c r="G141" s="76">
        <f t="shared" si="51"/>
        <v>21.122173961461659</v>
      </c>
      <c r="I141" s="77">
        <f t="shared" si="57"/>
        <v>9</v>
      </c>
      <c r="J141" s="73">
        <f t="shared" si="52"/>
        <v>2031</v>
      </c>
      <c r="K141" s="78">
        <f t="shared" si="54"/>
        <v>48092</v>
      </c>
    </row>
    <row r="142" spans="2:11" hidden="1" outlineLevel="1">
      <c r="B142" s="78">
        <f t="shared" ref="B142:B205" si="58">EDATE(B141,1)</f>
        <v>48122</v>
      </c>
      <c r="C142" s="75">
        <v>131054.80586394668</v>
      </c>
      <c r="D142" s="71">
        <f>IF(F142&lt;&gt;0,VLOOKUP($J142,'Table 1'!$B$13:$C$33,2,FALSE)/12*1000*Study_MW,0)</f>
        <v>226549.98036767097</v>
      </c>
      <c r="E142" s="71">
        <f t="shared" ref="E142:E192" si="59">C142+D142</f>
        <v>357604.78623161768</v>
      </c>
      <c r="F142" s="75">
        <v>17471.488602180001</v>
      </c>
      <c r="G142" s="76">
        <f t="shared" ref="G142:G192" si="60">IF(ISNUMBER($F142),E142/$F142,"")</f>
        <v>20.467905990963907</v>
      </c>
      <c r="I142" s="77">
        <f t="shared" si="57"/>
        <v>10</v>
      </c>
      <c r="J142" s="73">
        <f t="shared" ref="J142:J192" si="61">YEAR(B142)</f>
        <v>2031</v>
      </c>
      <c r="K142" s="78">
        <f t="shared" si="54"/>
        <v>48122</v>
      </c>
    </row>
    <row r="143" spans="2:11" hidden="1" outlineLevel="1">
      <c r="B143" s="78">
        <f t="shared" si="58"/>
        <v>48153</v>
      </c>
      <c r="C143" s="75">
        <v>86703.762412726879</v>
      </c>
      <c r="D143" s="71">
        <f>IF(F143&lt;&gt;0,VLOOKUP($J143,'Table 1'!$B$13:$C$33,2,FALSE)/12*1000*Study_MW,0)</f>
        <v>226549.98036767097</v>
      </c>
      <c r="E143" s="71">
        <f t="shared" si="59"/>
        <v>313253.74278039788</v>
      </c>
      <c r="F143" s="75">
        <v>12347.886569099999</v>
      </c>
      <c r="G143" s="76">
        <f t="shared" si="60"/>
        <v>25.36901687810289</v>
      </c>
      <c r="I143" s="77">
        <f t="shared" si="57"/>
        <v>11</v>
      </c>
      <c r="J143" s="73">
        <f t="shared" si="61"/>
        <v>2031</v>
      </c>
      <c r="K143" s="78">
        <f t="shared" si="54"/>
        <v>48153</v>
      </c>
    </row>
    <row r="144" spans="2:11" hidden="1" outlineLevel="1">
      <c r="B144" s="82">
        <f t="shared" si="58"/>
        <v>48183</v>
      </c>
      <c r="C144" s="79">
        <v>88233.304404065013</v>
      </c>
      <c r="D144" s="80">
        <f>IF(F144&lt;&gt;0,VLOOKUP($J144,'Table 1'!$B$13:$C$33,2,FALSE)/12*1000*Study_MW,0)</f>
        <v>226549.98036767097</v>
      </c>
      <c r="E144" s="80">
        <f t="shared" si="59"/>
        <v>314783.28477173601</v>
      </c>
      <c r="F144" s="79">
        <v>8825.3378805550001</v>
      </c>
      <c r="G144" s="81">
        <f t="shared" si="60"/>
        <v>35.668128408466124</v>
      </c>
      <c r="I144" s="64">
        <f t="shared" si="57"/>
        <v>12</v>
      </c>
      <c r="J144" s="73">
        <f t="shared" si="61"/>
        <v>2031</v>
      </c>
      <c r="K144" s="82">
        <f t="shared" si="54"/>
        <v>48183</v>
      </c>
    </row>
    <row r="145" spans="2:11" hidden="1" outlineLevel="1">
      <c r="B145" s="74">
        <f t="shared" si="58"/>
        <v>48214</v>
      </c>
      <c r="C145" s="69">
        <v>118879.51344536245</v>
      </c>
      <c r="D145" s="70">
        <f>IF(F145&lt;&gt;0,VLOOKUP($J145,'Table 1'!$B$13:$C$33,2,FALSE)/12*1000*Study_MW,0)</f>
        <v>231768.41648024815</v>
      </c>
      <c r="E145" s="70">
        <f t="shared" si="59"/>
        <v>350647.9299256106</v>
      </c>
      <c r="F145" s="69">
        <v>11785.962483630001</v>
      </c>
      <c r="G145" s="72">
        <f t="shared" si="60"/>
        <v>29.751319029959554</v>
      </c>
      <c r="I145" s="60">
        <f>I25</f>
        <v>14</v>
      </c>
      <c r="J145" s="73">
        <f t="shared" si="61"/>
        <v>2032</v>
      </c>
      <c r="K145" s="74">
        <f t="shared" si="54"/>
        <v>48214</v>
      </c>
    </row>
    <row r="146" spans="2:11" hidden="1" outlineLevel="1">
      <c r="B146" s="78">
        <f t="shared" si="58"/>
        <v>48245</v>
      </c>
      <c r="C146" s="75">
        <v>53353.845701083541</v>
      </c>
      <c r="D146" s="71">
        <f>IF(F146&lt;&gt;0,VLOOKUP($J146,'Table 1'!$B$13:$C$33,2,FALSE)/12*1000*Study_MW,0)</f>
        <v>231768.41648024815</v>
      </c>
      <c r="E146" s="71">
        <f t="shared" si="59"/>
        <v>285122.26218133169</v>
      </c>
      <c r="F146" s="75">
        <v>12070.49552665</v>
      </c>
      <c r="G146" s="76">
        <f t="shared" si="60"/>
        <v>23.621421469551173</v>
      </c>
      <c r="I146" s="77">
        <f t="shared" si="57"/>
        <v>15</v>
      </c>
      <c r="J146" s="73">
        <f t="shared" si="61"/>
        <v>2032</v>
      </c>
      <c r="K146" s="78">
        <f t="shared" si="54"/>
        <v>48245</v>
      </c>
    </row>
    <row r="147" spans="2:11" hidden="1" outlineLevel="1">
      <c r="B147" s="78">
        <f t="shared" si="58"/>
        <v>48274</v>
      </c>
      <c r="C147" s="75">
        <v>87312.11524745822</v>
      </c>
      <c r="D147" s="71">
        <f>IF(F147&lt;&gt;0,VLOOKUP($J147,'Table 1'!$B$13:$C$33,2,FALSE)/12*1000*Study_MW,0)</f>
        <v>231768.41648024815</v>
      </c>
      <c r="E147" s="71">
        <f t="shared" si="59"/>
        <v>319080.53172770637</v>
      </c>
      <c r="F147" s="75">
        <v>16025.75138512</v>
      </c>
      <c r="G147" s="76">
        <f t="shared" si="60"/>
        <v>19.910488067596908</v>
      </c>
      <c r="I147" s="77">
        <f t="shared" si="57"/>
        <v>16</v>
      </c>
      <c r="J147" s="73">
        <f t="shared" si="61"/>
        <v>2032</v>
      </c>
      <c r="K147" s="78">
        <f t="shared" si="54"/>
        <v>48274</v>
      </c>
    </row>
    <row r="148" spans="2:11" hidden="1" outlineLevel="1">
      <c r="B148" s="78">
        <f t="shared" si="58"/>
        <v>48305</v>
      </c>
      <c r="C148" s="75">
        <v>82430.377917617559</v>
      </c>
      <c r="D148" s="71">
        <f>IF(F148&lt;&gt;0,VLOOKUP($J148,'Table 1'!$B$13:$C$33,2,FALSE)/12*1000*Study_MW,0)</f>
        <v>231768.41648024815</v>
      </c>
      <c r="E148" s="71">
        <f t="shared" si="59"/>
        <v>314198.79439786571</v>
      </c>
      <c r="F148" s="75">
        <v>18996.585315275999</v>
      </c>
      <c r="G148" s="76">
        <f t="shared" si="60"/>
        <v>16.539751180713751</v>
      </c>
      <c r="I148" s="77">
        <f t="shared" si="57"/>
        <v>17</v>
      </c>
      <c r="J148" s="73">
        <f t="shared" si="61"/>
        <v>2032</v>
      </c>
      <c r="K148" s="78">
        <f t="shared" si="54"/>
        <v>48305</v>
      </c>
    </row>
    <row r="149" spans="2:11" hidden="1" outlineLevel="1">
      <c r="B149" s="78">
        <f t="shared" si="58"/>
        <v>48335</v>
      </c>
      <c r="C149" s="75">
        <v>109220.8740542382</v>
      </c>
      <c r="D149" s="71">
        <f>IF(F149&lt;&gt;0,VLOOKUP($J149,'Table 1'!$B$13:$C$33,2,FALSE)/12*1000*Study_MW,0)</f>
        <v>231768.41648024815</v>
      </c>
      <c r="E149" s="71">
        <f t="shared" si="59"/>
        <v>340989.29053448635</v>
      </c>
      <c r="F149" s="75">
        <v>25996.317478919998</v>
      </c>
      <c r="G149" s="76">
        <f t="shared" si="60"/>
        <v>13.116830520745454</v>
      </c>
      <c r="I149" s="77">
        <f t="shared" si="57"/>
        <v>18</v>
      </c>
      <c r="J149" s="73">
        <f t="shared" si="61"/>
        <v>2032</v>
      </c>
      <c r="K149" s="78">
        <f t="shared" si="54"/>
        <v>48335</v>
      </c>
    </row>
    <row r="150" spans="2:11" hidden="1" outlineLevel="1">
      <c r="B150" s="78">
        <f t="shared" si="58"/>
        <v>48366</v>
      </c>
      <c r="C150" s="75">
        <v>169720.66178110242</v>
      </c>
      <c r="D150" s="71">
        <f>IF(F150&lt;&gt;0,VLOOKUP($J150,'Table 1'!$B$13:$C$33,2,FALSE)/12*1000*Study_MW,0)</f>
        <v>231768.41648024815</v>
      </c>
      <c r="E150" s="71">
        <f t="shared" si="59"/>
        <v>401489.07826135057</v>
      </c>
      <c r="F150" s="75">
        <v>23817.277277186</v>
      </c>
      <c r="G150" s="76">
        <f t="shared" si="60"/>
        <v>16.857051861504225</v>
      </c>
      <c r="I150" s="77">
        <f t="shared" si="57"/>
        <v>19</v>
      </c>
      <c r="J150" s="73">
        <f t="shared" si="61"/>
        <v>2032</v>
      </c>
      <c r="K150" s="78">
        <f t="shared" si="54"/>
        <v>48366</v>
      </c>
    </row>
    <row r="151" spans="2:11" hidden="1" outlineLevel="1">
      <c r="B151" s="78">
        <f t="shared" si="58"/>
        <v>48396</v>
      </c>
      <c r="C151" s="75">
        <v>342428.94622629881</v>
      </c>
      <c r="D151" s="71">
        <f>IF(F151&lt;&gt;0,VLOOKUP($J151,'Table 1'!$B$13:$C$33,2,FALSE)/12*1000*Study_MW,0)</f>
        <v>231768.41648024815</v>
      </c>
      <c r="E151" s="71">
        <f t="shared" si="59"/>
        <v>574197.3627065469</v>
      </c>
      <c r="F151" s="75">
        <v>24294.069832144</v>
      </c>
      <c r="G151" s="76">
        <f t="shared" si="60"/>
        <v>23.635289050944202</v>
      </c>
      <c r="I151" s="77">
        <f t="shared" si="57"/>
        <v>20</v>
      </c>
      <c r="J151" s="73">
        <f t="shared" si="61"/>
        <v>2032</v>
      </c>
      <c r="K151" s="78">
        <f t="shared" si="54"/>
        <v>48396</v>
      </c>
    </row>
    <row r="152" spans="2:11" hidden="1" outlineLevel="1">
      <c r="B152" s="78">
        <f t="shared" si="58"/>
        <v>48427</v>
      </c>
      <c r="C152" s="75">
        <v>298428.56755551696</v>
      </c>
      <c r="D152" s="71">
        <f>IF(F152&lt;&gt;0,VLOOKUP($J152,'Table 1'!$B$13:$C$33,2,FALSE)/12*1000*Study_MW,0)</f>
        <v>231768.41648024815</v>
      </c>
      <c r="E152" s="71">
        <f t="shared" si="59"/>
        <v>530196.98403576505</v>
      </c>
      <c r="F152" s="75">
        <v>21805.248110162</v>
      </c>
      <c r="G152" s="76">
        <f t="shared" si="60"/>
        <v>24.315108975470675</v>
      </c>
      <c r="I152" s="77">
        <f t="shared" si="57"/>
        <v>21</v>
      </c>
      <c r="J152" s="73">
        <f t="shared" si="61"/>
        <v>2032</v>
      </c>
      <c r="K152" s="78">
        <f t="shared" si="54"/>
        <v>48427</v>
      </c>
    </row>
    <row r="153" spans="2:11" hidden="1" outlineLevel="1">
      <c r="B153" s="78">
        <f t="shared" si="58"/>
        <v>48458</v>
      </c>
      <c r="C153" s="75">
        <v>195953.50426188111</v>
      </c>
      <c r="D153" s="71">
        <f>IF(F153&lt;&gt;0,VLOOKUP($J153,'Table 1'!$B$13:$C$33,2,FALSE)/12*1000*Study_MW,0)</f>
        <v>231768.41648024815</v>
      </c>
      <c r="E153" s="71">
        <f t="shared" si="59"/>
        <v>427721.92074212927</v>
      </c>
      <c r="F153" s="75">
        <v>20805.774153999999</v>
      </c>
      <c r="G153" s="76">
        <f t="shared" si="60"/>
        <v>20.557846950381219</v>
      </c>
      <c r="I153" s="77">
        <f t="shared" si="57"/>
        <v>22</v>
      </c>
      <c r="J153" s="73">
        <f t="shared" si="61"/>
        <v>2032</v>
      </c>
      <c r="K153" s="78">
        <f t="shared" si="54"/>
        <v>48458</v>
      </c>
    </row>
    <row r="154" spans="2:11" hidden="1" outlineLevel="1">
      <c r="B154" s="78">
        <f t="shared" si="58"/>
        <v>48488</v>
      </c>
      <c r="C154" s="75">
        <v>149733.26227541268</v>
      </c>
      <c r="D154" s="71">
        <f>IF(F154&lt;&gt;0,VLOOKUP($J154,'Table 1'!$B$13:$C$33,2,FALSE)/12*1000*Study_MW,0)</f>
        <v>231768.41648024815</v>
      </c>
      <c r="E154" s="71">
        <f t="shared" si="59"/>
        <v>381501.67875566083</v>
      </c>
      <c r="F154" s="75">
        <v>17384.131228874001</v>
      </c>
      <c r="G154" s="76">
        <f t="shared" si="60"/>
        <v>21.945398003094304</v>
      </c>
      <c r="I154" s="77">
        <f t="shared" si="57"/>
        <v>23</v>
      </c>
      <c r="J154" s="73">
        <f t="shared" si="61"/>
        <v>2032</v>
      </c>
      <c r="K154" s="78">
        <f t="shared" ref="K154:K192" si="62">IF(ISNUMBER(F154),IF(F154&lt;&gt;0,B154,""),"")</f>
        <v>48488</v>
      </c>
    </row>
    <row r="155" spans="2:11" hidden="1" outlineLevel="1">
      <c r="B155" s="78">
        <f t="shared" si="58"/>
        <v>48519</v>
      </c>
      <c r="C155" s="75">
        <v>113652.17896157503</v>
      </c>
      <c r="D155" s="71">
        <f>IF(F155&lt;&gt;0,VLOOKUP($J155,'Table 1'!$B$13:$C$33,2,FALSE)/12*1000*Study_MW,0)</f>
        <v>231768.41648024815</v>
      </c>
      <c r="E155" s="71">
        <f t="shared" si="59"/>
        <v>345420.59544182318</v>
      </c>
      <c r="F155" s="75">
        <v>12286.1471363</v>
      </c>
      <c r="G155" s="76">
        <f t="shared" si="60"/>
        <v>28.114639325884497</v>
      </c>
      <c r="I155" s="77">
        <f t="shared" si="57"/>
        <v>24</v>
      </c>
      <c r="J155" s="73">
        <f t="shared" si="61"/>
        <v>2032</v>
      </c>
      <c r="K155" s="78">
        <f t="shared" si="62"/>
        <v>48519</v>
      </c>
    </row>
    <row r="156" spans="2:11" hidden="1" outlineLevel="1">
      <c r="B156" s="82">
        <f t="shared" si="58"/>
        <v>48549</v>
      </c>
      <c r="C156" s="79">
        <v>118291.96821168065</v>
      </c>
      <c r="D156" s="80">
        <f>IF(F156&lt;&gt;0,VLOOKUP($J156,'Table 1'!$B$13:$C$33,2,FALSE)/12*1000*Study_MW,0)</f>
        <v>231768.41648024815</v>
      </c>
      <c r="E156" s="80">
        <f t="shared" si="59"/>
        <v>350060.3846919288</v>
      </c>
      <c r="F156" s="79">
        <v>8781.2111887800002</v>
      </c>
      <c r="G156" s="81">
        <f t="shared" si="60"/>
        <v>39.864703987442049</v>
      </c>
      <c r="I156" s="64">
        <f t="shared" si="57"/>
        <v>25</v>
      </c>
      <c r="J156" s="73">
        <f t="shared" si="61"/>
        <v>2032</v>
      </c>
      <c r="K156" s="82">
        <f t="shared" si="62"/>
        <v>48549</v>
      </c>
    </row>
    <row r="157" spans="2:11" hidden="1" outlineLevel="1">
      <c r="B157" s="74">
        <f t="shared" si="58"/>
        <v>48580</v>
      </c>
      <c r="C157" s="69">
        <v>127178.41305093467</v>
      </c>
      <c r="D157" s="70">
        <f>IF(F157&lt;&gt;0,VLOOKUP($J157,'Table 1'!$B$13:$C$33,2,FALSE)/12*1000*Study_MW,0)</f>
        <v>237089.57771315158</v>
      </c>
      <c r="E157" s="70">
        <f t="shared" si="59"/>
        <v>364267.99076408625</v>
      </c>
      <c r="F157" s="69">
        <v>11727.032699089999</v>
      </c>
      <c r="G157" s="72">
        <f t="shared" si="60"/>
        <v>31.062247382694935</v>
      </c>
      <c r="I157" s="60">
        <f>I37</f>
        <v>27</v>
      </c>
      <c r="J157" s="73">
        <f t="shared" si="61"/>
        <v>2033</v>
      </c>
      <c r="K157" s="74">
        <f t="shared" si="62"/>
        <v>48580</v>
      </c>
    </row>
    <row r="158" spans="2:11" hidden="1" outlineLevel="1">
      <c r="B158" s="78">
        <f t="shared" si="58"/>
        <v>48611</v>
      </c>
      <c r="C158" s="75">
        <v>70833.718400493264</v>
      </c>
      <c r="D158" s="71">
        <f>IF(F158&lt;&gt;0,VLOOKUP($J158,'Table 1'!$B$13:$C$33,2,FALSE)/12*1000*Study_MW,0)</f>
        <v>237089.57771315158</v>
      </c>
      <c r="E158" s="71">
        <f t="shared" si="59"/>
        <v>307923.29611364484</v>
      </c>
      <c r="F158" s="75">
        <v>11438.07374888</v>
      </c>
      <c r="G158" s="76">
        <f t="shared" si="60"/>
        <v>26.920904942040284</v>
      </c>
      <c r="I158" s="77">
        <f t="shared" si="57"/>
        <v>28</v>
      </c>
      <c r="J158" s="73">
        <f t="shared" si="61"/>
        <v>2033</v>
      </c>
      <c r="K158" s="78">
        <f t="shared" si="62"/>
        <v>48611</v>
      </c>
    </row>
    <row r="159" spans="2:11" hidden="1" outlineLevel="1">
      <c r="B159" s="78">
        <f t="shared" si="58"/>
        <v>48639</v>
      </c>
      <c r="C159" s="75">
        <v>125284.65535411239</v>
      </c>
      <c r="D159" s="71">
        <f>IF(F159&lt;&gt;0,VLOOKUP($J159,'Table 1'!$B$13:$C$33,2,FALSE)/12*1000*Study_MW,0)</f>
        <v>237089.57771315158</v>
      </c>
      <c r="E159" s="71">
        <f t="shared" si="59"/>
        <v>362374.23306726397</v>
      </c>
      <c r="F159" s="75">
        <v>15945.62267798</v>
      </c>
      <c r="G159" s="76">
        <f t="shared" si="60"/>
        <v>22.72562447922979</v>
      </c>
      <c r="I159" s="77">
        <f t="shared" si="57"/>
        <v>29</v>
      </c>
      <c r="J159" s="73">
        <f t="shared" si="61"/>
        <v>2033</v>
      </c>
      <c r="K159" s="78">
        <f t="shared" si="62"/>
        <v>48639</v>
      </c>
    </row>
    <row r="160" spans="2:11" hidden="1" outlineLevel="1">
      <c r="B160" s="78">
        <f t="shared" si="58"/>
        <v>48670</v>
      </c>
      <c r="C160" s="75">
        <v>91453.159777253866</v>
      </c>
      <c r="D160" s="71">
        <f>IF(F160&lt;&gt;0,VLOOKUP($J160,'Table 1'!$B$13:$C$33,2,FALSE)/12*1000*Study_MW,0)</f>
        <v>237089.57771315158</v>
      </c>
      <c r="E160" s="71">
        <f t="shared" si="59"/>
        <v>328542.73749040544</v>
      </c>
      <c r="F160" s="75">
        <v>18901.60281773</v>
      </c>
      <c r="G160" s="76">
        <f t="shared" si="60"/>
        <v>17.381739562436852</v>
      </c>
      <c r="I160" s="77">
        <f t="shared" si="57"/>
        <v>30</v>
      </c>
      <c r="J160" s="73">
        <f t="shared" si="61"/>
        <v>2033</v>
      </c>
      <c r="K160" s="78">
        <f t="shared" si="62"/>
        <v>48670</v>
      </c>
    </row>
    <row r="161" spans="2:11" hidden="1" outlineLevel="1">
      <c r="B161" s="78">
        <f t="shared" si="58"/>
        <v>48700</v>
      </c>
      <c r="C161" s="75">
        <v>89387.372783794999</v>
      </c>
      <c r="D161" s="71">
        <f>IF(F161&lt;&gt;0,VLOOKUP($J161,'Table 1'!$B$13:$C$33,2,FALSE)/12*1000*Study_MW,0)</f>
        <v>237089.57771315158</v>
      </c>
      <c r="E161" s="71">
        <f t="shared" si="59"/>
        <v>326476.95049694658</v>
      </c>
      <c r="F161" s="75">
        <v>25866.336293349999</v>
      </c>
      <c r="G161" s="76">
        <f t="shared" si="60"/>
        <v>12.62169279771101</v>
      </c>
      <c r="I161" s="77">
        <f t="shared" si="57"/>
        <v>31</v>
      </c>
      <c r="J161" s="73">
        <f t="shared" si="61"/>
        <v>2033</v>
      </c>
      <c r="K161" s="78">
        <f t="shared" si="62"/>
        <v>48700</v>
      </c>
    </row>
    <row r="162" spans="2:11" hidden="1" outlineLevel="1">
      <c r="B162" s="78">
        <f t="shared" si="58"/>
        <v>48731</v>
      </c>
      <c r="C162" s="75">
        <v>160873.86457292736</v>
      </c>
      <c r="D162" s="71">
        <f>IF(F162&lt;&gt;0,VLOOKUP($J162,'Table 1'!$B$13:$C$33,2,FALSE)/12*1000*Study_MW,0)</f>
        <v>237089.57771315158</v>
      </c>
      <c r="E162" s="71">
        <f t="shared" si="59"/>
        <v>397963.44228607893</v>
      </c>
      <c r="F162" s="75">
        <v>23698.190868217</v>
      </c>
      <c r="G162" s="76">
        <f t="shared" si="60"/>
        <v>16.79298831286782</v>
      </c>
      <c r="I162" s="77">
        <f t="shared" si="57"/>
        <v>32</v>
      </c>
      <c r="J162" s="73">
        <f t="shared" si="61"/>
        <v>2033</v>
      </c>
      <c r="K162" s="78">
        <f t="shared" si="62"/>
        <v>48731</v>
      </c>
    </row>
    <row r="163" spans="2:11" hidden="1" outlineLevel="1">
      <c r="B163" s="78">
        <f t="shared" si="58"/>
        <v>48761</v>
      </c>
      <c r="C163" s="75">
        <v>368082.50294497609</v>
      </c>
      <c r="D163" s="71">
        <f>IF(F163&lt;&gt;0,VLOOKUP($J163,'Table 1'!$B$13:$C$33,2,FALSE)/12*1000*Study_MW,0)</f>
        <v>237089.57771315158</v>
      </c>
      <c r="E163" s="71">
        <f t="shared" si="59"/>
        <v>605172.08065812767</v>
      </c>
      <c r="F163" s="75">
        <v>24172.599832250002</v>
      </c>
      <c r="G163" s="76">
        <f t="shared" si="60"/>
        <v>25.035456875049665</v>
      </c>
      <c r="I163" s="77">
        <f t="shared" si="57"/>
        <v>33</v>
      </c>
      <c r="J163" s="73">
        <f t="shared" si="61"/>
        <v>2033</v>
      </c>
      <c r="K163" s="78">
        <f t="shared" si="62"/>
        <v>48761</v>
      </c>
    </row>
    <row r="164" spans="2:11" hidden="1" outlineLevel="1">
      <c r="B164" s="78">
        <f t="shared" si="58"/>
        <v>48792</v>
      </c>
      <c r="C164" s="75">
        <v>340036.10563284159</v>
      </c>
      <c r="D164" s="71">
        <f>IF(F164&lt;&gt;0,VLOOKUP($J164,'Table 1'!$B$13:$C$33,2,FALSE)/12*1000*Study_MW,0)</f>
        <v>237089.57771315158</v>
      </c>
      <c r="E164" s="71">
        <f t="shared" si="59"/>
        <v>577125.68334599317</v>
      </c>
      <c r="F164" s="75">
        <v>21696.221903564001</v>
      </c>
      <c r="G164" s="76">
        <f t="shared" si="60"/>
        <v>26.600284874998891</v>
      </c>
      <c r="I164" s="77">
        <f t="shared" si="57"/>
        <v>34</v>
      </c>
      <c r="J164" s="73">
        <f t="shared" si="61"/>
        <v>2033</v>
      </c>
      <c r="K164" s="78">
        <f t="shared" si="62"/>
        <v>48792</v>
      </c>
    </row>
    <row r="165" spans="2:11" hidden="1" outlineLevel="1">
      <c r="B165" s="78">
        <f t="shared" si="58"/>
        <v>48823</v>
      </c>
      <c r="C165" s="75">
        <v>231752.27393852174</v>
      </c>
      <c r="D165" s="71">
        <f>IF(F165&lt;&gt;0,VLOOKUP($J165,'Table 1'!$B$13:$C$33,2,FALSE)/12*1000*Study_MW,0)</f>
        <v>237089.57771315158</v>
      </c>
      <c r="E165" s="71">
        <f t="shared" si="59"/>
        <v>468841.85165167332</v>
      </c>
      <c r="F165" s="75">
        <v>20701.745392460001</v>
      </c>
      <c r="G165" s="76">
        <f t="shared" si="60"/>
        <v>22.647455215174034</v>
      </c>
      <c r="I165" s="77">
        <f t="shared" si="57"/>
        <v>35</v>
      </c>
      <c r="J165" s="73">
        <f t="shared" si="61"/>
        <v>2033</v>
      </c>
      <c r="K165" s="78">
        <f t="shared" si="62"/>
        <v>48823</v>
      </c>
    </row>
    <row r="166" spans="2:11" hidden="1" outlineLevel="1">
      <c r="B166" s="78">
        <f t="shared" si="58"/>
        <v>48853</v>
      </c>
      <c r="C166" s="75">
        <v>191701.38528053463</v>
      </c>
      <c r="D166" s="71">
        <f>IF(F166&lt;&gt;0,VLOOKUP($J166,'Table 1'!$B$13:$C$33,2,FALSE)/12*1000*Study_MW,0)</f>
        <v>237089.57771315158</v>
      </c>
      <c r="E166" s="71">
        <f t="shared" si="59"/>
        <v>428790.9629936862</v>
      </c>
      <c r="F166" s="75">
        <v>17297.210319259</v>
      </c>
      <c r="G166" s="76">
        <f t="shared" si="60"/>
        <v>24.789602200550412</v>
      </c>
      <c r="I166" s="77">
        <f t="shared" si="57"/>
        <v>36</v>
      </c>
      <c r="J166" s="73">
        <f t="shared" si="61"/>
        <v>2033</v>
      </c>
      <c r="K166" s="78">
        <f t="shared" si="62"/>
        <v>48853</v>
      </c>
    </row>
    <row r="167" spans="2:11" hidden="1" outlineLevel="1">
      <c r="B167" s="78">
        <f t="shared" si="58"/>
        <v>48884</v>
      </c>
      <c r="C167" s="75">
        <v>106492.05280461907</v>
      </c>
      <c r="D167" s="71">
        <f>IF(F167&lt;&gt;0,VLOOKUP($J167,'Table 1'!$B$13:$C$33,2,FALSE)/12*1000*Study_MW,0)</f>
        <v>237089.57771315158</v>
      </c>
      <c r="E167" s="71">
        <f t="shared" si="59"/>
        <v>343581.63051777065</v>
      </c>
      <c r="F167" s="75">
        <v>12224.7163991</v>
      </c>
      <c r="G167" s="76">
        <f t="shared" si="60"/>
        <v>28.105488855599596</v>
      </c>
      <c r="I167" s="77">
        <f t="shared" si="57"/>
        <v>37</v>
      </c>
      <c r="J167" s="73">
        <f t="shared" si="61"/>
        <v>2033</v>
      </c>
      <c r="K167" s="78">
        <f t="shared" si="62"/>
        <v>48884</v>
      </c>
    </row>
    <row r="168" spans="2:11" hidden="1" outlineLevel="1">
      <c r="B168" s="82">
        <f t="shared" si="58"/>
        <v>48914</v>
      </c>
      <c r="C168" s="79">
        <v>107807.26745949686</v>
      </c>
      <c r="D168" s="80">
        <f>IF(F168&lt;&gt;0,VLOOKUP($J168,'Table 1'!$B$13:$C$33,2,FALSE)/12*1000*Study_MW,0)</f>
        <v>237089.57771315158</v>
      </c>
      <c r="E168" s="80">
        <f t="shared" si="59"/>
        <v>344896.84517264843</v>
      </c>
      <c r="F168" s="79">
        <v>8737.305132644</v>
      </c>
      <c r="G168" s="81">
        <f t="shared" si="60"/>
        <v>39.474052918680549</v>
      </c>
      <c r="I168" s="64">
        <f t="shared" si="57"/>
        <v>38</v>
      </c>
      <c r="J168" s="73">
        <f t="shared" si="61"/>
        <v>2033</v>
      </c>
      <c r="K168" s="82">
        <f t="shared" si="62"/>
        <v>48914</v>
      </c>
    </row>
    <row r="169" spans="2:11" hidden="1" outlineLevel="1">
      <c r="B169" s="74">
        <f t="shared" si="58"/>
        <v>48945</v>
      </c>
      <c r="C169" s="69">
        <v>143472.93019604683</v>
      </c>
      <c r="D169" s="70">
        <f>IF(F169&lt;&gt;0,VLOOKUP($J169,'Table 1'!$B$13:$C$33,2,FALSE)/12*1000*Study_MW,0)</f>
        <v>242760.00435516459</v>
      </c>
      <c r="E169" s="70">
        <f t="shared" si="59"/>
        <v>386232.93455121142</v>
      </c>
      <c r="F169" s="69">
        <v>11668.397536070001</v>
      </c>
      <c r="G169" s="72">
        <f t="shared" si="60"/>
        <v>33.100769266496677</v>
      </c>
      <c r="I169" s="60">
        <f>I49</f>
        <v>40</v>
      </c>
      <c r="J169" s="73">
        <f t="shared" si="61"/>
        <v>2034</v>
      </c>
      <c r="K169" s="74">
        <f t="shared" si="62"/>
        <v>48945</v>
      </c>
    </row>
    <row r="170" spans="2:11" hidden="1" outlineLevel="1">
      <c r="B170" s="78">
        <f t="shared" si="58"/>
        <v>48976</v>
      </c>
      <c r="C170" s="75">
        <v>88923.924613848329</v>
      </c>
      <c r="D170" s="71">
        <f>IF(F170&lt;&gt;0,VLOOKUP($J170,'Table 1'!$B$13:$C$33,2,FALSE)/12*1000*Study_MW,0)</f>
        <v>242760.00435516459</v>
      </c>
      <c r="E170" s="71">
        <f t="shared" si="59"/>
        <v>331683.92896901292</v>
      </c>
      <c r="F170" s="75">
        <v>11380.8833911</v>
      </c>
      <c r="G170" s="76">
        <f t="shared" si="60"/>
        <v>29.143952852411623</v>
      </c>
      <c r="I170" s="77">
        <f t="shared" si="57"/>
        <v>41</v>
      </c>
      <c r="J170" s="73">
        <f t="shared" si="61"/>
        <v>2034</v>
      </c>
      <c r="K170" s="78">
        <f t="shared" si="62"/>
        <v>48976</v>
      </c>
    </row>
    <row r="171" spans="2:11" hidden="1" outlineLevel="1">
      <c r="B171" s="78">
        <f t="shared" si="58"/>
        <v>49004</v>
      </c>
      <c r="C171" s="75">
        <v>127917.24182869494</v>
      </c>
      <c r="D171" s="71">
        <f>IF(F171&lt;&gt;0,VLOOKUP($J171,'Table 1'!$B$13:$C$33,2,FALSE)/12*1000*Study_MW,0)</f>
        <v>242760.00435516459</v>
      </c>
      <c r="E171" s="71">
        <f t="shared" si="59"/>
        <v>370677.24618385953</v>
      </c>
      <c r="F171" s="75">
        <v>15865.894582774999</v>
      </c>
      <c r="G171" s="76">
        <f t="shared" si="60"/>
        <v>23.363148182409443</v>
      </c>
      <c r="I171" s="77">
        <f t="shared" si="57"/>
        <v>42</v>
      </c>
      <c r="J171" s="73">
        <f t="shared" si="61"/>
        <v>2034</v>
      </c>
      <c r="K171" s="78">
        <f t="shared" si="62"/>
        <v>49004</v>
      </c>
    </row>
    <row r="172" spans="2:11" hidden="1" outlineLevel="1">
      <c r="B172" s="78">
        <f t="shared" si="58"/>
        <v>49035</v>
      </c>
      <c r="C172" s="75">
        <v>85401.878400489688</v>
      </c>
      <c r="D172" s="71">
        <f>IF(F172&lt;&gt;0,VLOOKUP($J172,'Table 1'!$B$13:$C$33,2,FALSE)/12*1000*Study_MW,0)</f>
        <v>242760.00435516459</v>
      </c>
      <c r="E172" s="71">
        <f t="shared" si="59"/>
        <v>328161.88275565428</v>
      </c>
      <c r="F172" s="75">
        <v>18807.094869730001</v>
      </c>
      <c r="G172" s="76">
        <f t="shared" si="60"/>
        <v>17.448834337717436</v>
      </c>
      <c r="I172" s="77">
        <f t="shared" si="57"/>
        <v>43</v>
      </c>
      <c r="J172" s="73">
        <f t="shared" si="61"/>
        <v>2034</v>
      </c>
      <c r="K172" s="78">
        <f t="shared" si="62"/>
        <v>49035</v>
      </c>
    </row>
    <row r="173" spans="2:11" hidden="1" outlineLevel="1">
      <c r="B173" s="78">
        <f t="shared" si="58"/>
        <v>49065</v>
      </c>
      <c r="C173" s="75">
        <v>138606.8994794935</v>
      </c>
      <c r="D173" s="71">
        <f>IF(F173&lt;&gt;0,VLOOKUP($J173,'Table 1'!$B$13:$C$33,2,FALSE)/12*1000*Study_MW,0)</f>
        <v>242760.00435516459</v>
      </c>
      <c r="E173" s="71">
        <f t="shared" si="59"/>
        <v>381366.90383465809</v>
      </c>
      <c r="F173" s="75">
        <v>25737.004681959999</v>
      </c>
      <c r="G173" s="76">
        <f t="shared" si="60"/>
        <v>14.817843356184024</v>
      </c>
      <c r="I173" s="77">
        <f t="shared" si="57"/>
        <v>44</v>
      </c>
      <c r="J173" s="73">
        <f t="shared" si="61"/>
        <v>2034</v>
      </c>
      <c r="K173" s="78">
        <f t="shared" si="62"/>
        <v>49065</v>
      </c>
    </row>
    <row r="174" spans="2:11" hidden="1" outlineLevel="1">
      <c r="B174" s="78">
        <f t="shared" si="58"/>
        <v>49096</v>
      </c>
      <c r="C174" s="75">
        <v>176674.63489301503</v>
      </c>
      <c r="D174" s="71">
        <f>IF(F174&lt;&gt;0,VLOOKUP($J174,'Table 1'!$B$13:$C$33,2,FALSE)/12*1000*Study_MW,0)</f>
        <v>242760.00435516459</v>
      </c>
      <c r="E174" s="71">
        <f t="shared" si="59"/>
        <v>419434.63924817962</v>
      </c>
      <c r="F174" s="75">
        <v>23579.699951993</v>
      </c>
      <c r="G174" s="76">
        <f t="shared" si="60"/>
        <v>17.787954897735169</v>
      </c>
      <c r="I174" s="77">
        <f t="shared" si="57"/>
        <v>45</v>
      </c>
      <c r="J174" s="73">
        <f t="shared" si="61"/>
        <v>2034</v>
      </c>
      <c r="K174" s="78">
        <f t="shared" si="62"/>
        <v>49096</v>
      </c>
    </row>
    <row r="175" spans="2:11" hidden="1" outlineLevel="1">
      <c r="B175" s="78">
        <f t="shared" si="58"/>
        <v>49126</v>
      </c>
      <c r="C175" s="75">
        <v>392711.07150518894</v>
      </c>
      <c r="D175" s="71">
        <f>IF(F175&lt;&gt;0,VLOOKUP($J175,'Table 1'!$B$13:$C$33,2,FALSE)/12*1000*Study_MW,0)</f>
        <v>242760.00435516459</v>
      </c>
      <c r="E175" s="71">
        <f t="shared" si="59"/>
        <v>635471.07586035354</v>
      </c>
      <c r="F175" s="75">
        <v>24051.736566759999</v>
      </c>
      <c r="G175" s="76">
        <f t="shared" si="60"/>
        <v>26.421005988340475</v>
      </c>
      <c r="I175" s="77">
        <f t="shared" si="57"/>
        <v>46</v>
      </c>
      <c r="J175" s="73">
        <f t="shared" si="61"/>
        <v>2034</v>
      </c>
      <c r="K175" s="78">
        <f t="shared" si="62"/>
        <v>49126</v>
      </c>
    </row>
    <row r="176" spans="2:11" hidden="1" outlineLevel="1">
      <c r="B176" s="78">
        <f t="shared" si="58"/>
        <v>49157</v>
      </c>
      <c r="C176" s="75">
        <v>369764.14788448811</v>
      </c>
      <c r="D176" s="71">
        <f>IF(F176&lt;&gt;0,VLOOKUP($J176,'Table 1'!$B$13:$C$33,2,FALSE)/12*1000*Study_MW,0)</f>
        <v>242760.00435516459</v>
      </c>
      <c r="E176" s="71">
        <f t="shared" si="59"/>
        <v>612524.1522396527</v>
      </c>
      <c r="F176" s="75">
        <v>21587.740711859002</v>
      </c>
      <c r="G176" s="76">
        <f t="shared" si="60"/>
        <v>28.373703409508199</v>
      </c>
      <c r="I176" s="77">
        <f t="shared" si="57"/>
        <v>47</v>
      </c>
      <c r="J176" s="73">
        <f t="shared" si="61"/>
        <v>2034</v>
      </c>
      <c r="K176" s="78">
        <f t="shared" si="62"/>
        <v>49157</v>
      </c>
    </row>
    <row r="177" spans="2:11" hidden="1" outlineLevel="1">
      <c r="B177" s="78">
        <f t="shared" si="58"/>
        <v>49188</v>
      </c>
      <c r="C177" s="75">
        <v>215125.64377690852</v>
      </c>
      <c r="D177" s="71">
        <f>IF(F177&lt;&gt;0,VLOOKUP($J177,'Table 1'!$B$13:$C$33,2,FALSE)/12*1000*Study_MW,0)</f>
        <v>242760.00435516459</v>
      </c>
      <c r="E177" s="71">
        <f t="shared" si="59"/>
        <v>457885.64813207311</v>
      </c>
      <c r="F177" s="75">
        <v>20598.23662344</v>
      </c>
      <c r="G177" s="76">
        <f t="shared" si="60"/>
        <v>22.229361498402096</v>
      </c>
      <c r="I177" s="77">
        <f t="shared" si="57"/>
        <v>48</v>
      </c>
      <c r="J177" s="73">
        <f t="shared" si="61"/>
        <v>2034</v>
      </c>
      <c r="K177" s="78">
        <f t="shared" si="62"/>
        <v>49188</v>
      </c>
    </row>
    <row r="178" spans="2:11" hidden="1" outlineLevel="1">
      <c r="B178" s="78">
        <f t="shared" si="58"/>
        <v>49218</v>
      </c>
      <c r="C178" s="75">
        <v>178428.24755565822</v>
      </c>
      <c r="D178" s="71">
        <f>IF(F178&lt;&gt;0,VLOOKUP($J178,'Table 1'!$B$13:$C$33,2,FALSE)/12*1000*Study_MW,0)</f>
        <v>242760.00435516459</v>
      </c>
      <c r="E178" s="71">
        <f t="shared" si="59"/>
        <v>421188.25191082282</v>
      </c>
      <c r="F178" s="75">
        <v>17210.724422724001</v>
      </c>
      <c r="G178" s="76">
        <f t="shared" si="60"/>
        <v>24.47243018746563</v>
      </c>
      <c r="I178" s="77">
        <f t="shared" si="57"/>
        <v>49</v>
      </c>
      <c r="J178" s="73">
        <f t="shared" si="61"/>
        <v>2034</v>
      </c>
      <c r="K178" s="78">
        <f t="shared" si="62"/>
        <v>49218</v>
      </c>
    </row>
    <row r="179" spans="2:11" hidden="1" outlineLevel="1">
      <c r="B179" s="78">
        <f t="shared" si="58"/>
        <v>49249</v>
      </c>
      <c r="C179" s="75">
        <v>124434.21832993627</v>
      </c>
      <c r="D179" s="71">
        <f>IF(F179&lt;&gt;0,VLOOKUP($J179,'Table 1'!$B$13:$C$33,2,FALSE)/12*1000*Study_MW,0)</f>
        <v>242760.00435516459</v>
      </c>
      <c r="E179" s="71">
        <f t="shared" si="59"/>
        <v>367194.22268510086</v>
      </c>
      <c r="F179" s="75">
        <v>12163.5928133</v>
      </c>
      <c r="G179" s="76">
        <f t="shared" si="60"/>
        <v>30.187973925237024</v>
      </c>
      <c r="I179" s="77">
        <f t="shared" si="57"/>
        <v>50</v>
      </c>
      <c r="J179" s="73">
        <f t="shared" si="61"/>
        <v>2034</v>
      </c>
      <c r="K179" s="78">
        <f t="shared" si="62"/>
        <v>49249</v>
      </c>
    </row>
    <row r="180" spans="2:11" hidden="1" outlineLevel="1">
      <c r="B180" s="82">
        <f t="shared" si="58"/>
        <v>49279</v>
      </c>
      <c r="C180" s="79">
        <v>104719.20283223689</v>
      </c>
      <c r="D180" s="80">
        <f>IF(F180&lt;&gt;0,VLOOKUP($J180,'Table 1'!$B$13:$C$33,2,FALSE)/12*1000*Study_MW,0)</f>
        <v>242760.00435516459</v>
      </c>
      <c r="E180" s="80">
        <f t="shared" si="59"/>
        <v>347479.20718740148</v>
      </c>
      <c r="F180" s="79">
        <v>8693.6185976699999</v>
      </c>
      <c r="G180" s="81">
        <f t="shared" si="60"/>
        <v>39.969456134241995</v>
      </c>
      <c r="I180" s="64">
        <f t="shared" si="57"/>
        <v>51</v>
      </c>
      <c r="J180" s="73">
        <f t="shared" si="61"/>
        <v>2034</v>
      </c>
      <c r="K180" s="82">
        <f t="shared" si="62"/>
        <v>49279</v>
      </c>
    </row>
    <row r="181" spans="2:11" collapsed="1">
      <c r="B181" s="74">
        <f t="shared" si="58"/>
        <v>49310</v>
      </c>
      <c r="C181" s="69">
        <v>136493.2020060271</v>
      </c>
      <c r="D181" s="70">
        <f>IF(F181&lt;&gt;0,VLOOKUP($J181,'Table 1'!$B$13:$C$33,2,FALSE)/12*1000*Study_MW,0)</f>
        <v>248574.24616563448</v>
      </c>
      <c r="E181" s="70">
        <f t="shared" si="59"/>
        <v>385067.44817166158</v>
      </c>
      <c r="F181" s="69">
        <v>11610.055542829999</v>
      </c>
      <c r="G181" s="72">
        <f t="shared" si="60"/>
        <v>33.166718862897</v>
      </c>
      <c r="I181" s="60">
        <f>I61</f>
        <v>53</v>
      </c>
      <c r="J181" s="73">
        <f t="shared" si="61"/>
        <v>2035</v>
      </c>
      <c r="K181" s="74">
        <f t="shared" si="62"/>
        <v>49310</v>
      </c>
    </row>
    <row r="182" spans="2:11">
      <c r="B182" s="78">
        <f t="shared" si="58"/>
        <v>49341</v>
      </c>
      <c r="C182" s="75">
        <v>100979.57939946651</v>
      </c>
      <c r="D182" s="71">
        <f>IF(F182&lt;&gt;0,VLOOKUP($J182,'Table 1'!$B$13:$C$33,2,FALSE)/12*1000*Study_MW,0)</f>
        <v>248574.24616563448</v>
      </c>
      <c r="E182" s="71">
        <f t="shared" si="59"/>
        <v>349553.825565101</v>
      </c>
      <c r="F182" s="75">
        <v>11323.978923119999</v>
      </c>
      <c r="G182" s="76">
        <f t="shared" si="60"/>
        <v>30.868463102789971</v>
      </c>
      <c r="I182" s="77">
        <f t="shared" si="57"/>
        <v>54</v>
      </c>
      <c r="J182" s="73">
        <f t="shared" si="61"/>
        <v>2035</v>
      </c>
      <c r="K182" s="78">
        <f t="shared" si="62"/>
        <v>49341</v>
      </c>
    </row>
    <row r="183" spans="2:11">
      <c r="B183" s="78">
        <f t="shared" si="58"/>
        <v>49369</v>
      </c>
      <c r="C183" s="75">
        <v>127194.47539639473</v>
      </c>
      <c r="D183" s="71">
        <f>IF(F183&lt;&gt;0,VLOOKUP($J183,'Table 1'!$B$13:$C$33,2,FALSE)/12*1000*Study_MW,0)</f>
        <v>248574.24616563448</v>
      </c>
      <c r="E183" s="71">
        <f t="shared" si="59"/>
        <v>375768.72156202921</v>
      </c>
      <c r="F183" s="75">
        <v>15786.565177009999</v>
      </c>
      <c r="G183" s="76">
        <f t="shared" si="60"/>
        <v>23.803070354358137</v>
      </c>
      <c r="I183" s="77">
        <f t="shared" si="57"/>
        <v>55</v>
      </c>
      <c r="J183" s="73">
        <f t="shared" si="61"/>
        <v>2035</v>
      </c>
      <c r="K183" s="78">
        <f t="shared" si="62"/>
        <v>49369</v>
      </c>
    </row>
    <row r="184" spans="2:11">
      <c r="B184" s="78">
        <f t="shared" si="58"/>
        <v>49400</v>
      </c>
      <c r="C184" s="75">
        <v>84705.112644612789</v>
      </c>
      <c r="D184" s="71">
        <f>IF(F184&lt;&gt;0,VLOOKUP($J184,'Table 1'!$B$13:$C$33,2,FALSE)/12*1000*Study_MW,0)</f>
        <v>248574.24616563448</v>
      </c>
      <c r="E184" s="71">
        <f t="shared" si="59"/>
        <v>333279.35881024727</v>
      </c>
      <c r="F184" s="75">
        <v>18713.059043503999</v>
      </c>
      <c r="G184" s="76">
        <f t="shared" si="60"/>
        <v>17.80998809630438</v>
      </c>
      <c r="I184" s="77">
        <f t="shared" si="57"/>
        <v>56</v>
      </c>
      <c r="J184" s="73">
        <f t="shared" si="61"/>
        <v>2035</v>
      </c>
      <c r="K184" s="78">
        <f t="shared" si="62"/>
        <v>49400</v>
      </c>
    </row>
    <row r="185" spans="2:11">
      <c r="B185" s="78">
        <f t="shared" si="58"/>
        <v>49430</v>
      </c>
      <c r="C185" s="75">
        <v>104431.88635773957</v>
      </c>
      <c r="D185" s="71">
        <f>IF(F185&lt;&gt;0,VLOOKUP($J185,'Table 1'!$B$13:$C$33,2,FALSE)/12*1000*Study_MW,0)</f>
        <v>248574.24616563448</v>
      </c>
      <c r="E185" s="71">
        <f t="shared" si="59"/>
        <v>353006.13252337405</v>
      </c>
      <c r="F185" s="75">
        <v>25608.31878577</v>
      </c>
      <c r="G185" s="76">
        <f t="shared" si="60"/>
        <v>13.784822638162881</v>
      </c>
      <c r="I185" s="77">
        <f t="shared" si="57"/>
        <v>57</v>
      </c>
      <c r="J185" s="73">
        <f t="shared" si="61"/>
        <v>2035</v>
      </c>
      <c r="K185" s="78">
        <f t="shared" si="62"/>
        <v>49430</v>
      </c>
    </row>
    <row r="186" spans="2:11">
      <c r="B186" s="78">
        <f t="shared" si="58"/>
        <v>49461</v>
      </c>
      <c r="C186" s="75">
        <v>204441.16277307272</v>
      </c>
      <c r="D186" s="71">
        <f>IF(F186&lt;&gt;0,VLOOKUP($J186,'Table 1'!$B$13:$C$33,2,FALSE)/12*1000*Study_MW,0)</f>
        <v>248574.24616563448</v>
      </c>
      <c r="E186" s="71">
        <f t="shared" si="59"/>
        <v>453015.4089387072</v>
      </c>
      <c r="F186" s="75">
        <v>23461.801485012998</v>
      </c>
      <c r="G186" s="76">
        <f t="shared" si="60"/>
        <v>19.308637029773088</v>
      </c>
      <c r="I186" s="77">
        <f t="shared" si="57"/>
        <v>58</v>
      </c>
      <c r="J186" s="73">
        <f t="shared" si="61"/>
        <v>2035</v>
      </c>
      <c r="K186" s="78">
        <f t="shared" si="62"/>
        <v>49461</v>
      </c>
    </row>
    <row r="187" spans="2:11">
      <c r="B187" s="78">
        <f t="shared" si="58"/>
        <v>49491</v>
      </c>
      <c r="C187" s="75">
        <v>424755.91432222724</v>
      </c>
      <c r="D187" s="71">
        <f>IF(F187&lt;&gt;0,VLOOKUP($J187,'Table 1'!$B$13:$C$33,2,FALSE)/12*1000*Study_MW,0)</f>
        <v>248574.24616563448</v>
      </c>
      <c r="E187" s="71">
        <f t="shared" si="59"/>
        <v>673330.16048786172</v>
      </c>
      <c r="F187" s="75">
        <v>23931.47732115</v>
      </c>
      <c r="G187" s="76">
        <f t="shared" si="60"/>
        <v>28.135754072014205</v>
      </c>
      <c r="I187" s="77">
        <f t="shared" si="57"/>
        <v>59</v>
      </c>
      <c r="J187" s="73">
        <f t="shared" si="61"/>
        <v>2035</v>
      </c>
      <c r="K187" s="78">
        <f t="shared" si="62"/>
        <v>49491</v>
      </c>
    </row>
    <row r="188" spans="2:11">
      <c r="B188" s="78">
        <f t="shared" si="58"/>
        <v>49522</v>
      </c>
      <c r="C188" s="75">
        <v>399273.76185056567</v>
      </c>
      <c r="D188" s="71">
        <f>IF(F188&lt;&gt;0,VLOOKUP($J188,'Table 1'!$B$13:$C$33,2,FALSE)/12*1000*Study_MW,0)</f>
        <v>248574.24616563448</v>
      </c>
      <c r="E188" s="71">
        <f t="shared" si="59"/>
        <v>647848.00801620015</v>
      </c>
      <c r="F188" s="75">
        <v>21479.802173897999</v>
      </c>
      <c r="G188" s="76">
        <f t="shared" si="60"/>
        <v>30.160799562831048</v>
      </c>
      <c r="I188" s="77">
        <f t="shared" si="57"/>
        <v>60</v>
      </c>
      <c r="J188" s="73">
        <f t="shared" si="61"/>
        <v>2035</v>
      </c>
      <c r="K188" s="78">
        <f t="shared" si="62"/>
        <v>49522</v>
      </c>
    </row>
    <row r="189" spans="2:11">
      <c r="B189" s="78">
        <f t="shared" si="58"/>
        <v>49553</v>
      </c>
      <c r="C189" s="75">
        <v>239944.79810239375</v>
      </c>
      <c r="D189" s="71">
        <f>IF(F189&lt;&gt;0,VLOOKUP($J189,'Table 1'!$B$13:$C$33,2,FALSE)/12*1000*Study_MW,0)</f>
        <v>248574.24616563448</v>
      </c>
      <c r="E189" s="71">
        <f t="shared" si="59"/>
        <v>488519.04426802823</v>
      </c>
      <c r="F189" s="75">
        <v>20495.245351279998</v>
      </c>
      <c r="G189" s="76">
        <f t="shared" si="60"/>
        <v>23.83572559854808</v>
      </c>
      <c r="I189" s="77">
        <f t="shared" si="57"/>
        <v>61</v>
      </c>
      <c r="J189" s="73">
        <f t="shared" si="61"/>
        <v>2035</v>
      </c>
      <c r="K189" s="78">
        <f t="shared" si="62"/>
        <v>49553</v>
      </c>
    </row>
    <row r="190" spans="2:11">
      <c r="B190" s="78">
        <f t="shared" si="58"/>
        <v>49583</v>
      </c>
      <c r="C190" s="75">
        <v>170454.45288079977</v>
      </c>
      <c r="D190" s="71">
        <f>IF(F190&lt;&gt;0,VLOOKUP($J190,'Table 1'!$B$13:$C$33,2,FALSE)/12*1000*Study_MW,0)</f>
        <v>248574.24616563448</v>
      </c>
      <c r="E190" s="71">
        <f t="shared" si="59"/>
        <v>419028.69904643425</v>
      </c>
      <c r="F190" s="75">
        <v>17124.671238112001</v>
      </c>
      <c r="G190" s="76">
        <f t="shared" si="60"/>
        <v>24.469298897479579</v>
      </c>
      <c r="I190" s="77">
        <f t="shared" si="57"/>
        <v>62</v>
      </c>
      <c r="J190" s="73">
        <f t="shared" si="61"/>
        <v>2035</v>
      </c>
      <c r="K190" s="78">
        <f t="shared" si="62"/>
        <v>49583</v>
      </c>
    </row>
    <row r="191" spans="2:11">
      <c r="B191" s="78">
        <f t="shared" si="58"/>
        <v>49614</v>
      </c>
      <c r="C191" s="75">
        <v>133471.14679820836</v>
      </c>
      <c r="D191" s="71">
        <f>IF(F191&lt;&gt;0,VLOOKUP($J191,'Table 1'!$B$13:$C$33,2,FALSE)/12*1000*Study_MW,0)</f>
        <v>248574.24616563448</v>
      </c>
      <c r="E191" s="71">
        <f t="shared" si="59"/>
        <v>382045.39296384284</v>
      </c>
      <c r="F191" s="75">
        <v>12102.774846099999</v>
      </c>
      <c r="G191" s="76">
        <f t="shared" si="60"/>
        <v>31.566760335705428</v>
      </c>
      <c r="I191" s="77">
        <f t="shared" si="57"/>
        <v>63</v>
      </c>
      <c r="J191" s="73">
        <f t="shared" si="61"/>
        <v>2035</v>
      </c>
      <c r="K191" s="78">
        <f t="shared" si="62"/>
        <v>49614</v>
      </c>
    </row>
    <row r="192" spans="2:11">
      <c r="B192" s="82">
        <f t="shared" si="58"/>
        <v>49644</v>
      </c>
      <c r="C192" s="79">
        <v>121355.62553289533</v>
      </c>
      <c r="D192" s="80">
        <f>IF(F192&lt;&gt;0,VLOOKUP($J192,'Table 1'!$B$13:$C$33,2,FALSE)/12*1000*Study_MW,0)</f>
        <v>248574.24616563448</v>
      </c>
      <c r="E192" s="80">
        <f t="shared" si="59"/>
        <v>369929.87169852981</v>
      </c>
      <c r="F192" s="79">
        <v>8650.1504937000009</v>
      </c>
      <c r="G192" s="81">
        <f t="shared" si="60"/>
        <v>42.765715113043846</v>
      </c>
      <c r="I192" s="64">
        <f t="shared" si="57"/>
        <v>64</v>
      </c>
      <c r="J192" s="73">
        <f t="shared" si="61"/>
        <v>2035</v>
      </c>
      <c r="K192" s="82">
        <f t="shared" si="62"/>
        <v>49644</v>
      </c>
    </row>
    <row r="193" spans="2:20" hidden="1" outlineLevel="1">
      <c r="B193" s="74">
        <f t="shared" si="58"/>
        <v>49675</v>
      </c>
      <c r="C193" s="69">
        <v>141722.14234182239</v>
      </c>
      <c r="D193" s="70">
        <f>IF(F193&lt;&gt;0,VLOOKUP($J193,'Table 1'!$B$13:$C$33,2,FALSE)/12*1000*Study_MW,0)</f>
        <v>254285.76285577792</v>
      </c>
      <c r="E193" s="70">
        <f t="shared" ref="E193:E228" si="63">C193+D193</f>
        <v>396007.90519760031</v>
      </c>
      <c r="F193" s="69">
        <v>11552.0052485</v>
      </c>
      <c r="G193" s="72">
        <f t="shared" ref="G193:G228" si="64">IF(ISNUMBER($F193),E193/$F193,"")</f>
        <v>34.280447132676031</v>
      </c>
      <c r="I193" s="60">
        <f>I73</f>
        <v>66</v>
      </c>
      <c r="J193" s="73">
        <f t="shared" ref="J193:J228" si="65">YEAR(B193)</f>
        <v>2036</v>
      </c>
      <c r="K193" s="74">
        <f t="shared" ref="K193:K228" si="66">IF(ISNUMBER(F193),IF(F193&lt;&gt;0,B193,""),"")</f>
        <v>49675</v>
      </c>
      <c r="M193" s="41">
        <v>2.3E-2</v>
      </c>
    </row>
    <row r="194" spans="2:20" hidden="1" outlineLevel="1">
      <c r="B194" s="78">
        <f t="shared" si="58"/>
        <v>49706</v>
      </c>
      <c r="C194" s="75">
        <v>103396.44729304314</v>
      </c>
      <c r="D194" s="71">
        <f>IF(F194&lt;&gt;0,VLOOKUP($J194,'Table 1'!$B$13:$C$33,2,FALSE)/12*1000*Study_MW,0)</f>
        <v>254285.76285577792</v>
      </c>
      <c r="E194" s="71">
        <f t="shared" si="63"/>
        <v>357682.21014882106</v>
      </c>
      <c r="F194" s="75">
        <v>11830.890161702</v>
      </c>
      <c r="G194" s="76">
        <f t="shared" si="64"/>
        <v>30.232907689962413</v>
      </c>
      <c r="I194" s="77">
        <f t="shared" si="57"/>
        <v>67</v>
      </c>
      <c r="J194" s="73">
        <f t="shared" si="65"/>
        <v>2036</v>
      </c>
      <c r="K194" s="78">
        <f t="shared" si="66"/>
        <v>49706</v>
      </c>
      <c r="M194" s="41">
        <v>2.3E-2</v>
      </c>
    </row>
    <row r="195" spans="2:20" hidden="1" outlineLevel="1">
      <c r="B195" s="78">
        <f t="shared" si="58"/>
        <v>49735</v>
      </c>
      <c r="C195" s="75">
        <v>159696.22935272753</v>
      </c>
      <c r="D195" s="71">
        <f>IF(F195&lt;&gt;0,VLOOKUP($J195,'Table 1'!$B$13:$C$33,2,FALSE)/12*1000*Study_MW,0)</f>
        <v>254285.76285577792</v>
      </c>
      <c r="E195" s="71">
        <f t="shared" si="63"/>
        <v>413981.99220850546</v>
      </c>
      <c r="F195" s="75">
        <v>15707.63226472</v>
      </c>
      <c r="G195" s="76">
        <f t="shared" si="64"/>
        <v>26.355467535252043</v>
      </c>
      <c r="I195" s="77">
        <f t="shared" si="57"/>
        <v>68</v>
      </c>
      <c r="J195" s="73">
        <f t="shared" si="65"/>
        <v>2036</v>
      </c>
      <c r="K195" s="78">
        <f t="shared" si="66"/>
        <v>49735</v>
      </c>
      <c r="M195" s="41">
        <v>2.3E-2</v>
      </c>
    </row>
    <row r="196" spans="2:20" hidden="1" outlineLevel="1">
      <c r="B196" s="78">
        <f t="shared" si="58"/>
        <v>49766</v>
      </c>
      <c r="C196" s="75">
        <v>111801.70902325213</v>
      </c>
      <c r="D196" s="71">
        <f>IF(F196&lt;&gt;0,VLOOKUP($J196,'Table 1'!$B$13:$C$33,2,FALSE)/12*1000*Study_MW,0)</f>
        <v>254285.76285577792</v>
      </c>
      <c r="E196" s="71">
        <f t="shared" si="63"/>
        <v>366087.47187903005</v>
      </c>
      <c r="F196" s="75">
        <v>18619.494058830001</v>
      </c>
      <c r="G196" s="76">
        <f t="shared" si="64"/>
        <v>19.661515545070294</v>
      </c>
      <c r="I196" s="77">
        <f t="shared" si="57"/>
        <v>69</v>
      </c>
      <c r="J196" s="73">
        <f t="shared" si="65"/>
        <v>2036</v>
      </c>
      <c r="K196" s="78">
        <f t="shared" si="66"/>
        <v>49766</v>
      </c>
      <c r="M196" s="41">
        <v>2.3E-2</v>
      </c>
    </row>
    <row r="197" spans="2:20" hidden="1" outlineLevel="1">
      <c r="B197" s="78">
        <f t="shared" si="58"/>
        <v>49796</v>
      </c>
      <c r="C197" s="75">
        <v>134682.04113475978</v>
      </c>
      <c r="D197" s="71">
        <f>IF(F197&lt;&gt;0,VLOOKUP($J197,'Table 1'!$B$13:$C$33,2,FALSE)/12*1000*Study_MW,0)</f>
        <v>254285.76285577792</v>
      </c>
      <c r="E197" s="71">
        <f t="shared" si="63"/>
        <v>388967.80399053771</v>
      </c>
      <c r="F197" s="75">
        <v>25480.277655009999</v>
      </c>
      <c r="G197" s="76">
        <f t="shared" si="64"/>
        <v>15.26544605427633</v>
      </c>
      <c r="I197" s="77">
        <f t="shared" si="57"/>
        <v>70</v>
      </c>
      <c r="J197" s="73">
        <f t="shared" si="65"/>
        <v>2036</v>
      </c>
      <c r="K197" s="78">
        <f t="shared" si="66"/>
        <v>49796</v>
      </c>
      <c r="M197" s="41">
        <v>2.3E-2</v>
      </c>
    </row>
    <row r="198" spans="2:20" hidden="1" outlineLevel="1">
      <c r="B198" s="78">
        <f t="shared" si="58"/>
        <v>49827</v>
      </c>
      <c r="C198" s="75">
        <v>228421.31681078672</v>
      </c>
      <c r="D198" s="71">
        <f>IF(F198&lt;&gt;0,VLOOKUP($J198,'Table 1'!$B$13:$C$33,2,FALSE)/12*1000*Study_MW,0)</f>
        <v>254285.76285577792</v>
      </c>
      <c r="E198" s="71">
        <f t="shared" si="63"/>
        <v>482707.07966656465</v>
      </c>
      <c r="F198" s="75">
        <v>23344.492532676999</v>
      </c>
      <c r="G198" s="76">
        <f t="shared" si="64"/>
        <v>20.677557200735212</v>
      </c>
      <c r="I198" s="77">
        <f t="shared" ref="I198:I204" si="67">I78</f>
        <v>71</v>
      </c>
      <c r="J198" s="73">
        <f t="shared" si="65"/>
        <v>2036</v>
      </c>
      <c r="K198" s="78">
        <f t="shared" si="66"/>
        <v>49827</v>
      </c>
      <c r="M198" s="41">
        <v>2.3E-2</v>
      </c>
    </row>
    <row r="199" spans="2:20" hidden="1" outlineLevel="1">
      <c r="B199" s="78">
        <f t="shared" si="58"/>
        <v>49857</v>
      </c>
      <c r="C199" s="75">
        <v>427809.30704465508</v>
      </c>
      <c r="D199" s="71">
        <f>IF(F199&lt;&gt;0,VLOOKUP($J199,'Table 1'!$B$13:$C$33,2,FALSE)/12*1000*Study_MW,0)</f>
        <v>254285.76285577792</v>
      </c>
      <c r="E199" s="71">
        <f t="shared" si="63"/>
        <v>682095.06990043307</v>
      </c>
      <c r="F199" s="75">
        <v>23811.820131764998</v>
      </c>
      <c r="G199" s="76">
        <f t="shared" si="64"/>
        <v>28.645230231288256</v>
      </c>
      <c r="I199" s="77">
        <f t="shared" si="67"/>
        <v>72</v>
      </c>
      <c r="J199" s="73">
        <f t="shared" si="65"/>
        <v>2036</v>
      </c>
      <c r="K199" s="78">
        <f t="shared" si="66"/>
        <v>49857</v>
      </c>
      <c r="M199" s="41">
        <v>2.3E-2</v>
      </c>
    </row>
    <row r="200" spans="2:20" hidden="1" outlineLevel="1">
      <c r="B200" s="78">
        <f t="shared" si="58"/>
        <v>49888</v>
      </c>
      <c r="C200" s="75">
        <v>541352.82783207297</v>
      </c>
      <c r="D200" s="71">
        <f>IF(F200&lt;&gt;0,VLOOKUP($J200,'Table 1'!$B$13:$C$33,2,FALSE)/12*1000*Study_MW,0)</f>
        <v>254285.76285577792</v>
      </c>
      <c r="E200" s="71">
        <f t="shared" si="63"/>
        <v>795638.59068785096</v>
      </c>
      <c r="F200" s="75">
        <v>21372.403470825</v>
      </c>
      <c r="G200" s="76">
        <f t="shared" si="64"/>
        <v>37.227380241719644</v>
      </c>
      <c r="I200" s="77">
        <f t="shared" si="67"/>
        <v>73</v>
      </c>
      <c r="J200" s="73">
        <f t="shared" si="65"/>
        <v>2036</v>
      </c>
      <c r="K200" s="78">
        <f t="shared" si="66"/>
        <v>49888</v>
      </c>
      <c r="M200" s="41">
        <v>2.3E-2</v>
      </c>
    </row>
    <row r="201" spans="2:20" hidden="1" outlineLevel="1">
      <c r="B201" s="78">
        <f t="shared" si="58"/>
        <v>49919</v>
      </c>
      <c r="C201" s="75">
        <v>278922.05782714486</v>
      </c>
      <c r="D201" s="71">
        <f>IF(F201&lt;&gt;0,VLOOKUP($J201,'Table 1'!$B$13:$C$33,2,FALSE)/12*1000*Study_MW,0)</f>
        <v>254285.76285577792</v>
      </c>
      <c r="E201" s="71">
        <f t="shared" si="63"/>
        <v>533207.82068292284</v>
      </c>
      <c r="F201" s="75">
        <v>20392.769206879999</v>
      </c>
      <c r="G201" s="76">
        <f t="shared" si="64"/>
        <v>26.146906056438482</v>
      </c>
      <c r="I201" s="77">
        <f t="shared" si="67"/>
        <v>74</v>
      </c>
      <c r="J201" s="73">
        <f t="shared" si="65"/>
        <v>2036</v>
      </c>
      <c r="K201" s="78">
        <f t="shared" si="66"/>
        <v>49919</v>
      </c>
      <c r="M201" s="41">
        <v>2.3E-2</v>
      </c>
    </row>
    <row r="202" spans="2:20" hidden="1" outlineLevel="1">
      <c r="B202" s="78">
        <f t="shared" si="58"/>
        <v>49949</v>
      </c>
      <c r="C202" s="75">
        <v>222041.3840239346</v>
      </c>
      <c r="D202" s="71">
        <f>IF(F202&lt;&gt;0,VLOOKUP($J202,'Table 1'!$B$13:$C$33,2,FALSE)/12*1000*Study_MW,0)</f>
        <v>254285.76285577792</v>
      </c>
      <c r="E202" s="71">
        <f t="shared" si="63"/>
        <v>476327.14687971253</v>
      </c>
      <c r="F202" s="75">
        <v>17039.047428550999</v>
      </c>
      <c r="G202" s="76">
        <f t="shared" si="64"/>
        <v>27.955033805561712</v>
      </c>
      <c r="I202" s="77">
        <f t="shared" si="67"/>
        <v>75</v>
      </c>
      <c r="J202" s="73">
        <f t="shared" si="65"/>
        <v>2036</v>
      </c>
      <c r="K202" s="78">
        <f t="shared" si="66"/>
        <v>49949</v>
      </c>
      <c r="M202" s="41">
        <v>2.3E-2</v>
      </c>
    </row>
    <row r="203" spans="2:20" hidden="1" outlineLevel="1">
      <c r="B203" s="78">
        <f t="shared" si="58"/>
        <v>49980</v>
      </c>
      <c r="C203" s="75">
        <v>199221.59570761025</v>
      </c>
      <c r="D203" s="71">
        <f>IF(F203&lt;&gt;0,VLOOKUP($J203,'Table 1'!$B$13:$C$33,2,FALSE)/12*1000*Study_MW,0)</f>
        <v>254285.76285577792</v>
      </c>
      <c r="E203" s="71">
        <f t="shared" si="63"/>
        <v>453507.35856338817</v>
      </c>
      <c r="F203" s="75">
        <v>12042.260953000001</v>
      </c>
      <c r="G203" s="76">
        <f t="shared" si="64"/>
        <v>37.659652147831025</v>
      </c>
      <c r="I203" s="77">
        <f t="shared" si="67"/>
        <v>76</v>
      </c>
      <c r="J203" s="73">
        <f t="shared" si="65"/>
        <v>2036</v>
      </c>
      <c r="K203" s="78">
        <f t="shared" si="66"/>
        <v>49980</v>
      </c>
      <c r="M203" s="41">
        <v>2.3E-2</v>
      </c>
    </row>
    <row r="204" spans="2:20" hidden="1" outlineLevel="1">
      <c r="B204" s="82">
        <f t="shared" si="58"/>
        <v>50010</v>
      </c>
      <c r="C204" s="79">
        <v>148313.48780915141</v>
      </c>
      <c r="D204" s="80">
        <f>IF(F204&lt;&gt;0,VLOOKUP($J204,'Table 1'!$B$13:$C$33,2,FALSE)/12*1000*Study_MW,0)</f>
        <v>254285.76285577792</v>
      </c>
      <c r="E204" s="80">
        <f t="shared" si="63"/>
        <v>402599.25066492934</v>
      </c>
      <c r="F204" s="79">
        <v>8606.8997724199999</v>
      </c>
      <c r="G204" s="81">
        <f t="shared" si="64"/>
        <v>46.776337741845296</v>
      </c>
      <c r="I204" s="64">
        <f t="shared" si="67"/>
        <v>77</v>
      </c>
      <c r="J204" s="73">
        <f t="shared" si="65"/>
        <v>2036</v>
      </c>
      <c r="K204" s="82">
        <f t="shared" si="66"/>
        <v>50010</v>
      </c>
      <c r="M204" s="41">
        <v>2.3E-2</v>
      </c>
    </row>
    <row r="205" spans="2:20" hidden="1" outlineLevel="1">
      <c r="B205" s="74">
        <f t="shared" si="58"/>
        <v>50041</v>
      </c>
      <c r="C205" s="69">
        <v>208117.45568534732</v>
      </c>
      <c r="D205" s="70">
        <f>IF(F205&lt;&gt;0,VLOOKUP($J205,'Table 1'!$B$13:$C$33,2,FALSE)/12*1000*Study_MW,0)</f>
        <v>260141.09471437836</v>
      </c>
      <c r="E205" s="70">
        <f t="shared" si="63"/>
        <v>468258.55039972567</v>
      </c>
      <c r="F205" s="69">
        <v>11494.245248929999</v>
      </c>
      <c r="G205" s="72">
        <f t="shared" si="64"/>
        <v>40.738520908392481</v>
      </c>
      <c r="I205" s="60">
        <f>I85</f>
        <v>79</v>
      </c>
      <c r="J205" s="73">
        <f t="shared" si="65"/>
        <v>2037</v>
      </c>
      <c r="K205" s="74">
        <f t="shared" si="66"/>
        <v>50041</v>
      </c>
      <c r="M205" s="41">
        <v>2.3E-2</v>
      </c>
      <c r="T205" s="173"/>
    </row>
    <row r="206" spans="2:20" hidden="1" outlineLevel="1">
      <c r="B206" s="78">
        <f t="shared" ref="B206:B228" si="68">EDATE(B205,1)</f>
        <v>50072</v>
      </c>
      <c r="C206" s="75">
        <v>113578.89510551095</v>
      </c>
      <c r="D206" s="71">
        <f>IF(F206&lt;&gt;0,VLOOKUP($J206,'Table 1'!$B$13:$C$33,2,FALSE)/12*1000*Study_MW,0)</f>
        <v>260141.09471437836</v>
      </c>
      <c r="E206" s="71">
        <f t="shared" si="63"/>
        <v>373719.98981988931</v>
      </c>
      <c r="F206" s="75">
        <v>11211.0222466</v>
      </c>
      <c r="G206" s="76">
        <f t="shared" si="64"/>
        <v>33.335050238904707</v>
      </c>
      <c r="I206" s="77">
        <f t="shared" ref="I206:I216" si="69">I86</f>
        <v>80</v>
      </c>
      <c r="J206" s="73">
        <f t="shared" si="65"/>
        <v>2037</v>
      </c>
      <c r="K206" s="78">
        <f t="shared" si="66"/>
        <v>50072</v>
      </c>
      <c r="M206" s="41">
        <v>2.3E-2</v>
      </c>
      <c r="T206" s="173"/>
    </row>
    <row r="207" spans="2:20" hidden="1" outlineLevel="1">
      <c r="B207" s="78">
        <f t="shared" si="68"/>
        <v>50100</v>
      </c>
      <c r="C207" s="75">
        <v>164230.1018640101</v>
      </c>
      <c r="D207" s="71">
        <f>IF(F207&lt;&gt;0,VLOOKUP($J207,'Table 1'!$B$13:$C$33,2,FALSE)/12*1000*Study_MW,0)</f>
        <v>260141.09471437836</v>
      </c>
      <c r="E207" s="71">
        <f t="shared" si="63"/>
        <v>424371.19657838845</v>
      </c>
      <c r="F207" s="75">
        <v>15629.09390206</v>
      </c>
      <c r="G207" s="76">
        <f t="shared" si="64"/>
        <v>27.152642324482677</v>
      </c>
      <c r="I207" s="77">
        <f t="shared" si="69"/>
        <v>81</v>
      </c>
      <c r="J207" s="73">
        <f t="shared" si="65"/>
        <v>2037</v>
      </c>
      <c r="K207" s="78">
        <f t="shared" si="66"/>
        <v>50100</v>
      </c>
      <c r="M207" s="41">
        <v>2.3E-2</v>
      </c>
      <c r="T207" s="173"/>
    </row>
    <row r="208" spans="2:20" hidden="1" outlineLevel="1">
      <c r="B208" s="78">
        <f t="shared" si="68"/>
        <v>50131</v>
      </c>
      <c r="C208" s="75">
        <v>145631.05913184583</v>
      </c>
      <c r="D208" s="71">
        <f>IF(F208&lt;&gt;0,VLOOKUP($J208,'Table 1'!$B$13:$C$33,2,FALSE)/12*1000*Study_MW,0)</f>
        <v>260141.09471437836</v>
      </c>
      <c r="E208" s="71">
        <f t="shared" si="63"/>
        <v>405772.15384622419</v>
      </c>
      <c r="F208" s="75">
        <v>18526.396487059999</v>
      </c>
      <c r="G208" s="76">
        <f t="shared" si="64"/>
        <v>21.902378810128617</v>
      </c>
      <c r="I208" s="77">
        <f t="shared" si="69"/>
        <v>82</v>
      </c>
      <c r="J208" s="73">
        <f t="shared" si="65"/>
        <v>2037</v>
      </c>
      <c r="K208" s="78">
        <f t="shared" si="66"/>
        <v>50131</v>
      </c>
      <c r="M208" s="41">
        <v>2.3E-2</v>
      </c>
      <c r="T208" s="173"/>
    </row>
    <row r="209" spans="2:20" hidden="1" outlineLevel="1">
      <c r="B209" s="78">
        <f t="shared" si="68"/>
        <v>50161</v>
      </c>
      <c r="C209" s="75">
        <v>113335.55435244739</v>
      </c>
      <c r="D209" s="71">
        <f>IF(F209&lt;&gt;0,VLOOKUP($J209,'Table 1'!$B$13:$C$33,2,FALSE)/12*1000*Study_MW,0)</f>
        <v>260141.09471437836</v>
      </c>
      <c r="E209" s="71">
        <f t="shared" si="63"/>
        <v>373476.64906682575</v>
      </c>
      <c r="F209" s="75">
        <v>25352.87580329</v>
      </c>
      <c r="G209" s="76">
        <f t="shared" si="64"/>
        <v>14.731135511591955</v>
      </c>
      <c r="I209" s="77">
        <f t="shared" si="69"/>
        <v>83</v>
      </c>
      <c r="J209" s="73">
        <f t="shared" si="65"/>
        <v>2037</v>
      </c>
      <c r="K209" s="78">
        <f t="shared" si="66"/>
        <v>50161</v>
      </c>
      <c r="M209" s="41">
        <v>2.3E-2</v>
      </c>
      <c r="T209" s="173"/>
    </row>
    <row r="210" spans="2:20" hidden="1" outlineLevel="1">
      <c r="B210" s="78">
        <f t="shared" si="68"/>
        <v>50192</v>
      </c>
      <c r="C210" s="75">
        <v>258886.75240626931</v>
      </c>
      <c r="D210" s="71">
        <f>IF(F210&lt;&gt;0,VLOOKUP($J210,'Table 1'!$B$13:$C$33,2,FALSE)/12*1000*Study_MW,0)</f>
        <v>260141.09471437836</v>
      </c>
      <c r="E210" s="71">
        <f t="shared" si="63"/>
        <v>519027.84712064767</v>
      </c>
      <c r="F210" s="75">
        <v>23227.770021585002</v>
      </c>
      <c r="G210" s="76">
        <f t="shared" si="64"/>
        <v>22.345143190169686</v>
      </c>
      <c r="I210" s="77">
        <f t="shared" si="69"/>
        <v>84</v>
      </c>
      <c r="J210" s="73">
        <f t="shared" si="65"/>
        <v>2037</v>
      </c>
      <c r="K210" s="78">
        <f t="shared" si="66"/>
        <v>50192</v>
      </c>
      <c r="M210" s="41">
        <v>2.3E-2</v>
      </c>
      <c r="T210" s="173"/>
    </row>
    <row r="211" spans="2:20" hidden="1" outlineLevel="1">
      <c r="B211" s="78">
        <f t="shared" si="68"/>
        <v>50222</v>
      </c>
      <c r="C211" s="75">
        <v>426622.01433160901</v>
      </c>
      <c r="D211" s="71">
        <f>IF(F211&lt;&gt;0,VLOOKUP($J211,'Table 1'!$B$13:$C$33,2,FALSE)/12*1000*Study_MW,0)</f>
        <v>260141.09471437836</v>
      </c>
      <c r="E211" s="71">
        <f t="shared" si="63"/>
        <v>686763.10904598737</v>
      </c>
      <c r="F211" s="75">
        <v>23692.760910469999</v>
      </c>
      <c r="G211" s="76">
        <f t="shared" si="64"/>
        <v>28.986200115770462</v>
      </c>
      <c r="I211" s="77">
        <f t="shared" si="69"/>
        <v>85</v>
      </c>
      <c r="J211" s="73">
        <f t="shared" si="65"/>
        <v>2037</v>
      </c>
      <c r="K211" s="78">
        <f t="shared" si="66"/>
        <v>50222</v>
      </c>
      <c r="M211" s="41">
        <v>2.3E-2</v>
      </c>
      <c r="T211" s="173"/>
    </row>
    <row r="212" spans="2:20" hidden="1" outlineLevel="1">
      <c r="B212" s="78">
        <f t="shared" si="68"/>
        <v>50253</v>
      </c>
      <c r="C212" s="75">
        <v>371927.14982822537</v>
      </c>
      <c r="D212" s="71">
        <f>IF(F212&lt;&gt;0,VLOOKUP($J212,'Table 1'!$B$13:$C$33,2,FALSE)/12*1000*Study_MW,0)</f>
        <v>260141.09471437836</v>
      </c>
      <c r="E212" s="71">
        <f t="shared" si="63"/>
        <v>632068.24454260373</v>
      </c>
      <c r="F212" s="75">
        <v>21265.540890658998</v>
      </c>
      <c r="G212" s="76">
        <f t="shared" si="64"/>
        <v>29.722650733057208</v>
      </c>
      <c r="I212" s="77">
        <f t="shared" si="69"/>
        <v>86</v>
      </c>
      <c r="J212" s="73">
        <f t="shared" si="65"/>
        <v>2037</v>
      </c>
      <c r="K212" s="78">
        <f t="shared" si="66"/>
        <v>50253</v>
      </c>
      <c r="M212" s="41">
        <v>2.3E-2</v>
      </c>
      <c r="T212" s="173"/>
    </row>
    <row r="213" spans="2:20" hidden="1" outlineLevel="1">
      <c r="B213" s="78">
        <f t="shared" si="68"/>
        <v>50284</v>
      </c>
      <c r="C213" s="75">
        <v>261569.19533312321</v>
      </c>
      <c r="D213" s="71">
        <f>IF(F213&lt;&gt;0,VLOOKUP($J213,'Table 1'!$B$13:$C$33,2,FALSE)/12*1000*Study_MW,0)</f>
        <v>260141.09471437836</v>
      </c>
      <c r="E213" s="71">
        <f t="shared" si="63"/>
        <v>521710.29004750156</v>
      </c>
      <c r="F213" s="75">
        <v>20290.805376299999</v>
      </c>
      <c r="G213" s="76">
        <f t="shared" si="64"/>
        <v>25.711660053517043</v>
      </c>
      <c r="I213" s="77">
        <f t="shared" si="69"/>
        <v>87</v>
      </c>
      <c r="J213" s="73">
        <f t="shared" si="65"/>
        <v>2037</v>
      </c>
      <c r="K213" s="78">
        <f t="shared" si="66"/>
        <v>50284</v>
      </c>
      <c r="M213" s="41">
        <v>2.3E-2</v>
      </c>
      <c r="T213" s="173"/>
    </row>
    <row r="214" spans="2:20" hidden="1" outlineLevel="1">
      <c r="B214" s="78">
        <f t="shared" si="68"/>
        <v>50314</v>
      </c>
      <c r="C214" s="75">
        <v>282196.48386868834</v>
      </c>
      <c r="D214" s="71">
        <f>IF(F214&lt;&gt;0,VLOOKUP($J214,'Table 1'!$B$13:$C$33,2,FALSE)/12*1000*Study_MW,0)</f>
        <v>260141.09471437836</v>
      </c>
      <c r="E214" s="71">
        <f t="shared" si="63"/>
        <v>542337.5785830667</v>
      </c>
      <c r="F214" s="75">
        <v>16953.852152259999</v>
      </c>
      <c r="G214" s="76">
        <f t="shared" si="64"/>
        <v>31.98904730986294</v>
      </c>
      <c r="I214" s="77">
        <f t="shared" si="69"/>
        <v>88</v>
      </c>
      <c r="J214" s="73">
        <f t="shared" si="65"/>
        <v>2037</v>
      </c>
      <c r="K214" s="78">
        <f t="shared" si="66"/>
        <v>50314</v>
      </c>
      <c r="M214" s="41">
        <v>2.3E-2</v>
      </c>
      <c r="T214" s="173"/>
    </row>
    <row r="215" spans="2:20" hidden="1" outlineLevel="1">
      <c r="B215" s="78">
        <f t="shared" si="68"/>
        <v>50345</v>
      </c>
      <c r="C215" s="75">
        <v>172617.65029911697</v>
      </c>
      <c r="D215" s="71">
        <f>IF(F215&lt;&gt;0,VLOOKUP($J215,'Table 1'!$B$13:$C$33,2,FALSE)/12*1000*Study_MW,0)</f>
        <v>260141.09471437836</v>
      </c>
      <c r="E215" s="71">
        <f t="shared" si="63"/>
        <v>432758.74501349533</v>
      </c>
      <c r="F215" s="75">
        <v>11982.049696100001</v>
      </c>
      <c r="G215" s="76">
        <f t="shared" si="64"/>
        <v>36.117255059821076</v>
      </c>
      <c r="I215" s="77">
        <f t="shared" si="69"/>
        <v>89</v>
      </c>
      <c r="J215" s="73">
        <f t="shared" si="65"/>
        <v>2037</v>
      </c>
      <c r="K215" s="78">
        <f t="shared" si="66"/>
        <v>50345</v>
      </c>
      <c r="M215" s="41">
        <v>2.3E-2</v>
      </c>
      <c r="T215" s="173"/>
    </row>
    <row r="216" spans="2:20" hidden="1" outlineLevel="1">
      <c r="B216" s="82">
        <f t="shared" si="68"/>
        <v>50375</v>
      </c>
      <c r="C216" s="79">
        <v>162083.59382434189</v>
      </c>
      <c r="D216" s="80">
        <f>IF(F216&lt;&gt;0,VLOOKUP($J216,'Table 1'!$B$13:$C$33,2,FALSE)/12*1000*Study_MW,0)</f>
        <v>260141.09471437836</v>
      </c>
      <c r="E216" s="80">
        <f t="shared" si="63"/>
        <v>422224.68853872025</v>
      </c>
      <c r="F216" s="79">
        <v>8563.8652729500009</v>
      </c>
      <c r="G216" s="81">
        <f t="shared" si="64"/>
        <v>49.303051260319066</v>
      </c>
      <c r="I216" s="64">
        <f t="shared" si="69"/>
        <v>90</v>
      </c>
      <c r="J216" s="73">
        <f t="shared" si="65"/>
        <v>2037</v>
      </c>
      <c r="K216" s="82">
        <f t="shared" si="66"/>
        <v>50375</v>
      </c>
      <c r="M216" s="41">
        <v>2.3E-2</v>
      </c>
      <c r="T216" s="173"/>
    </row>
    <row r="217" spans="2:20" hidden="1" outlineLevel="1">
      <c r="B217" s="74">
        <f t="shared" si="68"/>
        <v>50406</v>
      </c>
      <c r="C217" s="69">
        <v>169806.41408498585</v>
      </c>
      <c r="D217" s="70">
        <f>IF(F217&lt;&gt;0,VLOOKUP($J217,'Table 1'!$B$13:$C$33,2,FALSE)/12*1000*Study_MW,0)</f>
        <v>266140.24174143566</v>
      </c>
      <c r="E217" s="70">
        <f t="shared" si="63"/>
        <v>435946.65582642151</v>
      </c>
      <c r="F217" s="69">
        <v>11436.77399725</v>
      </c>
      <c r="G217" s="72">
        <f t="shared" si="64"/>
        <v>38.117974170972161</v>
      </c>
      <c r="I217" s="60">
        <f>I97</f>
        <v>92</v>
      </c>
      <c r="J217" s="73">
        <f t="shared" si="65"/>
        <v>2038</v>
      </c>
      <c r="K217" s="74">
        <f t="shared" si="66"/>
        <v>50406</v>
      </c>
      <c r="M217" s="41">
        <v>2.3E-2</v>
      </c>
      <c r="T217" s="173"/>
    </row>
    <row r="218" spans="2:20" hidden="1" outlineLevel="1">
      <c r="B218" s="78">
        <f t="shared" si="68"/>
        <v>50437</v>
      </c>
      <c r="C218" s="75">
        <v>90372.466985791922</v>
      </c>
      <c r="D218" s="71">
        <f>IF(F218&lt;&gt;0,VLOOKUP($J218,'Table 1'!$B$13:$C$33,2,FALSE)/12*1000*Study_MW,0)</f>
        <v>266140.24174143566</v>
      </c>
      <c r="E218" s="71">
        <f t="shared" si="63"/>
        <v>356512.70872722758</v>
      </c>
      <c r="F218" s="75">
        <v>11154.96714656</v>
      </c>
      <c r="G218" s="76">
        <f t="shared" si="64"/>
        <v>31.959996299690577</v>
      </c>
      <c r="I218" s="77">
        <f t="shared" ref="I218:I228" si="70">I98</f>
        <v>93</v>
      </c>
      <c r="J218" s="73">
        <f t="shared" si="65"/>
        <v>2038</v>
      </c>
      <c r="K218" s="78">
        <f t="shared" si="66"/>
        <v>50437</v>
      </c>
      <c r="M218" s="41">
        <v>2.3E-2</v>
      </c>
      <c r="T218" s="173"/>
    </row>
    <row r="219" spans="2:20" hidden="1" outlineLevel="1">
      <c r="B219" s="78">
        <f t="shared" si="68"/>
        <v>50465</v>
      </c>
      <c r="C219" s="75">
        <v>142628.4654699564</v>
      </c>
      <c r="D219" s="71">
        <f>IF(F219&lt;&gt;0,VLOOKUP($J219,'Table 1'!$B$13:$C$33,2,FALSE)/12*1000*Study_MW,0)</f>
        <v>266140.24174143566</v>
      </c>
      <c r="E219" s="71">
        <f t="shared" si="63"/>
        <v>408768.70721139206</v>
      </c>
      <c r="F219" s="75">
        <v>15550.94843427</v>
      </c>
      <c r="G219" s="76">
        <f t="shared" si="64"/>
        <v>26.285773432993874</v>
      </c>
      <c r="I219" s="77">
        <f t="shared" si="70"/>
        <v>94</v>
      </c>
      <c r="J219" s="73">
        <f t="shared" si="65"/>
        <v>2038</v>
      </c>
      <c r="K219" s="78">
        <f t="shared" si="66"/>
        <v>50465</v>
      </c>
      <c r="M219" s="41">
        <v>2.3E-2</v>
      </c>
      <c r="T219" s="173"/>
    </row>
    <row r="220" spans="2:20" hidden="1" outlineLevel="1">
      <c r="B220" s="78">
        <f t="shared" si="68"/>
        <v>50496</v>
      </c>
      <c r="C220" s="75">
        <v>112300.13504675031</v>
      </c>
      <c r="D220" s="71">
        <f>IF(F220&lt;&gt;0,VLOOKUP($J220,'Table 1'!$B$13:$C$33,2,FALSE)/12*1000*Study_MW,0)</f>
        <v>266140.24174143566</v>
      </c>
      <c r="E220" s="71">
        <f t="shared" si="63"/>
        <v>378440.37678818597</v>
      </c>
      <c r="F220" s="75">
        <v>18433.764409776999</v>
      </c>
      <c r="G220" s="76">
        <f t="shared" si="64"/>
        <v>20.529739253229618</v>
      </c>
      <c r="I220" s="77">
        <f t="shared" si="70"/>
        <v>95</v>
      </c>
      <c r="J220" s="73">
        <f t="shared" si="65"/>
        <v>2038</v>
      </c>
      <c r="K220" s="78">
        <f t="shared" si="66"/>
        <v>50496</v>
      </c>
      <c r="M220" s="41">
        <v>2.3E-2</v>
      </c>
      <c r="T220" s="173"/>
    </row>
    <row r="221" spans="2:20" hidden="1" outlineLevel="1">
      <c r="B221" s="78">
        <f t="shared" si="68"/>
        <v>50526</v>
      </c>
      <c r="C221" s="75">
        <v>97295.160738781095</v>
      </c>
      <c r="D221" s="71">
        <f>IF(F221&lt;&gt;0,VLOOKUP($J221,'Table 1'!$B$13:$C$33,2,FALSE)/12*1000*Study_MW,0)</f>
        <v>266140.24174143566</v>
      </c>
      <c r="E221" s="71">
        <f t="shared" si="63"/>
        <v>363435.40248021676</v>
      </c>
      <c r="F221" s="75">
        <v>25226.11175118</v>
      </c>
      <c r="G221" s="76">
        <f t="shared" si="64"/>
        <v>14.407111411579962</v>
      </c>
      <c r="I221" s="77">
        <f t="shared" si="70"/>
        <v>96</v>
      </c>
      <c r="J221" s="73">
        <f t="shared" si="65"/>
        <v>2038</v>
      </c>
      <c r="K221" s="78">
        <f t="shared" si="66"/>
        <v>50526</v>
      </c>
      <c r="M221" s="41">
        <v>2.3E-2</v>
      </c>
      <c r="T221" s="173"/>
    </row>
    <row r="222" spans="2:20" hidden="1" outlineLevel="1">
      <c r="B222" s="78">
        <f t="shared" si="68"/>
        <v>50557</v>
      </c>
      <c r="C222" s="75">
        <v>231691.52312353253</v>
      </c>
      <c r="D222" s="71">
        <f>IF(F222&lt;&gt;0,VLOOKUP($J222,'Table 1'!$B$13:$C$33,2,FALSE)/12*1000*Study_MW,0)</f>
        <v>266140.24174143566</v>
      </c>
      <c r="E222" s="71">
        <f t="shared" si="63"/>
        <v>497831.76486496819</v>
      </c>
      <c r="F222" s="75">
        <v>23111.631196536</v>
      </c>
      <c r="G222" s="76">
        <f t="shared" si="64"/>
        <v>21.54031278153936</v>
      </c>
      <c r="I222" s="77">
        <f t="shared" si="70"/>
        <v>97</v>
      </c>
      <c r="J222" s="73">
        <f t="shared" si="65"/>
        <v>2038</v>
      </c>
      <c r="K222" s="78">
        <f t="shared" si="66"/>
        <v>50557</v>
      </c>
      <c r="M222" s="41">
        <v>2.3E-2</v>
      </c>
      <c r="T222" s="173"/>
    </row>
    <row r="223" spans="2:20" hidden="1" outlineLevel="1">
      <c r="B223" s="78">
        <f t="shared" si="68"/>
        <v>50587</v>
      </c>
      <c r="C223" s="75">
        <v>25379.97169020772</v>
      </c>
      <c r="D223" s="71">
        <f>IF(F223&lt;&gt;0,VLOOKUP($J223,'Table 1'!$B$13:$C$33,2,FALSE)/12*1000*Study_MW,0)</f>
        <v>266140.24174143566</v>
      </c>
      <c r="E223" s="71">
        <f t="shared" si="63"/>
        <v>291520.21343164338</v>
      </c>
      <c r="F223" s="75">
        <v>23574.297250399999</v>
      </c>
      <c r="G223" s="76">
        <f t="shared" si="64"/>
        <v>12.366019242702855</v>
      </c>
      <c r="I223" s="77">
        <f t="shared" si="70"/>
        <v>98</v>
      </c>
      <c r="J223" s="73">
        <f t="shared" si="65"/>
        <v>2038</v>
      </c>
      <c r="K223" s="78">
        <f t="shared" si="66"/>
        <v>50587</v>
      </c>
      <c r="M223" s="41">
        <v>2.3E-2</v>
      </c>
      <c r="T223" s="173"/>
    </row>
    <row r="224" spans="2:20" hidden="1" outlineLevel="1">
      <c r="B224" s="78">
        <f t="shared" si="68"/>
        <v>50618</v>
      </c>
      <c r="C224" s="75">
        <v>-139351.71164822578</v>
      </c>
      <c r="D224" s="71">
        <f>IF(F224&lt;&gt;0,VLOOKUP($J224,'Table 1'!$B$13:$C$33,2,FALSE)/12*1000*Study_MW,0)</f>
        <v>266140.24174143566</v>
      </c>
      <c r="E224" s="71">
        <f t="shared" si="63"/>
        <v>126788.53009320988</v>
      </c>
      <c r="F224" s="75">
        <v>21159.213388348999</v>
      </c>
      <c r="G224" s="76">
        <f t="shared" si="64"/>
        <v>5.9921192610602461</v>
      </c>
      <c r="I224" s="77">
        <f t="shared" si="70"/>
        <v>99</v>
      </c>
      <c r="J224" s="73">
        <f t="shared" si="65"/>
        <v>2038</v>
      </c>
      <c r="K224" s="78">
        <f t="shared" si="66"/>
        <v>50618</v>
      </c>
      <c r="M224" s="41">
        <v>2.3E-2</v>
      </c>
      <c r="T224" s="173"/>
    </row>
    <row r="225" spans="2:20" hidden="1" outlineLevel="1">
      <c r="B225" s="78">
        <f t="shared" si="68"/>
        <v>50649</v>
      </c>
      <c r="C225" s="75">
        <v>199675.15363588929</v>
      </c>
      <c r="D225" s="71">
        <f>IF(F225&lt;&gt;0,VLOOKUP($J225,'Table 1'!$B$13:$C$33,2,FALSE)/12*1000*Study_MW,0)</f>
        <v>266140.24174143566</v>
      </c>
      <c r="E225" s="71">
        <f t="shared" si="63"/>
        <v>465815.39537732495</v>
      </c>
      <c r="F225" s="75">
        <v>20189.351231649998</v>
      </c>
      <c r="G225" s="76">
        <f t="shared" si="64"/>
        <v>23.072331053762923</v>
      </c>
      <c r="I225" s="77">
        <f t="shared" si="70"/>
        <v>100</v>
      </c>
      <c r="J225" s="73">
        <f t="shared" si="65"/>
        <v>2038</v>
      </c>
      <c r="K225" s="78">
        <f t="shared" si="66"/>
        <v>50649</v>
      </c>
      <c r="M225" s="41">
        <v>2.3E-2</v>
      </c>
      <c r="T225" s="173"/>
    </row>
    <row r="226" spans="2:20" hidden="1" outlineLevel="1">
      <c r="B226" s="78">
        <f t="shared" si="68"/>
        <v>50679</v>
      </c>
      <c r="C226" s="75">
        <v>247544.40328848362</v>
      </c>
      <c r="D226" s="71">
        <f>IF(F226&lt;&gt;0,VLOOKUP($J226,'Table 1'!$B$13:$C$33,2,FALSE)/12*1000*Study_MW,0)</f>
        <v>266140.24174143566</v>
      </c>
      <c r="E226" s="71">
        <f t="shared" si="63"/>
        <v>513684.64502991928</v>
      </c>
      <c r="F226" s="75">
        <v>16869.082996153</v>
      </c>
      <c r="G226" s="76">
        <f t="shared" si="64"/>
        <v>30.451248899958891</v>
      </c>
      <c r="I226" s="77">
        <f t="shared" si="70"/>
        <v>101</v>
      </c>
      <c r="J226" s="73">
        <f t="shared" si="65"/>
        <v>2038</v>
      </c>
      <c r="K226" s="78">
        <f t="shared" si="66"/>
        <v>50679</v>
      </c>
      <c r="M226" s="41">
        <v>2.3E-2</v>
      </c>
      <c r="T226" s="173"/>
    </row>
    <row r="227" spans="2:20" hidden="1" outlineLevel="1">
      <c r="B227" s="78">
        <f t="shared" si="68"/>
        <v>50710</v>
      </c>
      <c r="C227" s="75">
        <v>192754.91385272145</v>
      </c>
      <c r="D227" s="71">
        <f>IF(F227&lt;&gt;0,VLOOKUP($J227,'Table 1'!$B$13:$C$33,2,FALSE)/12*1000*Study_MW,0)</f>
        <v>266140.24174143566</v>
      </c>
      <c r="E227" s="71">
        <f t="shared" si="63"/>
        <v>458895.15559415711</v>
      </c>
      <c r="F227" s="75">
        <v>11922.139385099999</v>
      </c>
      <c r="G227" s="76">
        <f t="shared" si="64"/>
        <v>38.491007425032556</v>
      </c>
      <c r="I227" s="77">
        <f t="shared" si="70"/>
        <v>102</v>
      </c>
      <c r="J227" s="73">
        <f t="shared" si="65"/>
        <v>2038</v>
      </c>
      <c r="K227" s="78">
        <f t="shared" si="66"/>
        <v>50710</v>
      </c>
      <c r="M227" s="41">
        <v>2.3E-2</v>
      </c>
      <c r="T227" s="173"/>
    </row>
    <row r="228" spans="2:20" hidden="1" outlineLevel="1">
      <c r="B228" s="82">
        <f t="shared" si="68"/>
        <v>50740</v>
      </c>
      <c r="C228" s="79">
        <v>187314.36706423759</v>
      </c>
      <c r="D228" s="80">
        <f>IF(F228&lt;&gt;0,VLOOKUP($J228,'Table 1'!$B$13:$C$33,2,FALSE)/12*1000*Study_MW,0)</f>
        <v>266140.24174143566</v>
      </c>
      <c r="E228" s="80">
        <f t="shared" si="63"/>
        <v>453454.60880567326</v>
      </c>
      <c r="F228" s="79">
        <v>8521.0459399600004</v>
      </c>
      <c r="G228" s="81">
        <f t="shared" si="64"/>
        <v>53.215838994502811</v>
      </c>
      <c r="I228" s="64">
        <f t="shared" si="70"/>
        <v>103</v>
      </c>
      <c r="J228" s="73">
        <f t="shared" si="65"/>
        <v>2038</v>
      </c>
      <c r="K228" s="82">
        <f t="shared" si="66"/>
        <v>50740</v>
      </c>
      <c r="M228" s="41">
        <v>2.3E-2</v>
      </c>
      <c r="T228" s="173"/>
    </row>
    <row r="229" spans="2:20" hidden="1" outlineLevel="1">
      <c r="B229" s="74"/>
      <c r="C229" s="382"/>
      <c r="D229" s="383"/>
      <c r="E229" s="383"/>
      <c r="F229" s="382"/>
      <c r="G229" s="384"/>
      <c r="I229" s="60"/>
      <c r="J229" s="73"/>
      <c r="K229" s="74"/>
      <c r="M229" s="41"/>
      <c r="T229" s="173"/>
    </row>
    <row r="230" spans="2:20" hidden="1" outlineLevel="1">
      <c r="B230" s="78"/>
      <c r="C230" s="385"/>
      <c r="D230" s="386"/>
      <c r="E230" s="386"/>
      <c r="F230" s="385"/>
      <c r="G230" s="387"/>
      <c r="I230" s="77"/>
      <c r="J230" s="73"/>
      <c r="K230" s="78"/>
      <c r="M230" s="41"/>
      <c r="T230" s="173"/>
    </row>
    <row r="231" spans="2:20" hidden="1" outlineLevel="1">
      <c r="B231" s="78"/>
      <c r="C231" s="385"/>
      <c r="D231" s="386"/>
      <c r="E231" s="386"/>
      <c r="F231" s="385"/>
      <c r="G231" s="387"/>
      <c r="I231" s="77"/>
      <c r="J231" s="73"/>
      <c r="K231" s="78"/>
      <c r="M231" s="41"/>
      <c r="T231" s="173"/>
    </row>
    <row r="232" spans="2:20" hidden="1" outlineLevel="1">
      <c r="B232" s="78"/>
      <c r="C232" s="385"/>
      <c r="D232" s="386"/>
      <c r="E232" s="386"/>
      <c r="F232" s="385"/>
      <c r="G232" s="387"/>
      <c r="I232" s="77"/>
      <c r="J232" s="73"/>
      <c r="K232" s="78"/>
      <c r="M232" s="41"/>
      <c r="T232" s="173"/>
    </row>
    <row r="233" spans="2:20" hidden="1" outlineLevel="1">
      <c r="B233" s="78"/>
      <c r="C233" s="385"/>
      <c r="D233" s="386"/>
      <c r="E233" s="386"/>
      <c r="F233" s="385"/>
      <c r="G233" s="387"/>
      <c r="I233" s="77"/>
      <c r="J233" s="73"/>
      <c r="K233" s="78"/>
      <c r="M233" s="41"/>
      <c r="T233" s="173"/>
    </row>
    <row r="234" spans="2:20" hidden="1" outlineLevel="1">
      <c r="B234" s="78"/>
      <c r="C234" s="385"/>
      <c r="D234" s="386"/>
      <c r="E234" s="386"/>
      <c r="F234" s="385"/>
      <c r="G234" s="387"/>
      <c r="I234" s="77"/>
      <c r="J234" s="73"/>
      <c r="K234" s="78"/>
      <c r="M234" s="41"/>
      <c r="T234" s="173"/>
    </row>
    <row r="235" spans="2:20" hidden="1" outlineLevel="1">
      <c r="B235" s="78"/>
      <c r="C235" s="385"/>
      <c r="D235" s="386"/>
      <c r="E235" s="386"/>
      <c r="F235" s="385"/>
      <c r="G235" s="387"/>
      <c r="I235" s="77"/>
      <c r="J235" s="73"/>
      <c r="K235" s="78"/>
      <c r="M235" s="41"/>
      <c r="T235" s="173"/>
    </row>
    <row r="236" spans="2:20" hidden="1" outlineLevel="1">
      <c r="B236" s="78"/>
      <c r="C236" s="385"/>
      <c r="D236" s="386"/>
      <c r="E236" s="386"/>
      <c r="F236" s="385"/>
      <c r="G236" s="387"/>
      <c r="I236" s="77"/>
      <c r="J236" s="73"/>
      <c r="K236" s="78"/>
      <c r="M236" s="41"/>
      <c r="T236" s="173"/>
    </row>
    <row r="237" spans="2:20" hidden="1" outlineLevel="1">
      <c r="B237" s="78"/>
      <c r="C237" s="385"/>
      <c r="D237" s="386"/>
      <c r="E237" s="386"/>
      <c r="F237" s="385"/>
      <c r="G237" s="387"/>
      <c r="I237" s="77"/>
      <c r="J237" s="73"/>
      <c r="K237" s="78"/>
      <c r="M237" s="41"/>
      <c r="T237" s="173"/>
    </row>
    <row r="238" spans="2:20" hidden="1" outlineLevel="1">
      <c r="B238" s="78"/>
      <c r="C238" s="385"/>
      <c r="D238" s="386"/>
      <c r="E238" s="386"/>
      <c r="F238" s="385"/>
      <c r="G238" s="387"/>
      <c r="I238" s="77"/>
      <c r="J238" s="73"/>
      <c r="K238" s="78"/>
      <c r="M238" s="41"/>
      <c r="T238" s="173"/>
    </row>
    <row r="239" spans="2:20" hidden="1" outlineLevel="1">
      <c r="B239" s="78"/>
      <c r="C239" s="385"/>
      <c r="D239" s="386"/>
      <c r="E239" s="386"/>
      <c r="F239" s="385"/>
      <c r="G239" s="387"/>
      <c r="I239" s="77"/>
      <c r="J239" s="73"/>
      <c r="K239" s="78"/>
      <c r="M239" s="41"/>
      <c r="T239" s="173"/>
    </row>
    <row r="240" spans="2:20" hidden="1" outlineLevel="1">
      <c r="B240" s="82"/>
      <c r="C240" s="388"/>
      <c r="D240" s="389"/>
      <c r="E240" s="389"/>
      <c r="F240" s="388"/>
      <c r="G240" s="390"/>
      <c r="I240" s="64"/>
      <c r="J240" s="73"/>
      <c r="K240" s="82"/>
      <c r="M240" s="41"/>
      <c r="T240" s="173"/>
    </row>
    <row r="241" spans="2:20" hidden="1" outlineLevel="1">
      <c r="B241" s="189"/>
      <c r="C241" s="382"/>
      <c r="D241" s="383"/>
      <c r="E241" s="383"/>
      <c r="F241" s="382"/>
      <c r="G241" s="384"/>
      <c r="I241" s="60"/>
      <c r="J241" s="73"/>
      <c r="K241" s="74"/>
      <c r="M241" s="41"/>
      <c r="T241" s="173"/>
    </row>
    <row r="242" spans="2:20" hidden="1" outlineLevel="1">
      <c r="B242" s="190"/>
      <c r="C242" s="385"/>
      <c r="D242" s="386"/>
      <c r="E242" s="386"/>
      <c r="F242" s="385"/>
      <c r="G242" s="387"/>
      <c r="I242" s="77"/>
      <c r="J242" s="73"/>
      <c r="K242" s="78"/>
      <c r="M242" s="41"/>
      <c r="T242" s="173"/>
    </row>
    <row r="243" spans="2:20" hidden="1" outlineLevel="1">
      <c r="B243" s="190"/>
      <c r="C243" s="385"/>
      <c r="D243" s="386"/>
      <c r="E243" s="386"/>
      <c r="F243" s="385"/>
      <c r="G243" s="387"/>
      <c r="I243" s="77"/>
      <c r="J243" s="73"/>
      <c r="K243" s="78"/>
      <c r="M243" s="41"/>
      <c r="T243" s="173"/>
    </row>
    <row r="244" spans="2:20" hidden="1" outlineLevel="1">
      <c r="B244" s="190"/>
      <c r="C244" s="385"/>
      <c r="D244" s="386"/>
      <c r="E244" s="386"/>
      <c r="F244" s="385"/>
      <c r="G244" s="387"/>
      <c r="I244" s="77"/>
      <c r="J244" s="73"/>
      <c r="K244" s="78"/>
      <c r="M244" s="41"/>
      <c r="T244" s="173"/>
    </row>
    <row r="245" spans="2:20" hidden="1" outlineLevel="1">
      <c r="B245" s="190"/>
      <c r="C245" s="385"/>
      <c r="D245" s="386"/>
      <c r="E245" s="386"/>
      <c r="F245" s="385"/>
      <c r="G245" s="387"/>
      <c r="I245" s="77"/>
      <c r="J245" s="73"/>
      <c r="K245" s="78"/>
      <c r="M245" s="41"/>
      <c r="T245" s="173"/>
    </row>
    <row r="246" spans="2:20" hidden="1" outlineLevel="1">
      <c r="B246" s="190"/>
      <c r="C246" s="385"/>
      <c r="D246" s="386"/>
      <c r="E246" s="386"/>
      <c r="F246" s="385"/>
      <c r="G246" s="387"/>
      <c r="I246" s="77"/>
      <c r="J246" s="73"/>
      <c r="K246" s="78"/>
      <c r="M246" s="41"/>
      <c r="T246" s="173"/>
    </row>
    <row r="247" spans="2:20" hidden="1" outlineLevel="1">
      <c r="B247" s="190"/>
      <c r="C247" s="385"/>
      <c r="D247" s="386"/>
      <c r="E247" s="386"/>
      <c r="F247" s="385"/>
      <c r="G247" s="387"/>
      <c r="I247" s="77"/>
      <c r="J247" s="73"/>
      <c r="K247" s="78"/>
      <c r="M247" s="41"/>
      <c r="T247" s="173"/>
    </row>
    <row r="248" spans="2:20" hidden="1" outlineLevel="1">
      <c r="B248" s="190"/>
      <c r="C248" s="385"/>
      <c r="D248" s="386"/>
      <c r="E248" s="386"/>
      <c r="F248" s="385"/>
      <c r="G248" s="387"/>
      <c r="I248" s="77"/>
      <c r="J248" s="73"/>
      <c r="K248" s="78"/>
      <c r="M248" s="41"/>
      <c r="T248" s="173"/>
    </row>
    <row r="249" spans="2:20" hidden="1" outlineLevel="1">
      <c r="B249" s="190"/>
      <c r="C249" s="385"/>
      <c r="D249" s="386"/>
      <c r="E249" s="386"/>
      <c r="F249" s="385"/>
      <c r="G249" s="387"/>
      <c r="I249" s="77"/>
      <c r="J249" s="73"/>
      <c r="K249" s="78"/>
      <c r="M249" s="41"/>
      <c r="T249" s="173"/>
    </row>
    <row r="250" spans="2:20" hidden="1" outlineLevel="1">
      <c r="B250" s="190"/>
      <c r="C250" s="385"/>
      <c r="D250" s="386"/>
      <c r="E250" s="386"/>
      <c r="F250" s="385"/>
      <c r="G250" s="387"/>
      <c r="I250" s="77"/>
      <c r="J250" s="73"/>
      <c r="K250" s="78"/>
      <c r="M250" s="41"/>
      <c r="T250" s="173"/>
    </row>
    <row r="251" spans="2:20" hidden="1" outlineLevel="1">
      <c r="B251" s="190"/>
      <c r="C251" s="385"/>
      <c r="D251" s="386"/>
      <c r="E251" s="386"/>
      <c r="F251" s="385"/>
      <c r="G251" s="387"/>
      <c r="I251" s="77"/>
      <c r="J251" s="73"/>
      <c r="K251" s="78"/>
      <c r="M251" s="41"/>
      <c r="O251" s="173"/>
      <c r="P251" s="173"/>
      <c r="T251" s="173"/>
    </row>
    <row r="252" spans="2:20" hidden="1" outlineLevel="1" collapsed="1">
      <c r="B252" s="191"/>
      <c r="C252" s="388"/>
      <c r="D252" s="389"/>
      <c r="E252" s="389"/>
      <c r="F252" s="388"/>
      <c r="G252" s="390"/>
      <c r="I252" s="64"/>
      <c r="J252" s="73"/>
      <c r="K252" s="82"/>
      <c r="M252" s="41"/>
      <c r="O252" s="173"/>
      <c r="P252" s="173"/>
      <c r="T252" s="173"/>
    </row>
    <row r="253" spans="2:20" hidden="1" outlineLevel="1">
      <c r="B253" s="189"/>
      <c r="C253" s="382"/>
      <c r="D253" s="383"/>
      <c r="E253" s="383"/>
      <c r="F253" s="382"/>
      <c r="G253" s="384"/>
      <c r="I253" s="60"/>
      <c r="J253" s="73"/>
      <c r="K253" s="74"/>
      <c r="M253" s="41"/>
      <c r="O253" s="173"/>
      <c r="P253" s="173"/>
      <c r="T253" s="173"/>
    </row>
    <row r="254" spans="2:20" hidden="1" outlineLevel="1">
      <c r="B254" s="190"/>
      <c r="C254" s="385"/>
      <c r="D254" s="386"/>
      <c r="E254" s="386"/>
      <c r="F254" s="385"/>
      <c r="G254" s="387"/>
      <c r="I254" s="77"/>
      <c r="J254" s="73"/>
      <c r="K254" s="78"/>
      <c r="M254" s="41"/>
      <c r="O254" s="173"/>
      <c r="P254" s="173"/>
      <c r="T254" s="173"/>
    </row>
    <row r="255" spans="2:20" hidden="1" outlineLevel="1">
      <c r="B255" s="190"/>
      <c r="C255" s="385"/>
      <c r="D255" s="386"/>
      <c r="E255" s="386"/>
      <c r="F255" s="385"/>
      <c r="G255" s="387"/>
      <c r="I255" s="77"/>
      <c r="J255" s="73"/>
      <c r="K255" s="78"/>
      <c r="M255" s="41"/>
      <c r="O255" s="173"/>
      <c r="P255" s="173"/>
      <c r="T255" s="173"/>
    </row>
    <row r="256" spans="2:20" hidden="1" outlineLevel="1">
      <c r="B256" s="190"/>
      <c r="C256" s="385"/>
      <c r="D256" s="386"/>
      <c r="E256" s="386"/>
      <c r="F256" s="385"/>
      <c r="G256" s="387"/>
      <c r="I256" s="77"/>
      <c r="J256" s="73"/>
      <c r="K256" s="78"/>
      <c r="M256" s="41"/>
      <c r="O256" s="173"/>
      <c r="P256" s="173"/>
      <c r="T256" s="173"/>
    </row>
    <row r="257" spans="2:20" hidden="1" outlineLevel="1">
      <c r="B257" s="190"/>
      <c r="C257" s="385"/>
      <c r="D257" s="386"/>
      <c r="E257" s="386"/>
      <c r="F257" s="385"/>
      <c r="G257" s="387"/>
      <c r="I257" s="77"/>
      <c r="J257" s="73"/>
      <c r="K257" s="78"/>
      <c r="M257" s="41"/>
      <c r="O257" s="173"/>
      <c r="P257" s="173"/>
      <c r="T257" s="173"/>
    </row>
    <row r="258" spans="2:20" hidden="1" outlineLevel="1">
      <c r="B258" s="190"/>
      <c r="C258" s="385"/>
      <c r="D258" s="386"/>
      <c r="E258" s="386"/>
      <c r="F258" s="385"/>
      <c r="G258" s="387"/>
      <c r="I258" s="77"/>
      <c r="J258" s="73"/>
      <c r="K258" s="78"/>
      <c r="M258" s="41"/>
      <c r="O258" s="173"/>
      <c r="P258" s="173"/>
      <c r="T258" s="173"/>
    </row>
    <row r="259" spans="2:20" hidden="1" outlineLevel="1">
      <c r="B259" s="190"/>
      <c r="C259" s="385"/>
      <c r="D259" s="386"/>
      <c r="E259" s="386"/>
      <c r="F259" s="385"/>
      <c r="G259" s="387"/>
      <c r="I259" s="77"/>
      <c r="J259" s="73"/>
      <c r="K259" s="78"/>
      <c r="M259" s="41"/>
      <c r="O259" s="173"/>
      <c r="P259" s="173"/>
    </row>
    <row r="260" spans="2:20" hidden="1" outlineLevel="1">
      <c r="B260" s="190"/>
      <c r="C260" s="385"/>
      <c r="D260" s="386"/>
      <c r="E260" s="386"/>
      <c r="F260" s="385"/>
      <c r="G260" s="387"/>
      <c r="I260" s="77"/>
      <c r="J260" s="73"/>
      <c r="K260" s="78"/>
      <c r="M260" s="41"/>
      <c r="O260" s="173"/>
      <c r="P260" s="173"/>
    </row>
    <row r="261" spans="2:20" hidden="1" outlineLevel="1">
      <c r="B261" s="190"/>
      <c r="C261" s="385"/>
      <c r="D261" s="386"/>
      <c r="E261" s="386"/>
      <c r="F261" s="385"/>
      <c r="G261" s="387"/>
      <c r="I261" s="77"/>
      <c r="J261" s="73"/>
      <c r="K261" s="78"/>
      <c r="M261" s="41"/>
      <c r="O261" s="173"/>
      <c r="P261" s="173"/>
    </row>
    <row r="262" spans="2:20" hidden="1" outlineLevel="1">
      <c r="B262" s="190"/>
      <c r="C262" s="385"/>
      <c r="D262" s="386"/>
      <c r="E262" s="386"/>
      <c r="F262" s="385"/>
      <c r="G262" s="387"/>
      <c r="I262" s="77"/>
      <c r="J262" s="73"/>
      <c r="K262" s="78"/>
      <c r="M262" s="41"/>
    </row>
    <row r="263" spans="2:20" hidden="1" outlineLevel="1">
      <c r="B263" s="190"/>
      <c r="C263" s="385"/>
      <c r="D263" s="386"/>
      <c r="E263" s="386"/>
      <c r="F263" s="385"/>
      <c r="G263" s="387"/>
      <c r="I263" s="77"/>
      <c r="J263" s="73"/>
      <c r="K263" s="78"/>
      <c r="M263" s="41"/>
    </row>
    <row r="264" spans="2:20" hidden="1" outlineLevel="1">
      <c r="B264" s="191"/>
      <c r="C264" s="388"/>
      <c r="D264" s="389"/>
      <c r="E264" s="389"/>
      <c r="F264" s="388"/>
      <c r="G264" s="390"/>
      <c r="I264" s="64"/>
      <c r="J264" s="73"/>
      <c r="K264" s="82"/>
      <c r="M264" s="41"/>
    </row>
    <row r="265" spans="2:20" hidden="1" outlineLevel="1">
      <c r="B265" s="189"/>
      <c r="C265" s="181"/>
      <c r="D265" s="182"/>
      <c r="E265" s="182"/>
      <c r="F265" s="181"/>
      <c r="G265" s="183"/>
      <c r="I265" s="60"/>
      <c r="J265" s="73"/>
      <c r="K265" s="74"/>
      <c r="M265" s="41"/>
      <c r="O265" s="173"/>
      <c r="P265" s="173"/>
      <c r="T265" s="173"/>
    </row>
    <row r="266" spans="2:20" hidden="1" outlineLevel="1">
      <c r="B266" s="190"/>
      <c r="C266" s="175"/>
      <c r="D266" s="176"/>
      <c r="E266" s="176"/>
      <c r="F266" s="175"/>
      <c r="G266" s="177"/>
      <c r="I266" s="77"/>
      <c r="J266" s="73"/>
      <c r="K266" s="78"/>
      <c r="M266" s="41"/>
      <c r="O266" s="173"/>
      <c r="P266" s="173"/>
      <c r="T266" s="173"/>
    </row>
    <row r="267" spans="2:20" hidden="1" outlineLevel="1">
      <c r="B267" s="190"/>
      <c r="C267" s="175"/>
      <c r="D267" s="176"/>
      <c r="E267" s="176"/>
      <c r="F267" s="175"/>
      <c r="G267" s="177"/>
      <c r="I267" s="77"/>
      <c r="J267" s="73"/>
      <c r="K267" s="78"/>
      <c r="M267" s="41"/>
      <c r="O267" s="173"/>
      <c r="P267" s="173"/>
      <c r="T267" s="173"/>
    </row>
    <row r="268" spans="2:20" hidden="1" outlineLevel="1">
      <c r="B268" s="190"/>
      <c r="C268" s="175"/>
      <c r="D268" s="176"/>
      <c r="E268" s="176"/>
      <c r="F268" s="175"/>
      <c r="G268" s="177"/>
      <c r="I268" s="77"/>
      <c r="J268" s="73"/>
      <c r="K268" s="78"/>
      <c r="M268" s="41"/>
      <c r="O268" s="173"/>
      <c r="P268" s="173"/>
      <c r="T268" s="173"/>
    </row>
    <row r="269" spans="2:20" hidden="1" outlineLevel="1">
      <c r="B269" s="190"/>
      <c r="C269" s="175"/>
      <c r="D269" s="176"/>
      <c r="E269" s="176"/>
      <c r="F269" s="175"/>
      <c r="G269" s="177"/>
      <c r="I269" s="77"/>
      <c r="J269" s="73"/>
      <c r="K269" s="78"/>
      <c r="M269" s="41"/>
      <c r="O269" s="173"/>
      <c r="P269" s="173"/>
      <c r="T269" s="173"/>
    </row>
    <row r="270" spans="2:20" hidden="1" outlineLevel="1">
      <c r="B270" s="190"/>
      <c r="C270" s="175"/>
      <c r="D270" s="176"/>
      <c r="E270" s="176"/>
      <c r="F270" s="175"/>
      <c r="G270" s="177"/>
      <c r="I270" s="77"/>
      <c r="J270" s="73"/>
      <c r="K270" s="78"/>
      <c r="M270" s="41"/>
      <c r="O270" s="173"/>
      <c r="P270" s="173"/>
      <c r="T270" s="173"/>
    </row>
    <row r="271" spans="2:20" hidden="1" outlineLevel="1">
      <c r="B271" s="190"/>
      <c r="C271" s="175"/>
      <c r="D271" s="176"/>
      <c r="E271" s="176"/>
      <c r="F271" s="175"/>
      <c r="G271" s="177"/>
      <c r="I271" s="77"/>
      <c r="J271" s="73"/>
      <c r="K271" s="78"/>
      <c r="M271" s="41"/>
      <c r="O271" s="173"/>
      <c r="P271" s="173"/>
    </row>
    <row r="272" spans="2:20" hidden="1" outlineLevel="1">
      <c r="B272" s="190"/>
      <c r="C272" s="175"/>
      <c r="D272" s="176"/>
      <c r="E272" s="176"/>
      <c r="F272" s="175"/>
      <c r="G272" s="177"/>
      <c r="I272" s="77"/>
      <c r="J272" s="73"/>
      <c r="K272" s="78"/>
      <c r="M272" s="41"/>
      <c r="O272" s="173"/>
      <c r="P272" s="173"/>
    </row>
    <row r="273" spans="2:20" hidden="1" outlineLevel="1">
      <c r="B273" s="190"/>
      <c r="C273" s="175"/>
      <c r="D273" s="176"/>
      <c r="E273" s="176"/>
      <c r="F273" s="175"/>
      <c r="G273" s="177"/>
      <c r="I273" s="77"/>
      <c r="J273" s="73"/>
      <c r="K273" s="78"/>
      <c r="M273" s="41"/>
      <c r="O273" s="173"/>
      <c r="P273" s="173"/>
    </row>
    <row r="274" spans="2:20" hidden="1" outlineLevel="1">
      <c r="B274" s="190"/>
      <c r="C274" s="175"/>
      <c r="D274" s="176"/>
      <c r="E274" s="176"/>
      <c r="F274" s="175"/>
      <c r="G274" s="177"/>
      <c r="I274" s="77"/>
      <c r="J274" s="73"/>
      <c r="K274" s="78"/>
      <c r="M274" s="41"/>
    </row>
    <row r="275" spans="2:20" hidden="1" outlineLevel="1">
      <c r="B275" s="190"/>
      <c r="C275" s="175"/>
      <c r="D275" s="176"/>
      <c r="E275" s="176"/>
      <c r="F275" s="175"/>
      <c r="G275" s="177"/>
      <c r="I275" s="77"/>
      <c r="J275" s="73"/>
      <c r="K275" s="78"/>
      <c r="M275" s="41"/>
    </row>
    <row r="276" spans="2:20" hidden="1" outlineLevel="1">
      <c r="B276" s="191"/>
      <c r="C276" s="178"/>
      <c r="D276" s="179"/>
      <c r="E276" s="179"/>
      <c r="F276" s="178"/>
      <c r="G276" s="180"/>
      <c r="I276" s="64"/>
      <c r="J276" s="73"/>
      <c r="K276" s="82"/>
      <c r="M276" s="41"/>
    </row>
    <row r="277" spans="2:20" hidden="1" outlineLevel="1">
      <c r="B277" s="189"/>
      <c r="C277" s="181"/>
      <c r="D277" s="182"/>
      <c r="E277" s="182"/>
      <c r="F277" s="181"/>
      <c r="G277" s="183"/>
      <c r="I277" s="60"/>
      <c r="J277" s="73"/>
      <c r="K277" s="74"/>
      <c r="M277" s="41"/>
      <c r="O277" s="173"/>
      <c r="P277" s="173"/>
      <c r="T277" s="173"/>
    </row>
    <row r="278" spans="2:20" hidden="1" outlineLevel="1">
      <c r="B278" s="190"/>
      <c r="C278" s="175"/>
      <c r="D278" s="176"/>
      <c r="E278" s="176"/>
      <c r="F278" s="175"/>
      <c r="G278" s="177"/>
      <c r="I278" s="77"/>
      <c r="J278" s="73"/>
      <c r="K278" s="78"/>
      <c r="M278" s="41"/>
      <c r="O278" s="173"/>
      <c r="P278" s="173"/>
      <c r="T278" s="173"/>
    </row>
    <row r="279" spans="2:20" hidden="1" outlineLevel="1">
      <c r="B279" s="190"/>
      <c r="C279" s="175"/>
      <c r="D279" s="176"/>
      <c r="E279" s="176"/>
      <c r="F279" s="175"/>
      <c r="G279" s="177"/>
      <c r="I279" s="77"/>
      <c r="J279" s="73"/>
      <c r="K279" s="78"/>
      <c r="M279" s="41"/>
      <c r="O279" s="173"/>
      <c r="P279" s="173"/>
      <c r="T279" s="173"/>
    </row>
    <row r="280" spans="2:20" hidden="1" outlineLevel="1">
      <c r="B280" s="190"/>
      <c r="C280" s="175"/>
      <c r="D280" s="176"/>
      <c r="E280" s="176"/>
      <c r="F280" s="175"/>
      <c r="G280" s="177"/>
      <c r="I280" s="77"/>
      <c r="J280" s="73"/>
      <c r="K280" s="78"/>
      <c r="M280" s="41"/>
      <c r="O280" s="173"/>
      <c r="P280" s="173"/>
      <c r="T280" s="173"/>
    </row>
    <row r="281" spans="2:20" hidden="1" outlineLevel="1">
      <c r="B281" s="190"/>
      <c r="C281" s="175"/>
      <c r="D281" s="176"/>
      <c r="E281" s="176"/>
      <c r="F281" s="175"/>
      <c r="G281" s="177"/>
      <c r="I281" s="77"/>
      <c r="J281" s="73"/>
      <c r="K281" s="78"/>
      <c r="M281" s="41"/>
      <c r="O281" s="173"/>
      <c r="P281" s="173"/>
      <c r="T281" s="173"/>
    </row>
    <row r="282" spans="2:20" hidden="1" outlineLevel="1">
      <c r="B282" s="190"/>
      <c r="C282" s="175"/>
      <c r="D282" s="176"/>
      <c r="E282" s="176"/>
      <c r="F282" s="175"/>
      <c r="G282" s="177"/>
      <c r="I282" s="77"/>
      <c r="J282" s="73"/>
      <c r="K282" s="78"/>
      <c r="M282" s="41"/>
      <c r="O282" s="173"/>
      <c r="P282" s="173"/>
      <c r="T282" s="173"/>
    </row>
    <row r="283" spans="2:20" hidden="1" outlineLevel="1">
      <c r="B283" s="190"/>
      <c r="C283" s="175"/>
      <c r="D283" s="176"/>
      <c r="E283" s="176"/>
      <c r="F283" s="175"/>
      <c r="G283" s="177"/>
      <c r="I283" s="77"/>
      <c r="J283" s="73"/>
      <c r="K283" s="78"/>
      <c r="M283" s="41"/>
      <c r="O283" s="173"/>
      <c r="P283" s="173"/>
    </row>
    <row r="284" spans="2:20" hidden="1" outlineLevel="1">
      <c r="B284" s="190"/>
      <c r="C284" s="175"/>
      <c r="D284" s="176"/>
      <c r="E284" s="176"/>
      <c r="F284" s="175"/>
      <c r="G284" s="177"/>
      <c r="I284" s="77"/>
      <c r="J284" s="73"/>
      <c r="K284" s="78"/>
      <c r="M284" s="41"/>
      <c r="O284" s="173"/>
      <c r="P284" s="173"/>
    </row>
    <row r="285" spans="2:20" hidden="1" outlineLevel="1">
      <c r="B285" s="190"/>
      <c r="C285" s="175"/>
      <c r="D285" s="176"/>
      <c r="E285" s="176"/>
      <c r="F285" s="175"/>
      <c r="G285" s="177"/>
      <c r="I285" s="77"/>
      <c r="J285" s="73"/>
      <c r="K285" s="78"/>
      <c r="M285" s="41"/>
      <c r="O285" s="173"/>
      <c r="P285" s="173"/>
    </row>
    <row r="286" spans="2:20" hidden="1" outlineLevel="1">
      <c r="B286" s="190"/>
      <c r="C286" s="175"/>
      <c r="D286" s="176"/>
      <c r="E286" s="176"/>
      <c r="F286" s="175"/>
      <c r="G286" s="177"/>
      <c r="I286" s="77"/>
      <c r="J286" s="73"/>
      <c r="K286" s="78"/>
      <c r="M286" s="41"/>
    </row>
    <row r="287" spans="2:20" hidden="1" outlineLevel="1">
      <c r="B287" s="190"/>
      <c r="C287" s="175"/>
      <c r="D287" s="176"/>
      <c r="E287" s="176"/>
      <c r="F287" s="175"/>
      <c r="G287" s="177"/>
      <c r="I287" s="77"/>
      <c r="J287" s="73"/>
      <c r="K287" s="78"/>
      <c r="M287" s="41"/>
    </row>
    <row r="288" spans="2:20" hidden="1" outlineLevel="1">
      <c r="B288" s="191"/>
      <c r="C288" s="178"/>
      <c r="D288" s="179"/>
      <c r="E288" s="179"/>
      <c r="F288" s="178"/>
      <c r="G288" s="180"/>
      <c r="I288" s="64"/>
      <c r="J288" s="73"/>
      <c r="K288" s="82"/>
      <c r="M288" s="41"/>
    </row>
    <row r="289" spans="2:13" hidden="1" outlineLevel="1">
      <c r="B289" s="189"/>
      <c r="C289" s="181"/>
      <c r="D289" s="182"/>
      <c r="E289" s="182"/>
      <c r="F289" s="181"/>
      <c r="G289" s="183"/>
      <c r="I289" s="60"/>
      <c r="J289" s="73"/>
      <c r="K289" s="74"/>
      <c r="M289" s="41"/>
    </row>
    <row r="290" spans="2:13" hidden="1" outlineLevel="1">
      <c r="B290" s="190"/>
      <c r="C290" s="175"/>
      <c r="D290" s="176"/>
      <c r="E290" s="176"/>
      <c r="F290" s="175"/>
      <c r="G290" s="177"/>
      <c r="I290" s="77"/>
      <c r="J290" s="73"/>
      <c r="K290" s="78"/>
      <c r="M290" s="41"/>
    </row>
    <row r="291" spans="2:13" hidden="1" outlineLevel="1">
      <c r="B291" s="190"/>
      <c r="C291" s="175"/>
      <c r="D291" s="176"/>
      <c r="E291" s="176"/>
      <c r="F291" s="175"/>
      <c r="G291" s="177"/>
      <c r="I291" s="77"/>
      <c r="J291" s="73"/>
      <c r="K291" s="78"/>
      <c r="M291" s="41"/>
    </row>
    <row r="292" spans="2:13" hidden="1" outlineLevel="1">
      <c r="B292" s="190"/>
      <c r="C292" s="175"/>
      <c r="D292" s="176"/>
      <c r="E292" s="176"/>
      <c r="F292" s="175"/>
      <c r="G292" s="177"/>
      <c r="I292" s="77"/>
      <c r="J292" s="73"/>
      <c r="K292" s="78"/>
      <c r="M292" s="41"/>
    </row>
    <row r="293" spans="2:13" hidden="1" outlineLevel="1">
      <c r="B293" s="190"/>
      <c r="C293" s="175"/>
      <c r="D293" s="176"/>
      <c r="E293" s="176"/>
      <c r="F293" s="175"/>
      <c r="G293" s="177"/>
      <c r="I293" s="77"/>
      <c r="J293" s="73"/>
      <c r="K293" s="78"/>
      <c r="M293" s="41"/>
    </row>
    <row r="294" spans="2:13" hidden="1" outlineLevel="1">
      <c r="B294" s="190"/>
      <c r="C294" s="175"/>
      <c r="D294" s="176"/>
      <c r="E294" s="176"/>
      <c r="F294" s="175"/>
      <c r="G294" s="177"/>
      <c r="I294" s="77"/>
      <c r="J294" s="73"/>
      <c r="K294" s="78"/>
      <c r="M294" s="41"/>
    </row>
    <row r="295" spans="2:13" hidden="1" outlineLevel="1">
      <c r="B295" s="190"/>
      <c r="C295" s="175"/>
      <c r="D295" s="176"/>
      <c r="E295" s="176"/>
      <c r="F295" s="175"/>
      <c r="G295" s="177"/>
      <c r="I295" s="77"/>
      <c r="J295" s="73"/>
      <c r="K295" s="78"/>
      <c r="M295" s="41"/>
    </row>
    <row r="296" spans="2:13" hidden="1" outlineLevel="1">
      <c r="B296" s="190"/>
      <c r="C296" s="175"/>
      <c r="D296" s="176"/>
      <c r="E296" s="176"/>
      <c r="F296" s="175"/>
      <c r="G296" s="177"/>
      <c r="I296" s="77"/>
      <c r="J296" s="73"/>
      <c r="K296" s="78"/>
      <c r="M296" s="41"/>
    </row>
    <row r="297" spans="2:13" hidden="1" outlineLevel="1">
      <c r="B297" s="190"/>
      <c r="C297" s="175"/>
      <c r="D297" s="176"/>
      <c r="E297" s="176"/>
      <c r="F297" s="175"/>
      <c r="G297" s="177"/>
      <c r="I297" s="77"/>
      <c r="J297" s="73"/>
      <c r="K297" s="78"/>
      <c r="M297" s="41"/>
    </row>
    <row r="298" spans="2:13" hidden="1" outlineLevel="1">
      <c r="B298" s="190"/>
      <c r="C298" s="175"/>
      <c r="D298" s="176"/>
      <c r="E298" s="176"/>
      <c r="F298" s="175"/>
      <c r="G298" s="177"/>
      <c r="I298" s="77"/>
      <c r="J298" s="73"/>
      <c r="K298" s="78"/>
      <c r="M298" s="41"/>
    </row>
    <row r="299" spans="2:13" hidden="1" outlineLevel="1">
      <c r="B299" s="190"/>
      <c r="C299" s="175"/>
      <c r="D299" s="176"/>
      <c r="E299" s="176"/>
      <c r="F299" s="175"/>
      <c r="G299" s="177"/>
      <c r="I299" s="77"/>
      <c r="J299" s="73"/>
      <c r="K299" s="78"/>
      <c r="M299" s="41"/>
    </row>
    <row r="300" spans="2:13" hidden="1" outlineLevel="1">
      <c r="B300" s="191"/>
      <c r="C300" s="178"/>
      <c r="D300" s="179"/>
      <c r="E300" s="179"/>
      <c r="F300" s="178"/>
      <c r="G300" s="180"/>
      <c r="I300" s="64"/>
      <c r="J300" s="73"/>
      <c r="K300" s="82"/>
      <c r="M300" s="41"/>
    </row>
    <row r="301" spans="2:13" hidden="1" outlineLevel="1">
      <c r="B301" s="189"/>
      <c r="C301" s="181"/>
      <c r="D301" s="182"/>
      <c r="E301" s="182"/>
      <c r="F301" s="181"/>
      <c r="G301" s="183"/>
      <c r="I301" s="60"/>
      <c r="J301" s="73"/>
      <c r="K301" s="74"/>
      <c r="M301" s="41"/>
    </row>
    <row r="302" spans="2:13" hidden="1" outlineLevel="1">
      <c r="B302" s="190"/>
      <c r="C302" s="175"/>
      <c r="D302" s="176"/>
      <c r="E302" s="176"/>
      <c r="F302" s="175"/>
      <c r="G302" s="177"/>
      <c r="I302" s="77"/>
      <c r="J302" s="73"/>
      <c r="K302" s="78"/>
      <c r="M302" s="41"/>
    </row>
    <row r="303" spans="2:13" hidden="1" outlineLevel="1">
      <c r="B303" s="190"/>
      <c r="C303" s="175"/>
      <c r="D303" s="176"/>
      <c r="E303" s="176"/>
      <c r="F303" s="175"/>
      <c r="G303" s="177"/>
      <c r="I303" s="77"/>
      <c r="J303" s="73"/>
      <c r="K303" s="78"/>
      <c r="M303" s="41"/>
    </row>
    <row r="304" spans="2:13" hidden="1" outlineLevel="1">
      <c r="B304" s="190"/>
      <c r="C304" s="175"/>
      <c r="D304" s="176"/>
      <c r="E304" s="176"/>
      <c r="F304" s="175"/>
      <c r="G304" s="177"/>
      <c r="I304" s="77"/>
      <c r="J304" s="73"/>
      <c r="K304" s="78"/>
      <c r="M304" s="41"/>
    </row>
    <row r="305" spans="2:13" hidden="1" outlineLevel="1">
      <c r="B305" s="190"/>
      <c r="C305" s="175"/>
      <c r="D305" s="176"/>
      <c r="E305" s="176"/>
      <c r="F305" s="175"/>
      <c r="G305" s="177"/>
      <c r="I305" s="77"/>
      <c r="J305" s="73"/>
      <c r="K305" s="78"/>
      <c r="M305" s="41"/>
    </row>
    <row r="306" spans="2:13" hidden="1" outlineLevel="1">
      <c r="B306" s="190"/>
      <c r="C306" s="175"/>
      <c r="D306" s="176"/>
      <c r="E306" s="176"/>
      <c r="F306" s="175"/>
      <c r="G306" s="177"/>
      <c r="I306" s="77"/>
      <c r="J306" s="73"/>
      <c r="K306" s="78"/>
      <c r="M306" s="41"/>
    </row>
    <row r="307" spans="2:13" hidden="1" outlineLevel="1">
      <c r="B307" s="190"/>
      <c r="C307" s="175"/>
      <c r="D307" s="176"/>
      <c r="E307" s="176"/>
      <c r="F307" s="175"/>
      <c r="G307" s="177"/>
      <c r="I307" s="77"/>
      <c r="J307" s="73"/>
      <c r="K307" s="78"/>
      <c r="M307" s="41"/>
    </row>
    <row r="308" spans="2:13" hidden="1" outlineLevel="1">
      <c r="B308" s="190"/>
      <c r="C308" s="175"/>
      <c r="D308" s="176"/>
      <c r="E308" s="176"/>
      <c r="F308" s="175"/>
      <c r="G308" s="177"/>
      <c r="I308" s="77"/>
      <c r="J308" s="73"/>
      <c r="K308" s="78"/>
      <c r="M308" s="41"/>
    </row>
    <row r="309" spans="2:13" hidden="1" outlineLevel="1">
      <c r="B309" s="190"/>
      <c r="C309" s="175"/>
      <c r="D309" s="176"/>
      <c r="E309" s="176"/>
      <c r="F309" s="175"/>
      <c r="G309" s="177"/>
      <c r="I309" s="77"/>
      <c r="J309" s="73"/>
      <c r="K309" s="78"/>
      <c r="M309" s="41"/>
    </row>
    <row r="310" spans="2:13" hidden="1" outlineLevel="1">
      <c r="B310" s="190"/>
      <c r="C310" s="175"/>
      <c r="D310" s="176"/>
      <c r="E310" s="176"/>
      <c r="F310" s="175"/>
      <c r="G310" s="177"/>
      <c r="I310" s="77"/>
      <c r="J310" s="73"/>
      <c r="K310" s="78"/>
      <c r="M310" s="41"/>
    </row>
    <row r="311" spans="2:13" hidden="1" outlineLevel="1">
      <c r="B311" s="190"/>
      <c r="C311" s="175"/>
      <c r="D311" s="176"/>
      <c r="E311" s="176"/>
      <c r="F311" s="175"/>
      <c r="G311" s="177"/>
      <c r="I311" s="77"/>
      <c r="J311" s="73"/>
      <c r="K311" s="78"/>
      <c r="M311" s="41"/>
    </row>
    <row r="312" spans="2:13" hidden="1" outlineLevel="1">
      <c r="B312" s="191"/>
      <c r="C312" s="178"/>
      <c r="D312" s="179"/>
      <c r="E312" s="179"/>
      <c r="F312" s="178"/>
      <c r="G312" s="180"/>
      <c r="I312" s="64"/>
      <c r="J312" s="73"/>
      <c r="K312" s="82"/>
      <c r="M312" s="41"/>
    </row>
    <row r="313" spans="2:13" hidden="1" outlineLevel="1">
      <c r="B313" s="189"/>
      <c r="C313" s="181"/>
      <c r="D313" s="182"/>
      <c r="E313" s="182"/>
      <c r="F313" s="181"/>
      <c r="G313" s="183"/>
      <c r="I313" s="60"/>
      <c r="J313" s="73"/>
      <c r="K313" s="74"/>
      <c r="M313" s="41"/>
    </row>
    <row r="314" spans="2:13" hidden="1" outlineLevel="1">
      <c r="B314" s="190"/>
      <c r="C314" s="175"/>
      <c r="D314" s="176"/>
      <c r="E314" s="176"/>
      <c r="F314" s="175"/>
      <c r="G314" s="177"/>
      <c r="I314" s="77"/>
      <c r="J314" s="73"/>
      <c r="K314" s="78"/>
      <c r="M314" s="41"/>
    </row>
    <row r="315" spans="2:13" hidden="1" outlineLevel="1">
      <c r="B315" s="190"/>
      <c r="C315" s="175"/>
      <c r="D315" s="176"/>
      <c r="E315" s="176"/>
      <c r="F315" s="175"/>
      <c r="G315" s="177"/>
      <c r="I315" s="77"/>
      <c r="J315" s="73"/>
      <c r="K315" s="78"/>
      <c r="M315" s="41"/>
    </row>
    <row r="316" spans="2:13" hidden="1" outlineLevel="1">
      <c r="B316" s="190"/>
      <c r="C316" s="175"/>
      <c r="D316" s="176"/>
      <c r="E316" s="176"/>
      <c r="F316" s="175"/>
      <c r="G316" s="177"/>
      <c r="I316" s="77"/>
      <c r="J316" s="73"/>
      <c r="K316" s="78"/>
      <c r="M316" s="41"/>
    </row>
    <row r="317" spans="2:13" hidden="1" outlineLevel="1">
      <c r="B317" s="190"/>
      <c r="C317" s="175"/>
      <c r="D317" s="176"/>
      <c r="E317" s="176"/>
      <c r="F317" s="175"/>
      <c r="G317" s="177"/>
      <c r="I317" s="77"/>
      <c r="J317" s="73"/>
      <c r="K317" s="78"/>
      <c r="M317" s="41"/>
    </row>
    <row r="318" spans="2:13" hidden="1" outlineLevel="1">
      <c r="B318" s="190"/>
      <c r="C318" s="175"/>
      <c r="D318" s="176"/>
      <c r="E318" s="176"/>
      <c r="F318" s="175"/>
      <c r="G318" s="177"/>
      <c r="I318" s="77"/>
      <c r="J318" s="73"/>
      <c r="K318" s="78"/>
      <c r="M318" s="41"/>
    </row>
    <row r="319" spans="2:13" hidden="1" outlineLevel="1">
      <c r="B319" s="190"/>
      <c r="C319" s="175"/>
      <c r="D319" s="176"/>
      <c r="E319" s="176"/>
      <c r="F319" s="175"/>
      <c r="G319" s="177"/>
      <c r="I319" s="77"/>
      <c r="J319" s="73"/>
      <c r="K319" s="78"/>
      <c r="M319" s="41"/>
    </row>
    <row r="320" spans="2:13" hidden="1" outlineLevel="1">
      <c r="B320" s="190"/>
      <c r="C320" s="175"/>
      <c r="D320" s="176"/>
      <c r="E320" s="176"/>
      <c r="F320" s="175"/>
      <c r="G320" s="177"/>
      <c r="I320" s="77"/>
      <c r="J320" s="73"/>
      <c r="K320" s="78"/>
      <c r="M320" s="41"/>
    </row>
    <row r="321" spans="2:13" hidden="1" outlineLevel="1">
      <c r="B321" s="190"/>
      <c r="C321" s="175"/>
      <c r="D321" s="176"/>
      <c r="E321" s="176"/>
      <c r="F321" s="175"/>
      <c r="G321" s="177"/>
      <c r="I321" s="77"/>
      <c r="J321" s="73"/>
      <c r="K321" s="78"/>
      <c r="M321" s="41"/>
    </row>
    <row r="322" spans="2:13" hidden="1" outlineLevel="1">
      <c r="B322" s="190"/>
      <c r="C322" s="175"/>
      <c r="D322" s="176"/>
      <c r="E322" s="176"/>
      <c r="F322" s="175"/>
      <c r="G322" s="177"/>
      <c r="I322" s="77"/>
      <c r="J322" s="73"/>
      <c r="K322" s="78"/>
      <c r="M322" s="41"/>
    </row>
    <row r="323" spans="2:13" hidden="1" outlineLevel="1">
      <c r="B323" s="190"/>
      <c r="C323" s="175"/>
      <c r="D323" s="176"/>
      <c r="E323" s="176"/>
      <c r="F323" s="175"/>
      <c r="G323" s="177"/>
      <c r="I323" s="77"/>
      <c r="J323" s="73"/>
      <c r="K323" s="78"/>
      <c r="M323" s="41"/>
    </row>
    <row r="324" spans="2:13" hidden="1" outlineLevel="1">
      <c r="B324" s="191"/>
      <c r="C324" s="178"/>
      <c r="D324" s="179"/>
      <c r="E324" s="179"/>
      <c r="F324" s="178"/>
      <c r="G324" s="180"/>
      <c r="I324" s="64"/>
      <c r="J324" s="73"/>
      <c r="K324" s="82"/>
      <c r="M324" s="41"/>
    </row>
    <row r="325" spans="2:13" collapsed="1"/>
  </sheetData>
  <printOptions horizontalCentered="1"/>
  <pageMargins left="0.25" right="0.25" top="0.75" bottom="0.75" header="0.3" footer="0.3"/>
  <pageSetup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7" width="9.3320312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77"/>
      <c r="R6" s="377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63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64"/>
      <c r="P15" s="363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89.32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47.942289206762617</v>
      </c>
      <c r="H18" s="128">
        <v>-21.479999999999997</v>
      </c>
      <c r="I18" s="130">
        <f t="shared" si="5"/>
        <v>26.46228920676262</v>
      </c>
      <c r="J18" s="130">
        <f t="shared" ref="J18:J37" si="8">ROUND(I18*$C$63*8.76,2)</f>
        <v>68.38</v>
      </c>
      <c r="K18" s="128">
        <f t="shared" si="2"/>
        <v>123.89246376811593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91.46</v>
      </c>
      <c r="E19" s="148">
        <v>33.826086956521742</v>
      </c>
      <c r="F19" s="128">
        <f t="shared" si="7"/>
        <v>1.54</v>
      </c>
      <c r="G19" s="130">
        <f t="shared" si="4"/>
        <v>49.077504433295317</v>
      </c>
      <c r="H19" s="128">
        <v>-22.278000000000002</v>
      </c>
      <c r="I19" s="130">
        <f t="shared" si="5"/>
        <v>26.799504433295315</v>
      </c>
      <c r="J19" s="130">
        <f t="shared" si="8"/>
        <v>69.260000000000005</v>
      </c>
      <c r="K19" s="128">
        <f t="shared" si="2"/>
        <v>126.82608695652173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93.75</v>
      </c>
      <c r="E20" s="148">
        <v>34.594202898550726</v>
      </c>
      <c r="F20" s="128">
        <f t="shared" si="7"/>
        <v>1.58</v>
      </c>
      <c r="G20" s="130">
        <f t="shared" si="4"/>
        <v>50.276372919491813</v>
      </c>
      <c r="H20" s="128">
        <v>-22.278000000000002</v>
      </c>
      <c r="I20" s="130">
        <f t="shared" si="5"/>
        <v>27.998372919491811</v>
      </c>
      <c r="J20" s="130">
        <f t="shared" si="8"/>
        <v>72.349999999999994</v>
      </c>
      <c r="K20" s="128">
        <f t="shared" si="2"/>
        <v>129.92420289855073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96.09</v>
      </c>
      <c r="E21" s="148">
        <v>35.376811594202898</v>
      </c>
      <c r="F21" s="128">
        <f t="shared" si="7"/>
        <v>1.62</v>
      </c>
      <c r="G21" s="130">
        <f t="shared" si="4"/>
        <v>51.500197970049896</v>
      </c>
      <c r="H21" s="128">
        <v>-23.07</v>
      </c>
      <c r="I21" s="130">
        <f t="shared" si="5"/>
        <v>28.430197970049896</v>
      </c>
      <c r="J21" s="130">
        <f t="shared" si="8"/>
        <v>73.47</v>
      </c>
      <c r="K21" s="128">
        <f t="shared" si="2"/>
        <v>133.08681159420291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98.4</v>
      </c>
      <c r="E22" s="148">
        <v>36.188405797101453</v>
      </c>
      <c r="F22" s="128">
        <f t="shared" si="7"/>
        <v>1.66</v>
      </c>
      <c r="G22" s="130">
        <f t="shared" si="4"/>
        <v>52.723630445438239</v>
      </c>
      <c r="H22" s="128">
        <v>-23.07</v>
      </c>
      <c r="I22" s="130">
        <f t="shared" si="5"/>
        <v>29.653630445438239</v>
      </c>
      <c r="J22" s="130">
        <f t="shared" si="8"/>
        <v>76.63</v>
      </c>
      <c r="K22" s="128">
        <f t="shared" si="2"/>
        <v>136.24840579710147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100.76</v>
      </c>
      <c r="E23" s="148">
        <v>37.014492753623188</v>
      </c>
      <c r="F23" s="128">
        <f t="shared" si="7"/>
        <v>1.7</v>
      </c>
      <c r="G23" s="130">
        <f t="shared" si="4"/>
        <v>53.972019485188142</v>
      </c>
      <c r="H23" s="128">
        <v>-23.867999999999999</v>
      </c>
      <c r="I23" s="130">
        <f t="shared" si="5"/>
        <v>30.104019485188143</v>
      </c>
      <c r="J23" s="130">
        <f t="shared" si="8"/>
        <v>77.790000000000006</v>
      </c>
      <c r="K23" s="128">
        <f t="shared" si="2"/>
        <v>139.47449275362317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103.08</v>
      </c>
      <c r="E24" s="148">
        <v>37.855072463768117</v>
      </c>
      <c r="F24" s="128">
        <f t="shared" si="7"/>
        <v>1.74</v>
      </c>
      <c r="G24" s="130">
        <f>(D24+E24+F24)/(8.76*$C$63)</f>
        <v>55.210538063527643</v>
      </c>
      <c r="H24" s="128">
        <v>-24.666</v>
      </c>
      <c r="I24" s="130">
        <f>(G24+H24)</f>
        <v>30.544538063527643</v>
      </c>
      <c r="J24" s="130">
        <f t="shared" si="8"/>
        <v>78.930000000000007</v>
      </c>
      <c r="K24" s="128">
        <f t="shared" si="2"/>
        <v>142.67507246376812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105.45</v>
      </c>
      <c r="E25" s="148">
        <v>38.724637681159422</v>
      </c>
      <c r="F25" s="128">
        <f t="shared" si="7"/>
        <v>1.78</v>
      </c>
      <c r="G25" s="130">
        <f t="shared" ref="G25:G37" si="9">(D25+E25+F25)/(8.76*$C$63)</f>
        <v>56.479621422939189</v>
      </c>
      <c r="H25" s="128">
        <v>-24.666</v>
      </c>
      <c r="I25" s="130">
        <f t="shared" ref="I25:I37" si="10">(G25+H25)</f>
        <v>31.813621422939189</v>
      </c>
      <c r="J25" s="130">
        <f t="shared" si="8"/>
        <v>82.21</v>
      </c>
      <c r="K25" s="128">
        <f t="shared" si="2"/>
        <v>145.95463768115943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107.88</v>
      </c>
      <c r="E26" s="148">
        <v>39.608695652173914</v>
      </c>
      <c r="F26" s="128">
        <f t="shared" si="7"/>
        <v>1.82</v>
      </c>
      <c r="G26" s="130">
        <f t="shared" si="9"/>
        <v>57.77753101624252</v>
      </c>
      <c r="H26" s="128">
        <v>-25.457999999999998</v>
      </c>
      <c r="I26" s="130">
        <f t="shared" si="10"/>
        <v>32.319531016242522</v>
      </c>
      <c r="J26" s="130">
        <f t="shared" si="8"/>
        <v>83.52</v>
      </c>
      <c r="K26" s="128">
        <f t="shared" si="2"/>
        <v>149.3086956521739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110.36</v>
      </c>
      <c r="E27" s="148">
        <v>40.507246376811594</v>
      </c>
      <c r="F27" s="128">
        <f t="shared" si="7"/>
        <v>1.86</v>
      </c>
      <c r="G27" s="130">
        <f t="shared" si="9"/>
        <v>59.100397173907446</v>
      </c>
      <c r="H27" s="128">
        <v>0</v>
      </c>
      <c r="I27" s="130">
        <f t="shared" si="10"/>
        <v>59.100397173907446</v>
      </c>
      <c r="J27" s="130">
        <f t="shared" si="8"/>
        <v>152.72999999999999</v>
      </c>
      <c r="K27" s="128">
        <f t="shared" si="2"/>
        <v>152.72724637681159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113.01</v>
      </c>
      <c r="E28" s="148">
        <v>41.434782608695649</v>
      </c>
      <c r="F28" s="128">
        <f t="shared" si="7"/>
        <v>1.9</v>
      </c>
      <c r="G28" s="130">
        <f t="shared" si="9"/>
        <v>60.500264147007073</v>
      </c>
      <c r="H28" s="128">
        <v>0</v>
      </c>
      <c r="I28" s="130">
        <f t="shared" si="10"/>
        <v>60.500264147007073</v>
      </c>
      <c r="J28" s="130">
        <f t="shared" si="8"/>
        <v>156.34</v>
      </c>
      <c r="K28" s="128">
        <f t="shared" si="2"/>
        <v>156.34478260869565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115.72</v>
      </c>
      <c r="E29" s="148">
        <v>42.376811594202898</v>
      </c>
      <c r="F29" s="128">
        <f t="shared" si="7"/>
        <v>1.95</v>
      </c>
      <c r="G29" s="130">
        <f t="shared" si="9"/>
        <v>61.932827023528716</v>
      </c>
      <c r="H29" s="128">
        <v>0</v>
      </c>
      <c r="I29" s="130">
        <f t="shared" si="10"/>
        <v>61.932827023528716</v>
      </c>
      <c r="J29" s="130">
        <f t="shared" si="8"/>
        <v>160.05000000000001</v>
      </c>
      <c r="K29" s="128">
        <f t="shared" si="2"/>
        <v>160.04681159420289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118.38</v>
      </c>
      <c r="E30" s="148">
        <v>43.347826086956523</v>
      </c>
      <c r="F30" s="128">
        <f t="shared" si="7"/>
        <v>1.99</v>
      </c>
      <c r="G30" s="130">
        <f t="shared" si="9"/>
        <v>63.35338831628998</v>
      </c>
      <c r="H30" s="128">
        <v>0</v>
      </c>
      <c r="I30" s="130">
        <f t="shared" si="10"/>
        <v>63.35338831628998</v>
      </c>
      <c r="J30" s="130">
        <f t="shared" si="8"/>
        <v>163.72</v>
      </c>
      <c r="K30" s="128">
        <f t="shared" si="2"/>
        <v>163.71782608695653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121.1</v>
      </c>
      <c r="E31" s="148">
        <v>44.333333333333336</v>
      </c>
      <c r="F31" s="128">
        <f t="shared" si="7"/>
        <v>2.04</v>
      </c>
      <c r="G31" s="130">
        <f t="shared" si="9"/>
        <v>64.806645512473239</v>
      </c>
      <c r="H31" s="128">
        <v>0</v>
      </c>
      <c r="I31" s="130">
        <f t="shared" si="10"/>
        <v>64.806645512473239</v>
      </c>
      <c r="J31" s="130">
        <f t="shared" si="8"/>
        <v>167.47</v>
      </c>
      <c r="K31" s="128">
        <f t="shared" si="2"/>
        <v>167.47333333333333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123.89</v>
      </c>
      <c r="E32" s="148">
        <v>45.347826086956523</v>
      </c>
      <c r="F32" s="128">
        <f t="shared" si="7"/>
        <v>2.09</v>
      </c>
      <c r="G32" s="130">
        <f t="shared" si="9"/>
        <v>66.298206828789006</v>
      </c>
      <c r="H32" s="128">
        <v>0</v>
      </c>
      <c r="I32" s="130">
        <f t="shared" si="10"/>
        <v>66.298206828789006</v>
      </c>
      <c r="J32" s="130">
        <f t="shared" si="8"/>
        <v>171.33</v>
      </c>
      <c r="K32" s="128">
        <f t="shared" si="2"/>
        <v>171.32782608695652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126.74</v>
      </c>
      <c r="E33" s="128">
        <f t="shared" si="6"/>
        <v>46.39</v>
      </c>
      <c r="F33" s="128">
        <f t="shared" si="7"/>
        <v>2.14</v>
      </c>
      <c r="G33" s="130">
        <f t="shared" si="9"/>
        <v>67.823697856203083</v>
      </c>
      <c r="H33" s="128">
        <v>0</v>
      </c>
      <c r="I33" s="130">
        <f t="shared" si="10"/>
        <v>67.823697856203083</v>
      </c>
      <c r="J33" s="130">
        <f t="shared" si="8"/>
        <v>175.27</v>
      </c>
      <c r="K33" s="128">
        <f t="shared" si="2"/>
        <v>175.26999999999998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129.66</v>
      </c>
      <c r="E34" s="128">
        <f t="shared" si="11"/>
        <v>47.46</v>
      </c>
      <c r="F34" s="128">
        <f t="shared" si="7"/>
        <v>2.19</v>
      </c>
      <c r="G34" s="130">
        <f t="shared" si="9"/>
        <v>69.387044346412821</v>
      </c>
      <c r="H34" s="128">
        <v>0</v>
      </c>
      <c r="I34" s="130">
        <f t="shared" si="10"/>
        <v>69.387044346412821</v>
      </c>
      <c r="J34" s="130">
        <f t="shared" si="8"/>
        <v>179.31</v>
      </c>
      <c r="K34" s="128">
        <f t="shared" si="2"/>
        <v>179.31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132.63999999999999</v>
      </c>
      <c r="E35" s="128">
        <f t="shared" si="11"/>
        <v>48.55</v>
      </c>
      <c r="F35" s="128">
        <f t="shared" si="7"/>
        <v>2.2400000000000002</v>
      </c>
      <c r="G35" s="130">
        <f t="shared" si="9"/>
        <v>70.981348192864345</v>
      </c>
      <c r="H35" s="128">
        <v>0</v>
      </c>
      <c r="I35" s="130">
        <f t="shared" si="10"/>
        <v>70.981348192864345</v>
      </c>
      <c r="J35" s="130">
        <f t="shared" si="8"/>
        <v>183.43</v>
      </c>
      <c r="K35" s="128">
        <f t="shared" si="2"/>
        <v>183.43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135.82</v>
      </c>
      <c r="E36" s="128">
        <f t="shared" si="11"/>
        <v>49.72</v>
      </c>
      <c r="F36" s="128">
        <f t="shared" si="7"/>
        <v>2.29</v>
      </c>
      <c r="G36" s="130">
        <f t="shared" si="9"/>
        <v>72.684002786162068</v>
      </c>
      <c r="H36" s="128">
        <v>0</v>
      </c>
      <c r="I36" s="130">
        <f t="shared" si="10"/>
        <v>72.684002786162068</v>
      </c>
      <c r="J36" s="130">
        <f t="shared" si="8"/>
        <v>187.83</v>
      </c>
      <c r="K36" s="128">
        <f t="shared" si="2"/>
        <v>187.82999999999998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139.08000000000001</v>
      </c>
      <c r="E37" s="128">
        <f t="shared" si="11"/>
        <v>50.91</v>
      </c>
      <c r="F37" s="128">
        <f t="shared" si="7"/>
        <v>2.34</v>
      </c>
      <c r="G37" s="130">
        <f t="shared" si="9"/>
        <v>74.425354074762026</v>
      </c>
      <c r="H37" s="128">
        <v>0</v>
      </c>
      <c r="I37" s="130">
        <f t="shared" si="10"/>
        <v>74.425354074762026</v>
      </c>
      <c r="J37" s="130">
        <f t="shared" si="8"/>
        <v>192.33</v>
      </c>
      <c r="K37" s="128">
        <f t="shared" si="2"/>
        <v>192.33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65"/>
      <c r="R39" s="365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7">
        <v>2023</v>
      </c>
    </row>
    <row r="55" spans="2:27">
      <c r="B55" s="85" t="s">
        <v>101</v>
      </c>
      <c r="C55" s="366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7" t="s">
        <v>229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67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68" t="s">
        <v>91</v>
      </c>
      <c r="L59" s="369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1" t="s">
        <v>252</v>
      </c>
      <c r="C60" s="153">
        <v>1.4680258019147514</v>
      </c>
      <c r="D60" s="117" t="s">
        <v>218</v>
      </c>
      <c r="F60" s="117" t="s">
        <v>221</v>
      </c>
      <c r="K60" s="369"/>
      <c r="L60" s="369"/>
      <c r="M60" s="369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69"/>
      <c r="L61" s="369"/>
      <c r="M61" s="369"/>
      <c r="N61" s="164"/>
      <c r="O61" s="369"/>
      <c r="R61" s="119"/>
      <c r="T61" s="119"/>
      <c r="U61" s="119"/>
      <c r="V61" s="119"/>
      <c r="W61" s="119"/>
      <c r="X61" s="119"/>
      <c r="Y61" s="119"/>
    </row>
    <row r="62" spans="2:27">
      <c r="C62" s="370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1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253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2.1999999999999999E-2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1.7000000000000001E-2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2.3E-2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2.4E-2</v>
      </c>
      <c r="N73" s="164"/>
    </row>
    <row r="74" spans="3:14" s="119" customFormat="1">
      <c r="C74" s="87">
        <f t="shared" si="12"/>
        <v>2025</v>
      </c>
      <c r="D74" s="41">
        <v>2.4E-2</v>
      </c>
      <c r="E74" s="86"/>
      <c r="F74" s="87">
        <f t="shared" si="13"/>
        <v>2034</v>
      </c>
      <c r="G74" s="41">
        <v>2.4E-2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7" width="9.33203125" style="117" bestFit="1" customWidth="1"/>
    <col min="8" max="8" width="9.33203125" style="117" customWidth="1"/>
    <col min="9" max="9" width="10.3320312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39">
        <v>1252.8729166666667</v>
      </c>
      <c r="D18" s="128">
        <f>C18*$C$62</f>
        <v>86.431167750709889</v>
      </c>
      <c r="E18" s="268">
        <v>32.969791666666666</v>
      </c>
      <c r="F18" s="362">
        <f>C60</f>
        <v>47.870308055404152</v>
      </c>
      <c r="G18" s="130">
        <f>(D18+E18+F18)/(8.76*$C$63)</f>
        <v>43.795627401653867</v>
      </c>
      <c r="H18" s="128"/>
      <c r="I18" s="128">
        <v>-20.480000000000004</v>
      </c>
      <c r="J18" s="130">
        <f>(G18+H18+I18)</f>
        <v>23.315627401653863</v>
      </c>
      <c r="K18" s="130">
        <f t="shared" ref="K18:K32" si="2">ROUND(J18*$C$63*8.76,2)</f>
        <v>89.05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88.51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49.02</v>
      </c>
      <c r="G19" s="130">
        <f t="shared" ref="G19:G37" si="5">(D19+E19+F19)/(8.76*$C$63)</f>
        <v>44.84002773588594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-20.97</v>
      </c>
      <c r="J19" s="130">
        <f t="shared" ref="J19:J37" si="7">(G19+H19+I19)</f>
        <v>23.870027735885941</v>
      </c>
      <c r="K19" s="130">
        <f t="shared" si="2"/>
        <v>91.17</v>
      </c>
      <c r="L19" s="128">
        <f t="shared" si="1"/>
        <v>171.26020833333334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90.72</v>
      </c>
      <c r="E20" s="268">
        <v>34.490104166666669</v>
      </c>
      <c r="F20" s="128">
        <f t="shared" si="4"/>
        <v>50.25</v>
      </c>
      <c r="G20" s="130">
        <f t="shared" si="5"/>
        <v>45.9396611386899</v>
      </c>
      <c r="H20" s="128"/>
      <c r="I20" s="128">
        <f t="shared" si="6"/>
        <v>-21.49</v>
      </c>
      <c r="J20" s="130">
        <f t="shared" si="7"/>
        <v>24.449661138689901</v>
      </c>
      <c r="K20" s="130">
        <f t="shared" si="2"/>
        <v>93.38</v>
      </c>
      <c r="L20" s="128">
        <f t="shared" si="1"/>
        <v>175.46010416666667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92.99</v>
      </c>
      <c r="E21" s="268">
        <v>35.280208333333334</v>
      </c>
      <c r="F21" s="128">
        <f t="shared" si="4"/>
        <v>51.51</v>
      </c>
      <c r="G21" s="130">
        <f t="shared" si="5"/>
        <v>47.070767964615357</v>
      </c>
      <c r="H21" s="198">
        <v>1</v>
      </c>
      <c r="I21" s="128">
        <f t="shared" si="6"/>
        <v>-22.03</v>
      </c>
      <c r="J21" s="130">
        <f t="shared" si="7"/>
        <v>26.040767964615355</v>
      </c>
      <c r="K21" s="130">
        <f t="shared" si="2"/>
        <v>99.46</v>
      </c>
      <c r="L21" s="128">
        <f t="shared" si="1"/>
        <v>179.78020833333332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95.22</v>
      </c>
      <c r="E22" s="268">
        <v>36.09010416666667</v>
      </c>
      <c r="F22" s="128">
        <f t="shared" si="4"/>
        <v>52.75</v>
      </c>
      <c r="G22" s="130">
        <f t="shared" si="5"/>
        <v>48.191347285059976</v>
      </c>
      <c r="H22" s="198">
        <v>1</v>
      </c>
      <c r="I22" s="128">
        <f t="shared" si="6"/>
        <v>-22.56</v>
      </c>
      <c r="J22" s="130">
        <f t="shared" si="7"/>
        <v>26.631347285059977</v>
      </c>
      <c r="K22" s="130">
        <f t="shared" si="2"/>
        <v>101.71</v>
      </c>
      <c r="L22" s="128">
        <f t="shared" si="1"/>
        <v>184.06010416666666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97.51</v>
      </c>
      <c r="E23" s="268">
        <v>36.90989583333333</v>
      </c>
      <c r="F23" s="128">
        <f t="shared" si="4"/>
        <v>54.02</v>
      </c>
      <c r="G23" s="130">
        <f t="shared" si="5"/>
        <v>49.338081729225138</v>
      </c>
      <c r="H23" s="198">
        <v>1</v>
      </c>
      <c r="I23" s="128">
        <f t="shared" si="6"/>
        <v>-23.1</v>
      </c>
      <c r="J23" s="130">
        <f t="shared" si="7"/>
        <v>27.238081729225136</v>
      </c>
      <c r="K23" s="130">
        <f t="shared" si="2"/>
        <v>104.03</v>
      </c>
      <c r="L23" s="128">
        <f t="shared" si="1"/>
        <v>188.43989583333334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99.75</v>
      </c>
      <c r="E24" s="268">
        <v>37.75</v>
      </c>
      <c r="F24" s="128">
        <f t="shared" si="4"/>
        <v>55.26</v>
      </c>
      <c r="G24" s="130">
        <f t="shared" si="5"/>
        <v>50.469188555150595</v>
      </c>
      <c r="H24" s="198">
        <v>1</v>
      </c>
      <c r="I24" s="128">
        <f t="shared" si="6"/>
        <v>-23.63</v>
      </c>
      <c r="J24" s="130">
        <f t="shared" si="7"/>
        <v>27.839188555150596</v>
      </c>
      <c r="K24" s="130">
        <f t="shared" si="2"/>
        <v>106.33</v>
      </c>
      <c r="L24" s="128">
        <f t="shared" si="1"/>
        <v>192.76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102.04</v>
      </c>
      <c r="E25" s="268">
        <v>38.609895833333333</v>
      </c>
      <c r="F25" s="128">
        <f t="shared" si="4"/>
        <v>56.53</v>
      </c>
      <c r="G25" s="130">
        <f t="shared" si="5"/>
        <v>51.626423231466354</v>
      </c>
      <c r="H25" s="198">
        <v>1</v>
      </c>
      <c r="I25" s="128">
        <f t="shared" si="6"/>
        <v>-24.17</v>
      </c>
      <c r="J25" s="130">
        <f t="shared" si="7"/>
        <v>28.456423231466353</v>
      </c>
      <c r="K25" s="130">
        <f t="shared" si="2"/>
        <v>108.69</v>
      </c>
      <c r="L25" s="128">
        <f t="shared" si="1"/>
        <v>197.17989583333335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104.39</v>
      </c>
      <c r="E26" s="268">
        <v>39.490104166666669</v>
      </c>
      <c r="F26" s="128">
        <f t="shared" si="4"/>
        <v>57.83</v>
      </c>
      <c r="G26" s="130">
        <f t="shared" si="5"/>
        <v>52.812540364528786</v>
      </c>
      <c r="H26" s="198">
        <v>1</v>
      </c>
      <c r="I26" s="128">
        <f t="shared" si="6"/>
        <v>-24.73</v>
      </c>
      <c r="J26" s="130">
        <f t="shared" si="7"/>
        <v>29.082540364528786</v>
      </c>
      <c r="K26" s="130">
        <f t="shared" si="2"/>
        <v>111.08</v>
      </c>
      <c r="L26" s="128">
        <f t="shared" si="1"/>
        <v>201.71010416666667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106.79</v>
      </c>
      <c r="E27" s="268">
        <v>40.390104166666667</v>
      </c>
      <c r="F27" s="128">
        <f t="shared" si="4"/>
        <v>59.16</v>
      </c>
      <c r="G27" s="130">
        <f t="shared" si="5"/>
        <v>54.024785347981506</v>
      </c>
      <c r="H27" s="198">
        <v>1</v>
      </c>
      <c r="I27" s="128">
        <f t="shared" si="6"/>
        <v>-25.3</v>
      </c>
      <c r="J27" s="130">
        <f t="shared" si="7"/>
        <v>29.724785347981506</v>
      </c>
      <c r="K27" s="130">
        <f t="shared" si="2"/>
        <v>113.53</v>
      </c>
      <c r="L27" s="128">
        <f t="shared" si="1"/>
        <v>206.34010416666666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109.35</v>
      </c>
      <c r="E28" s="268">
        <v>41.309895833333336</v>
      </c>
      <c r="F28" s="128">
        <f t="shared" si="4"/>
        <v>60.58</v>
      </c>
      <c r="G28" s="130">
        <f t="shared" si="5"/>
        <v>55.307668256810906</v>
      </c>
      <c r="H28" s="198">
        <v>1</v>
      </c>
      <c r="I28" s="128"/>
      <c r="J28" s="130">
        <f t="shared" si="7"/>
        <v>56.307668256810906</v>
      </c>
      <c r="K28" s="130">
        <f t="shared" si="2"/>
        <v>215.06</v>
      </c>
      <c r="L28" s="128">
        <f t="shared" si="1"/>
        <v>211.23989583333332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111.97</v>
      </c>
      <c r="E29" s="268">
        <v>42.25</v>
      </c>
      <c r="F29" s="128">
        <f t="shared" si="4"/>
        <v>62.03</v>
      </c>
      <c r="G29" s="130">
        <f t="shared" si="5"/>
        <v>56.619433622386993</v>
      </c>
      <c r="H29" s="198">
        <v>1</v>
      </c>
      <c r="I29" s="128"/>
      <c r="J29" s="130">
        <f t="shared" si="7"/>
        <v>57.619433622386993</v>
      </c>
      <c r="K29" s="130">
        <f t="shared" si="2"/>
        <v>220.07</v>
      </c>
      <c r="L29" s="128">
        <f t="shared" si="1"/>
        <v>216.25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114.55</v>
      </c>
      <c r="E30" s="268">
        <v>43.219791666666666</v>
      </c>
      <c r="F30" s="128">
        <f t="shared" si="4"/>
        <v>63.46</v>
      </c>
      <c r="G30" s="130">
        <f t="shared" si="5"/>
        <v>57.923262448857052</v>
      </c>
      <c r="H30" s="198">
        <v>1</v>
      </c>
      <c r="I30" s="128"/>
      <c r="J30" s="130">
        <f t="shared" si="7"/>
        <v>58.923262448857052</v>
      </c>
      <c r="K30" s="130">
        <f t="shared" si="2"/>
        <v>225.05</v>
      </c>
      <c r="L30" s="128">
        <f t="shared" si="1"/>
        <v>221.22979166666667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117.18</v>
      </c>
      <c r="E31" s="268">
        <v>44.2</v>
      </c>
      <c r="F31" s="128">
        <f t="shared" si="4"/>
        <v>64.92</v>
      </c>
      <c r="G31" s="130">
        <f t="shared" si="5"/>
        <v>59.250764525993887</v>
      </c>
      <c r="H31" s="198">
        <v>1</v>
      </c>
      <c r="I31" s="128"/>
      <c r="J31" s="130">
        <f t="shared" si="7"/>
        <v>60.250764525993887</v>
      </c>
      <c r="K31" s="130">
        <f t="shared" si="2"/>
        <v>230.12</v>
      </c>
      <c r="L31" s="128">
        <f t="shared" si="1"/>
        <v>226.3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119.88</v>
      </c>
      <c r="E32" s="268">
        <v>45.209895833333334</v>
      </c>
      <c r="F32" s="128">
        <f t="shared" si="4"/>
        <v>66.41</v>
      </c>
      <c r="G32" s="130">
        <f t="shared" si="5"/>
        <v>60.612221899305993</v>
      </c>
      <c r="H32" s="198">
        <v>1</v>
      </c>
      <c r="I32" s="128"/>
      <c r="J32" s="130">
        <f t="shared" si="7"/>
        <v>61.612221899305993</v>
      </c>
      <c r="K32" s="130">
        <f t="shared" si="2"/>
        <v>235.32</v>
      </c>
      <c r="L32" s="128">
        <f t="shared" si="1"/>
        <v>231.49989583333334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122.64</v>
      </c>
      <c r="E33" s="356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67.94</v>
      </c>
      <c r="G33" s="130">
        <f t="shared" si="5"/>
        <v>62.007770935444675</v>
      </c>
      <c r="H33" s="198">
        <v>1</v>
      </c>
      <c r="I33" s="128"/>
      <c r="J33" s="130">
        <f t="shared" si="7"/>
        <v>63.007770935444675</v>
      </c>
      <c r="K33" s="130">
        <f t="shared" ref="K33:K37" si="8">ROUND(J33*$C$63*8.76,2)</f>
        <v>240.65</v>
      </c>
      <c r="L33" s="128">
        <f t="shared" si="1"/>
        <v>236.82999999999998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125.46</v>
      </c>
      <c r="E34" s="356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69.5</v>
      </c>
      <c r="G34" s="130">
        <f t="shared" si="5"/>
        <v>63.432093335009</v>
      </c>
      <c r="H34" s="198">
        <v>1</v>
      </c>
      <c r="I34" s="128"/>
      <c r="J34" s="130">
        <f t="shared" si="7"/>
        <v>64.432093335009</v>
      </c>
      <c r="K34" s="130">
        <f t="shared" si="8"/>
        <v>246.09</v>
      </c>
      <c r="L34" s="128">
        <f t="shared" si="1"/>
        <v>242.26999999999998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128.35</v>
      </c>
      <c r="E35" s="356">
        <f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4"/>
        <v>71.099999999999994</v>
      </c>
      <c r="G35" s="130">
        <f t="shared" si="5"/>
        <v>64.893071090444465</v>
      </c>
      <c r="H35" s="198">
        <v>1</v>
      </c>
      <c r="I35" s="128"/>
      <c r="J35" s="130">
        <f t="shared" si="7"/>
        <v>65.893071090444465</v>
      </c>
      <c r="K35" s="130">
        <f t="shared" si="8"/>
        <v>251.67</v>
      </c>
      <c r="L35" s="128">
        <f t="shared" si="1"/>
        <v>247.85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131.43</v>
      </c>
      <c r="E36" s="356">
        <f>ROUND(E35*(1+(IFERROR(INDEX($D$66:$D$74,MATCH($B36,$C$66:$C$74,0),1),0)+IFERROR(INDEX($G$66:$G$74,MATCH($B36,$F$66:$F$74,0),1),0)+IFERROR(INDEX($J$66:$J$74,MATCH($B36,$I$66:$I$74,0),1),0))),2)</f>
        <v>49.56</v>
      </c>
      <c r="F36" s="128">
        <f t="shared" si="4"/>
        <v>72.81</v>
      </c>
      <c r="G36" s="130">
        <f t="shared" si="5"/>
        <v>66.450923714967956</v>
      </c>
      <c r="H36" s="198">
        <v>1</v>
      </c>
      <c r="I36" s="128"/>
      <c r="J36" s="130">
        <f t="shared" si="7"/>
        <v>67.450923714967956</v>
      </c>
      <c r="K36" s="130">
        <f t="shared" si="8"/>
        <v>257.62</v>
      </c>
      <c r="L36" s="128">
        <f t="shared" si="1"/>
        <v>253.8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134.58000000000001</v>
      </c>
      <c r="E37" s="356">
        <f>ROUND(E36*(1+(IFERROR(INDEX($D$66:$D$74,MATCH($B37,$C$66:$C$74,0),1),0)+IFERROR(INDEX($G$66:$G$74,MATCH($B37,$F$66:$F$74,0),1),0)+IFERROR(INDEX($J$66:$J$74,MATCH($B37,$I$66:$I$74,0),1),0))),2)</f>
        <v>50.75</v>
      </c>
      <c r="F37" s="128">
        <f t="shared" si="4"/>
        <v>74.56</v>
      </c>
      <c r="G37" s="130">
        <f t="shared" si="5"/>
        <v>68.045431695362566</v>
      </c>
      <c r="H37" s="198">
        <v>1</v>
      </c>
      <c r="I37" s="128"/>
      <c r="J37" s="130">
        <f t="shared" si="7"/>
        <v>69.045431695362566</v>
      </c>
      <c r="K37" s="130">
        <f t="shared" si="8"/>
        <v>263.70999999999998</v>
      </c>
      <c r="L37" s="128">
        <f t="shared" si="1"/>
        <v>259.89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63</v>
      </c>
      <c r="C44" s="140" t="s">
        <v>64</v>
      </c>
      <c r="D44" s="141" t="s">
        <v>102</v>
      </c>
      <c r="AB44" s="277"/>
    </row>
    <row r="45" spans="2:28">
      <c r="C45" s="140" t="str">
        <f>C7</f>
        <v>(a)</v>
      </c>
      <c r="D45" s="117" t="s">
        <v>65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8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105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8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6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218</v>
      </c>
      <c r="F60" s="274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O72" s="164"/>
    </row>
    <row r="73" spans="3:15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O73" s="164"/>
    </row>
    <row r="74" spans="3:15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39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94.77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13.26</v>
      </c>
      <c r="G28" s="130">
        <f t="shared" si="6"/>
        <v>45.951371486616715</v>
      </c>
      <c r="H28" s="128">
        <f t="shared" si="1"/>
        <v>0</v>
      </c>
      <c r="I28" s="130">
        <f t="shared" si="7"/>
        <v>45.951371486616715</v>
      </c>
      <c r="J28" s="130">
        <f t="shared" si="3"/>
        <v>149.34</v>
      </c>
      <c r="K28" s="128">
        <f t="shared" si="2"/>
        <v>149.34011927664486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97.04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13.58</v>
      </c>
      <c r="G29" s="130">
        <f t="shared" si="6"/>
        <v>47.037472402478002</v>
      </c>
      <c r="H29" s="128">
        <f t="shared" si="1"/>
        <v>0</v>
      </c>
      <c r="I29" s="130">
        <f t="shared" si="7"/>
        <v>47.037472402478002</v>
      </c>
      <c r="J29" s="130">
        <f t="shared" si="3"/>
        <v>152.87</v>
      </c>
      <c r="K29" s="128">
        <f t="shared" si="2"/>
        <v>152.86990380915739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99.27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13.89</v>
      </c>
      <c r="G30" s="130">
        <f t="shared" si="6"/>
        <v>48.117363753057184</v>
      </c>
      <c r="H30" s="128">
        <f t="shared" si="1"/>
        <v>0</v>
      </c>
      <c r="I30" s="130">
        <f t="shared" si="7"/>
        <v>48.117363753057184</v>
      </c>
      <c r="J30" s="130">
        <f t="shared" si="3"/>
        <v>156.38</v>
      </c>
      <c r="K30" s="128">
        <f t="shared" si="2"/>
        <v>156.3795075028857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101.55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14.21</v>
      </c>
      <c r="G31" s="130">
        <f t="shared" si="6"/>
        <v>49.218972599448485</v>
      </c>
      <c r="H31" s="128">
        <f t="shared" si="1"/>
        <v>0</v>
      </c>
      <c r="I31" s="130">
        <f t="shared" si="7"/>
        <v>49.218972599448485</v>
      </c>
      <c r="J31" s="130">
        <f t="shared" si="3"/>
        <v>159.96</v>
      </c>
      <c r="K31" s="128">
        <f t="shared" si="2"/>
        <v>159.95969218930358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103.89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14.54</v>
      </c>
      <c r="G32" s="130">
        <f t="shared" si="6"/>
        <v>50.351591387390492</v>
      </c>
      <c r="H32" s="128">
        <f t="shared" si="1"/>
        <v>0</v>
      </c>
      <c r="I32" s="130">
        <f t="shared" si="7"/>
        <v>50.351591387390492</v>
      </c>
      <c r="J32" s="130">
        <f t="shared" si="3"/>
        <v>163.63999999999999</v>
      </c>
      <c r="K32" s="128">
        <f t="shared" si="2"/>
        <v>163.64065794536359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106.28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14.87</v>
      </c>
      <c r="G33" s="130">
        <f t="shared" si="6"/>
        <v>51.508326256323159</v>
      </c>
      <c r="H33" s="128">
        <f t="shared" si="1"/>
        <v>0</v>
      </c>
      <c r="I33" s="130">
        <f t="shared" si="7"/>
        <v>51.508326256323159</v>
      </c>
      <c r="J33" s="130">
        <f t="shared" ref="J33:J37" si="16">ROUND(I33*$C$63*8.76,2)</f>
        <v>167.4</v>
      </c>
      <c r="K33" s="128">
        <f t="shared" si="2"/>
        <v>167.4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108.72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15.21</v>
      </c>
      <c r="G34" s="130">
        <f t="shared" si="6"/>
        <v>52.689879260052436</v>
      </c>
      <c r="H34" s="128">
        <f t="shared" si="1"/>
        <v>0</v>
      </c>
      <c r="I34" s="130">
        <f t="shared" si="7"/>
        <v>52.689879260052436</v>
      </c>
      <c r="J34" s="130">
        <f t="shared" si="16"/>
        <v>171.24</v>
      </c>
      <c r="K34" s="128">
        <f t="shared" si="2"/>
        <v>171.24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111.22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18"/>
        <v>15.56</v>
      </c>
      <c r="G35" s="130">
        <f t="shared" si="6"/>
        <v>53.90220187325383</v>
      </c>
      <c r="H35" s="128">
        <f t="shared" si="1"/>
        <v>0</v>
      </c>
      <c r="I35" s="130">
        <f t="shared" si="7"/>
        <v>53.90220187325383</v>
      </c>
      <c r="J35" s="130">
        <f t="shared" si="16"/>
        <v>175.18</v>
      </c>
      <c r="K35" s="128">
        <f t="shared" si="2"/>
        <v>175.18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113.89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49.56</v>
      </c>
      <c r="F36" s="128">
        <f t="shared" si="19"/>
        <v>15.93</v>
      </c>
      <c r="G36" s="130">
        <f t="shared" si="6"/>
        <v>55.194525471082727</v>
      </c>
      <c r="H36" s="128">
        <f t="shared" si="1"/>
        <v>0</v>
      </c>
      <c r="I36" s="130">
        <f t="shared" si="7"/>
        <v>55.194525471082727</v>
      </c>
      <c r="J36" s="130">
        <f t="shared" si="16"/>
        <v>179.38</v>
      </c>
      <c r="K36" s="128">
        <f t="shared" si="2"/>
        <v>179.38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116.62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50.75</v>
      </c>
      <c r="F37" s="128">
        <f t="shared" si="20"/>
        <v>16.309999999999999</v>
      </c>
      <c r="G37" s="130">
        <f t="shared" si="6"/>
        <v>56.517618678383741</v>
      </c>
      <c r="H37" s="128">
        <f t="shared" si="1"/>
        <v>0</v>
      </c>
      <c r="I37" s="130">
        <f t="shared" si="7"/>
        <v>56.517618678383741</v>
      </c>
      <c r="J37" s="130">
        <f t="shared" si="16"/>
        <v>183.68</v>
      </c>
      <c r="K37" s="128">
        <f t="shared" si="2"/>
        <v>183.68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8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2.4E-2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2.1999999999999999E-2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1.7000000000000001E-2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2.3E-2</v>
      </c>
      <c r="N72" s="164"/>
    </row>
    <row r="73" spans="3:14" s="119" customFormat="1">
      <c r="C73" s="87">
        <f t="shared" si="21"/>
        <v>2024</v>
      </c>
      <c r="D73" s="41">
        <v>2.3E-2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2.4E-2</v>
      </c>
      <c r="N73" s="164"/>
    </row>
    <row r="74" spans="3:14" s="119" customFormat="1">
      <c r="C74" s="87">
        <f t="shared" si="21"/>
        <v>2025</v>
      </c>
      <c r="D74" s="41">
        <v>2.4E-2</v>
      </c>
      <c r="E74" s="86"/>
      <c r="F74" s="87">
        <f t="shared" si="22"/>
        <v>2034</v>
      </c>
      <c r="G74" s="41">
        <v>2.4E-2</v>
      </c>
      <c r="H74" s="41"/>
      <c r="I74" s="87">
        <f t="shared" si="2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55</vt:i4>
      </vt:variant>
    </vt:vector>
  </HeadingPairs>
  <TitlesOfParts>
    <vt:vector size="75" baseType="lpstr">
      <vt:lpstr>Appendix B.2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2021-06-29T23:49:13Z</cp:lastPrinted>
  <dcterms:created xsi:type="dcterms:W3CDTF">2001-03-19T15:45:46Z</dcterms:created>
  <dcterms:modified xsi:type="dcterms:W3CDTF">2021-07-01T17:47:26Z</dcterms:modified>
</cp:coreProperties>
</file>